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trlProps/ctrlProp2.xml" ContentType="application/vnd.ms-excel.controlproperties+xml"/>
  <Override PartName="/xl/drawings/drawing3.xml" ContentType="application/vnd.openxmlformats-officedocument.drawing+xml"/>
  <Override PartName="/xl/ctrlProps/ctrlProp3.xml" ContentType="application/vnd.ms-excel.controlproperties+xml"/>
  <Override PartName="/xl/pivotTables/pivotTable1.xml" ContentType="application/vnd.openxmlformats-officedocument.spreadsheetml.pivotTable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ctrlProps/ctrlProp4.xml" ContentType="application/vnd.ms-excel.controlpropertie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5.xml" ContentType="application/vnd.openxmlformats-officedocument.drawing+xml"/>
  <Override PartName="/xl/ctrlProps/ctrlProp5.xml" ContentType="application/vnd.ms-excel.controlproperties+xml"/>
  <Override PartName="/xl/comments4.xml" ContentType="application/vnd.openxmlformats-officedocument.spreadsheetml.comments+xml"/>
  <Override PartName="/xl/drawings/drawing6.xml" ContentType="application/vnd.openxmlformats-officedocument.drawing+xml"/>
  <Override PartName="/xl/ctrlProps/ctrlProp6.xml" ContentType="application/vnd.ms-excel.controlpropertie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trlProps/ctrlProp7.xml" ContentType="application/vnd.ms-excel.controlpropertie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drawings/drawing8.xml" ContentType="application/vnd.openxmlformats-officedocument.drawing+xml"/>
  <Override PartName="/xl/ctrlProps/ctrlProp8.xml" ContentType="application/vnd.ms-excel.controlproperties+xml"/>
  <Override PartName="/xl/comments9.xml" ContentType="application/vnd.openxmlformats-officedocument.spreadsheetml.comments+xml"/>
  <Override PartName="/xl/drawings/drawing9.xml" ContentType="application/vnd.openxmlformats-officedocument.drawing+xml"/>
  <Override PartName="/xl/ctrlProps/ctrlProp9.xml" ContentType="application/vnd.ms-excel.controlpropertie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Závěrečný účet 2015\"/>
    </mc:Choice>
  </mc:AlternateContent>
  <bookViews>
    <workbookView xWindow="0" yWindow="0" windowWidth="23040" windowHeight="9210" tabRatio="836" firstSheet="28" activeTab="28"/>
  </bookViews>
  <sheets>
    <sheet name="MB 1-2" sheetId="20" state="hidden" r:id="rId1"/>
    <sheet name="Suma podle polozek 1-2" sheetId="23" state="hidden" r:id="rId2"/>
    <sheet name="MB 3" sheetId="27" state="hidden" r:id="rId3"/>
    <sheet name="RMB3" sheetId="29" state="hidden" r:id="rId4"/>
    <sheet name="Suma podle polozek 3" sheetId="28" state="hidden" r:id="rId5"/>
    <sheet name="MB 4" sheetId="31" state="hidden" r:id="rId6"/>
    <sheet name="Suma podle polozek 4" sheetId="35" state="hidden" r:id="rId7"/>
    <sheet name="tab.4" sheetId="37" state="hidden" r:id="rId8"/>
    <sheet name="NDaID" sheetId="38" state="hidden" r:id="rId9"/>
    <sheet name="MB 5" sheetId="34" state="hidden" r:id="rId10"/>
    <sheet name="Suma podle polozek 5" sheetId="33" state="hidden" r:id="rId11"/>
    <sheet name="MB 6" sheetId="44" state="hidden" r:id="rId12"/>
    <sheet name="RMB6" sheetId="46" state="hidden" r:id="rId13"/>
    <sheet name="Suma podle polozek 6" sheetId="45" state="hidden" r:id="rId14"/>
    <sheet name="MB 7" sheetId="48" state="hidden" r:id="rId15"/>
    <sheet name="Suma podle polozek 7" sheetId="49" state="hidden" r:id="rId16"/>
    <sheet name="MB 8" sheetId="51" state="hidden" r:id="rId17"/>
    <sheet name="MMB 8" sheetId="53" state="hidden" r:id="rId18"/>
    <sheet name="Suma podle polozek 8" sheetId="52" state="hidden" r:id="rId19"/>
    <sheet name="MB 9" sheetId="55" state="hidden" r:id="rId20"/>
    <sheet name="RMB9" sheetId="57" state="hidden" r:id="rId21"/>
    <sheet name="Suma podle polozek 9" sheetId="58" state="hidden" r:id="rId22"/>
    <sheet name="MB 10" sheetId="59" state="hidden" r:id="rId23"/>
    <sheet name="Suma podle polozek 10" sheetId="60" state="hidden" r:id="rId24"/>
    <sheet name="MB 11" sheetId="62" state="hidden" r:id="rId25"/>
    <sheet name="MB 12" sheetId="63" state="hidden" r:id="rId26"/>
    <sheet name="MMB 12" sheetId="65" state="hidden" r:id="rId27"/>
    <sheet name="List2" sheetId="66" state="hidden" r:id="rId28"/>
    <sheet name="RMB 12" sheetId="67" r:id="rId29"/>
    <sheet name="Soupis polozek" sheetId="25" state="hidden" r:id="rId30"/>
    <sheet name="Poskytovatelé" sheetId="42" state="hidden" r:id="rId31"/>
  </sheets>
  <externalReferences>
    <externalReference r:id="rId32"/>
  </externalReferences>
  <definedNames>
    <definedName name="_xlnm._FilterDatabase" localSheetId="23" hidden="1">'Suma podle polozek 10'!$A$16:$C$28</definedName>
    <definedName name="_xlnm.Print_Titles" localSheetId="26">'MMB 12'!$5:$6</definedName>
    <definedName name="_xlnm.Print_Titles" localSheetId="28">'RMB 12'!$5:$6</definedName>
    <definedName name="_xlnm.Print_Titles" localSheetId="20">'RMB9'!$4:$5</definedName>
    <definedName name="_xlnm.Print_Area" localSheetId="22">'MB 10'!$A$5:$F$436</definedName>
    <definedName name="_xlnm.Print_Area" localSheetId="24">'MB 11'!$A$5:$F$488</definedName>
    <definedName name="_xlnm.Print_Area" localSheetId="25">'MB 12'!$A$5:$F$380</definedName>
    <definedName name="_xlnm.Print_Area" localSheetId="0">'MB 1-2'!$A$1:$F$484</definedName>
    <definedName name="_xlnm.Print_Area" localSheetId="2">'MB 3'!$A$1:$F$484</definedName>
    <definedName name="_xlnm.Print_Area" localSheetId="5">'MB 4'!$A$1:$F$478</definedName>
    <definedName name="_xlnm.Print_Area" localSheetId="16">'MB 8'!$A$5:$F$482</definedName>
    <definedName name="_xlnm.Print_Area" localSheetId="19">'MB 9'!$A$5:$F$482</definedName>
    <definedName name="_xlnm.Print_Area" localSheetId="26">'MMB 12'!$A$1:$F$311</definedName>
    <definedName name="_xlnm.Print_Area" localSheetId="28">'RMB 12'!$A$1:$F$392</definedName>
    <definedName name="_xlnm.Print_Area" localSheetId="3">'RMB3'!$A$1:$F$100</definedName>
    <definedName name="_xlnm.Print_Area" localSheetId="12">'RMB6'!$A$164:$F$221</definedName>
    <definedName name="_xlnm.Print_Area" localSheetId="20">'RMB9'!$A$1:$F$440</definedName>
  </definedNames>
  <calcPr calcId="152511"/>
  <pivotCaches>
    <pivotCache cacheId="0" r:id="rId33"/>
  </pivotCaches>
</workbook>
</file>

<file path=xl/calcChain.xml><?xml version="1.0" encoding="utf-8"?>
<calcChain xmlns="http://schemas.openxmlformats.org/spreadsheetml/2006/main">
  <c r="D552" i="67" l="1"/>
  <c r="C552" i="67"/>
  <c r="D532" i="67"/>
  <c r="C532" i="67"/>
  <c r="D518" i="67"/>
  <c r="D517" i="67" s="1"/>
  <c r="C518" i="67"/>
  <c r="C517" i="67" s="1"/>
  <c r="D514" i="67"/>
  <c r="C514" i="67"/>
  <c r="D506" i="67"/>
  <c r="C506" i="67"/>
  <c r="D491" i="67"/>
  <c r="C491" i="67"/>
  <c r="D486" i="67"/>
  <c r="C486" i="67"/>
  <c r="D485" i="67"/>
  <c r="C485" i="67"/>
  <c r="D484" i="67"/>
  <c r="C484" i="67"/>
  <c r="D483" i="67"/>
  <c r="C483" i="67"/>
  <c r="D482" i="67"/>
  <c r="C482" i="67"/>
  <c r="D478" i="67"/>
  <c r="D443" i="67"/>
  <c r="C443" i="67"/>
  <c r="D433" i="67"/>
  <c r="C433" i="67"/>
  <c r="D429" i="67"/>
  <c r="C429" i="67"/>
  <c r="D424" i="67"/>
  <c r="D386" i="67"/>
  <c r="C386" i="67"/>
  <c r="D380" i="67"/>
  <c r="C380" i="67"/>
  <c r="D366" i="67"/>
  <c r="D365" i="67"/>
  <c r="C365" i="67"/>
  <c r="D363" i="67"/>
  <c r="C363" i="67"/>
  <c r="D352" i="67"/>
  <c r="C352" i="67"/>
  <c r="D348" i="67"/>
  <c r="C348" i="67"/>
  <c r="D320" i="67"/>
  <c r="D315" i="67"/>
  <c r="D314" i="67"/>
  <c r="D313" i="67"/>
  <c r="D284" i="67"/>
  <c r="C284" i="67"/>
  <c r="D276" i="67"/>
  <c r="C276" i="67"/>
  <c r="D255" i="67"/>
  <c r="C255" i="67"/>
  <c r="D253" i="67"/>
  <c r="C253" i="67"/>
  <c r="D250" i="67"/>
  <c r="C250" i="67"/>
  <c r="D245" i="67"/>
  <c r="C243" i="67"/>
  <c r="D241" i="67"/>
  <c r="D227" i="67"/>
  <c r="C227" i="67"/>
  <c r="D225" i="67"/>
  <c r="C225" i="67"/>
  <c r="D224" i="67"/>
  <c r="C224" i="67"/>
  <c r="C219" i="67" s="1"/>
  <c r="D210" i="67"/>
  <c r="C210" i="67"/>
  <c r="D205" i="67"/>
  <c r="C205" i="67"/>
  <c r="D204" i="67"/>
  <c r="C204" i="67" s="1"/>
  <c r="D203" i="67"/>
  <c r="C203" i="67"/>
  <c r="D202" i="67"/>
  <c r="C202" i="67" s="1"/>
  <c r="D201" i="67"/>
  <c r="C201" i="67" s="1"/>
  <c r="D200" i="67"/>
  <c r="C200" i="67" s="1"/>
  <c r="D199" i="67"/>
  <c r="C199" i="67" s="1"/>
  <c r="D198" i="67"/>
  <c r="C198" i="67" s="1"/>
  <c r="D197" i="67"/>
  <c r="C197" i="67"/>
  <c r="D196" i="67"/>
  <c r="C196" i="67" s="1"/>
  <c r="D195" i="67"/>
  <c r="C195" i="67" s="1"/>
  <c r="D194" i="67"/>
  <c r="C194" i="67" s="1"/>
  <c r="D193" i="67"/>
  <c r="C193" i="67"/>
  <c r="D192" i="67"/>
  <c r="C192" i="67" s="1"/>
  <c r="D191" i="67"/>
  <c r="C191" i="67" s="1"/>
  <c r="D190" i="67"/>
  <c r="C190" i="67" s="1"/>
  <c r="D189" i="67"/>
  <c r="C189" i="67" s="1"/>
  <c r="C188" i="67"/>
  <c r="C187" i="67"/>
  <c r="C186" i="67"/>
  <c r="C185" i="67"/>
  <c r="C184" i="67"/>
  <c r="C183" i="67"/>
  <c r="C182" i="67"/>
  <c r="C181" i="67"/>
  <c r="C180" i="67"/>
  <c r="C179" i="67"/>
  <c r="C178" i="67"/>
  <c r="C177" i="67"/>
  <c r="C176" i="67"/>
  <c r="C175" i="67"/>
  <c r="C174" i="67"/>
  <c r="C173" i="67"/>
  <c r="C172" i="67"/>
  <c r="D141" i="67"/>
  <c r="D140" i="67"/>
  <c r="D120" i="67"/>
  <c r="C120" i="67"/>
  <c r="D119" i="67"/>
  <c r="C119" i="67"/>
  <c r="D118" i="67"/>
  <c r="C118" i="67"/>
  <c r="D112" i="67"/>
  <c r="D103" i="67"/>
  <c r="D71" i="67" s="1"/>
  <c r="C71" i="67"/>
  <c r="D68" i="67"/>
  <c r="C68" i="67"/>
  <c r="D58" i="67"/>
  <c r="C47" i="67"/>
  <c r="C36" i="67" s="1"/>
  <c r="D34" i="67"/>
  <c r="D32" i="67" s="1"/>
  <c r="C34" i="67"/>
  <c r="C32" i="67" s="1"/>
  <c r="D13" i="67"/>
  <c r="C13" i="67"/>
  <c r="D11" i="67"/>
  <c r="D10" i="67"/>
  <c r="D9" i="67"/>
  <c r="D8" i="67"/>
  <c r="C7" i="67"/>
  <c r="D446" i="67" l="1"/>
  <c r="D397" i="67"/>
  <c r="C446" i="67"/>
  <c r="C555" i="67" s="1"/>
  <c r="C563" i="67" s="1"/>
  <c r="C397" i="67"/>
  <c r="C109" i="67"/>
  <c r="D219" i="67"/>
  <c r="D109" i="67"/>
  <c r="D231" i="67"/>
  <c r="C231" i="67"/>
  <c r="D307" i="67"/>
  <c r="C307" i="67"/>
  <c r="C391" i="67" s="1"/>
  <c r="C562" i="67" s="1"/>
  <c r="D555" i="67"/>
  <c r="D563" i="67" s="1"/>
  <c r="D7" i="67"/>
  <c r="D36" i="67"/>
  <c r="D583" i="63"/>
  <c r="C583" i="63"/>
  <c r="F582" i="63"/>
  <c r="H582" i="63" s="1"/>
  <c r="F581" i="63"/>
  <c r="H581" i="63" s="1"/>
  <c r="F580" i="63"/>
  <c r="H580" i="63" s="1"/>
  <c r="F577" i="63"/>
  <c r="H577" i="63" s="1"/>
  <c r="F576" i="63"/>
  <c r="H576" i="63" s="1"/>
  <c r="F575" i="63"/>
  <c r="H575" i="63" s="1"/>
  <c r="F573" i="63"/>
  <c r="H573" i="63" s="1"/>
  <c r="F571" i="63"/>
  <c r="H571" i="63" s="1"/>
  <c r="F570" i="63"/>
  <c r="B568" i="63"/>
  <c r="B567" i="63"/>
  <c r="H563" i="63"/>
  <c r="H562" i="63"/>
  <c r="K558" i="63"/>
  <c r="D552" i="63"/>
  <c r="C552" i="63"/>
  <c r="D532" i="63"/>
  <c r="C532" i="63"/>
  <c r="C555" i="63" s="1"/>
  <c r="C563" i="63" s="1"/>
  <c r="D518" i="63"/>
  <c r="C518" i="63"/>
  <c r="D517" i="63"/>
  <c r="C517" i="63"/>
  <c r="D514" i="63"/>
  <c r="C514" i="63"/>
  <c r="D506" i="63"/>
  <c r="C506" i="63"/>
  <c r="J491" i="63"/>
  <c r="D491" i="63"/>
  <c r="C491" i="63"/>
  <c r="J486" i="63"/>
  <c r="D486" i="63"/>
  <c r="C486" i="63"/>
  <c r="J485" i="63"/>
  <c r="D485" i="63"/>
  <c r="C485" i="63"/>
  <c r="J484" i="63"/>
  <c r="D484" i="63"/>
  <c r="C484" i="63"/>
  <c r="J483" i="63"/>
  <c r="D483" i="63"/>
  <c r="C483" i="63"/>
  <c r="C446" i="63" s="1"/>
  <c r="J482" i="63"/>
  <c r="D482" i="63"/>
  <c r="C482" i="63"/>
  <c r="I478" i="63"/>
  <c r="D478" i="63"/>
  <c r="D446" i="63" s="1"/>
  <c r="D443" i="63"/>
  <c r="C443" i="63"/>
  <c r="J433" i="63"/>
  <c r="D433" i="63"/>
  <c r="C433" i="63"/>
  <c r="C397" i="63" s="1"/>
  <c r="J429" i="63"/>
  <c r="D429" i="63"/>
  <c r="C429" i="63"/>
  <c r="I424" i="63"/>
  <c r="D424" i="63"/>
  <c r="D397" i="63" s="1"/>
  <c r="D386" i="63"/>
  <c r="C386" i="63"/>
  <c r="D380" i="63"/>
  <c r="C380" i="63"/>
  <c r="J366" i="63"/>
  <c r="D366" i="63"/>
  <c r="J365" i="63"/>
  <c r="D365" i="63"/>
  <c r="C365" i="63"/>
  <c r="J363" i="63"/>
  <c r="D363" i="63"/>
  <c r="C363" i="63"/>
  <c r="D352" i="63"/>
  <c r="C352" i="63"/>
  <c r="D348" i="63"/>
  <c r="C348" i="63"/>
  <c r="C307" i="63" s="1"/>
  <c r="H340" i="63"/>
  <c r="D320" i="63"/>
  <c r="D315" i="63"/>
  <c r="D314" i="63"/>
  <c r="D307" i="63" s="1"/>
  <c r="D313" i="63"/>
  <c r="D284" i="63"/>
  <c r="C284" i="63"/>
  <c r="D276" i="63"/>
  <c r="C276" i="63"/>
  <c r="D255" i="63"/>
  <c r="C255" i="63"/>
  <c r="J253" i="63"/>
  <c r="D253" i="63"/>
  <c r="C253" i="63"/>
  <c r="D250" i="63"/>
  <c r="C250" i="63"/>
  <c r="D245" i="63"/>
  <c r="D231" i="63" s="1"/>
  <c r="C243" i="63"/>
  <c r="C231" i="63" s="1"/>
  <c r="D241" i="63"/>
  <c r="D227" i="63"/>
  <c r="C227" i="63"/>
  <c r="J225" i="63"/>
  <c r="D225" i="63"/>
  <c r="C225" i="63"/>
  <c r="J224" i="63"/>
  <c r="D224" i="63"/>
  <c r="C224" i="63"/>
  <c r="C219" i="63" s="1"/>
  <c r="D219" i="63"/>
  <c r="D210" i="63"/>
  <c r="C210" i="63"/>
  <c r="D205" i="63"/>
  <c r="C205" i="63" s="1"/>
  <c r="D204" i="63"/>
  <c r="C204" i="63"/>
  <c r="D203" i="63"/>
  <c r="C203" i="63" s="1"/>
  <c r="D202" i="63"/>
  <c r="C202" i="63"/>
  <c r="D201" i="63"/>
  <c r="C201" i="63" s="1"/>
  <c r="D200" i="63"/>
  <c r="C200" i="63"/>
  <c r="D199" i="63"/>
  <c r="C199" i="63" s="1"/>
  <c r="D198" i="63"/>
  <c r="C198" i="63"/>
  <c r="D197" i="63"/>
  <c r="C197" i="63" s="1"/>
  <c r="D196" i="63"/>
  <c r="C196" i="63"/>
  <c r="D195" i="63"/>
  <c r="C195" i="63" s="1"/>
  <c r="D194" i="63"/>
  <c r="C194" i="63"/>
  <c r="D193" i="63"/>
  <c r="C193" i="63" s="1"/>
  <c r="D192" i="63"/>
  <c r="C192" i="63"/>
  <c r="D191" i="63"/>
  <c r="C191" i="63" s="1"/>
  <c r="D190" i="63"/>
  <c r="C190" i="63"/>
  <c r="D189" i="63"/>
  <c r="C189" i="63" s="1"/>
  <c r="C188" i="63"/>
  <c r="C187" i="63"/>
  <c r="C186" i="63"/>
  <c r="C185" i="63"/>
  <c r="C184" i="63"/>
  <c r="C183" i="63"/>
  <c r="C182" i="63"/>
  <c r="C181" i="63"/>
  <c r="C180" i="63"/>
  <c r="C179" i="63"/>
  <c r="C178" i="63"/>
  <c r="C177" i="63"/>
  <c r="C176" i="63"/>
  <c r="C175" i="63"/>
  <c r="C174" i="63"/>
  <c r="C173" i="63"/>
  <c r="C172" i="63"/>
  <c r="D141" i="63"/>
  <c r="D140" i="63"/>
  <c r="F572" i="63" s="1"/>
  <c r="H572" i="63" s="1"/>
  <c r="D120" i="63"/>
  <c r="C120" i="63"/>
  <c r="D119" i="63"/>
  <c r="C119" i="63"/>
  <c r="D118" i="63"/>
  <c r="C118" i="63"/>
  <c r="D112" i="63"/>
  <c r="D109" i="63"/>
  <c r="D103" i="63"/>
  <c r="D71" i="63"/>
  <c r="C71" i="63"/>
  <c r="G69" i="63"/>
  <c r="G68" i="63"/>
  <c r="D68" i="63"/>
  <c r="C68" i="63"/>
  <c r="I66" i="63"/>
  <c r="I65" i="63"/>
  <c r="H65" i="63"/>
  <c r="I64" i="63"/>
  <c r="H64" i="63"/>
  <c r="I63" i="63"/>
  <c r="H63" i="63"/>
  <c r="I62" i="63"/>
  <c r="H62" i="63"/>
  <c r="I61" i="63"/>
  <c r="H61" i="63"/>
  <c r="I60" i="63"/>
  <c r="H60" i="63"/>
  <c r="I59" i="63"/>
  <c r="I58" i="63"/>
  <c r="H58" i="63"/>
  <c r="D58" i="63"/>
  <c r="H564" i="63" s="1"/>
  <c r="I57" i="63"/>
  <c r="H57" i="63"/>
  <c r="I56" i="63"/>
  <c r="H56" i="63"/>
  <c r="I55" i="63"/>
  <c r="H55" i="63"/>
  <c r="I54" i="63"/>
  <c r="H54" i="63"/>
  <c r="I53" i="63"/>
  <c r="H53" i="63"/>
  <c r="I52" i="63"/>
  <c r="H52" i="63"/>
  <c r="I51" i="63"/>
  <c r="H51" i="63"/>
  <c r="I50" i="63"/>
  <c r="H50" i="63"/>
  <c r="H49" i="63"/>
  <c r="H48" i="63"/>
  <c r="H47" i="63"/>
  <c r="C47" i="63"/>
  <c r="I46" i="63"/>
  <c r="H46" i="63"/>
  <c r="I45" i="63"/>
  <c r="I558" i="63" s="1"/>
  <c r="H45" i="63"/>
  <c r="H44" i="63"/>
  <c r="H43" i="63"/>
  <c r="H42" i="63"/>
  <c r="H41" i="63"/>
  <c r="H40" i="63"/>
  <c r="H39" i="63"/>
  <c r="H38" i="63"/>
  <c r="H36" i="63"/>
  <c r="G36" i="63"/>
  <c r="D36" i="63"/>
  <c r="C36" i="63"/>
  <c r="J34" i="63"/>
  <c r="D34" i="63"/>
  <c r="D32" i="63" s="1"/>
  <c r="C34" i="63"/>
  <c r="D13" i="63"/>
  <c r="C13" i="63"/>
  <c r="D11" i="63"/>
  <c r="J11" i="63" s="1"/>
  <c r="J558" i="63" s="1"/>
  <c r="H10" i="63"/>
  <c r="D10" i="63"/>
  <c r="D9" i="63"/>
  <c r="D8" i="63"/>
  <c r="D7" i="63"/>
  <c r="C7" i="63"/>
  <c r="C565" i="67" l="1"/>
  <c r="D391" i="67"/>
  <c r="D562" i="67" s="1"/>
  <c r="D565" i="67" s="1"/>
  <c r="D555" i="63"/>
  <c r="D563" i="63" s="1"/>
  <c r="C109" i="63"/>
  <c r="C391" i="63" s="1"/>
  <c r="C562" i="63" s="1"/>
  <c r="C565" i="63" s="1"/>
  <c r="C584" i="63" s="1"/>
  <c r="H565" i="63"/>
  <c r="D391" i="63"/>
  <c r="D562" i="63" s="1"/>
  <c r="F574" i="63"/>
  <c r="H574" i="63" s="1"/>
  <c r="F579" i="63"/>
  <c r="H579" i="63" s="1"/>
  <c r="F578" i="63"/>
  <c r="H578" i="63" s="1"/>
  <c r="H11" i="63"/>
  <c r="C32" i="63"/>
  <c r="H570" i="63"/>
  <c r="H37" i="63"/>
  <c r="D565" i="63" l="1"/>
  <c r="D584" i="63" s="1"/>
  <c r="H566" i="63"/>
  <c r="H568" i="63" s="1"/>
  <c r="F583" i="63"/>
  <c r="F584" i="63" s="1"/>
  <c r="E578" i="63" s="1"/>
  <c r="G578" i="63" s="1"/>
  <c r="E579" i="63" l="1"/>
  <c r="G579" i="63" s="1"/>
  <c r="E571" i="63"/>
  <c r="G571" i="63" s="1"/>
  <c r="E581" i="63"/>
  <c r="G581" i="63" s="1"/>
  <c r="E575" i="63"/>
  <c r="G575" i="63" s="1"/>
  <c r="E573" i="63"/>
  <c r="G573" i="63" s="1"/>
  <c r="E570" i="63"/>
  <c r="E580" i="63"/>
  <c r="G580" i="63" s="1"/>
  <c r="E582" i="63"/>
  <c r="G582" i="63" s="1"/>
  <c r="E577" i="63"/>
  <c r="G577" i="63" s="1"/>
  <c r="E572" i="63"/>
  <c r="E576" i="63"/>
  <c r="G576" i="63" s="1"/>
  <c r="E574" i="63"/>
  <c r="G574" i="63" s="1"/>
  <c r="C585" i="63" l="1"/>
  <c r="G572" i="63"/>
  <c r="E583" i="63"/>
  <c r="G570" i="63"/>
  <c r="C442" i="65" l="1"/>
  <c r="C441" i="65"/>
  <c r="C393" i="65"/>
  <c r="G393" i="65" s="1"/>
  <c r="G390" i="65"/>
  <c r="C390" i="65"/>
  <c r="G387" i="65"/>
  <c r="C387" i="65"/>
  <c r="G347" i="65"/>
  <c r="G344" i="65"/>
  <c r="G380" i="65"/>
  <c r="C380" i="65"/>
  <c r="C347" i="65"/>
  <c r="C344" i="65"/>
  <c r="G316" i="65"/>
  <c r="C318" i="65"/>
  <c r="C319" i="65"/>
  <c r="C316" i="65" s="1"/>
  <c r="C320" i="65"/>
  <c r="C321" i="65"/>
  <c r="C322" i="65"/>
  <c r="C323" i="65"/>
  <c r="C324" i="65"/>
  <c r="C325" i="65"/>
  <c r="C326" i="65"/>
  <c r="C327" i="65"/>
  <c r="C328" i="65"/>
  <c r="C329" i="65"/>
  <c r="C330" i="65"/>
  <c r="C331" i="65"/>
  <c r="C332" i="65"/>
  <c r="C333" i="65"/>
  <c r="C334" i="65"/>
  <c r="C335" i="65"/>
  <c r="C336" i="65"/>
  <c r="C337" i="65"/>
  <c r="C338" i="65"/>
  <c r="C339" i="65"/>
  <c r="C340" i="65"/>
  <c r="C341" i="65"/>
  <c r="C342" i="65"/>
  <c r="C345" i="65"/>
  <c r="C348" i="65"/>
  <c r="C349" i="65"/>
  <c r="C350" i="65"/>
  <c r="C351" i="65"/>
  <c r="C352" i="65"/>
  <c r="C353" i="65"/>
  <c r="C354" i="65"/>
  <c r="C355" i="65"/>
  <c r="C356" i="65"/>
  <c r="C357" i="65"/>
  <c r="C358" i="65"/>
  <c r="C359" i="65"/>
  <c r="C360" i="65"/>
  <c r="C361" i="65"/>
  <c r="C362" i="65"/>
  <c r="C363" i="65"/>
  <c r="C364" i="65"/>
  <c r="C365" i="65"/>
  <c r="C366" i="65"/>
  <c r="C367" i="65"/>
  <c r="C368" i="65"/>
  <c r="C369" i="65"/>
  <c r="C370" i="65"/>
  <c r="C371" i="65"/>
  <c r="C372" i="65"/>
  <c r="C373" i="65"/>
  <c r="C374" i="65"/>
  <c r="C375" i="65"/>
  <c r="C376" i="65"/>
  <c r="C377" i="65"/>
  <c r="C378" i="65"/>
  <c r="C381" i="65"/>
  <c r="C382" i="65"/>
  <c r="C383" i="65"/>
  <c r="C384" i="65"/>
  <c r="C385" i="65"/>
  <c r="C388" i="65"/>
  <c r="C391" i="65"/>
  <c r="C392" i="65"/>
  <c r="C394" i="65"/>
  <c r="C395" i="65"/>
  <c r="C396" i="65"/>
  <c r="C397" i="65"/>
  <c r="C398" i="65"/>
  <c r="C399" i="65"/>
  <c r="C400" i="65"/>
  <c r="C401" i="65"/>
  <c r="C402" i="65"/>
  <c r="C403" i="65"/>
  <c r="C404" i="65"/>
  <c r="C405" i="65"/>
  <c r="C406" i="65"/>
  <c r="C407" i="65"/>
  <c r="C408" i="65"/>
  <c r="C317" i="65"/>
  <c r="C305" i="65"/>
  <c r="G299" i="65"/>
  <c r="C299" i="65"/>
  <c r="D299" i="65"/>
  <c r="C251" i="65"/>
  <c r="G251" i="65"/>
  <c r="C236" i="65"/>
  <c r="G236" i="65" s="1"/>
  <c r="G228" i="65"/>
  <c r="C228" i="65"/>
  <c r="G207" i="65"/>
  <c r="C207" i="65"/>
  <c r="C188" i="65"/>
  <c r="C186" i="65" s="1"/>
  <c r="G186" i="65" s="1"/>
  <c r="C189" i="65"/>
  <c r="C190" i="65"/>
  <c r="C191" i="65"/>
  <c r="C192" i="65"/>
  <c r="C193" i="65"/>
  <c r="C194" i="65"/>
  <c r="C195" i="65"/>
  <c r="C196" i="65"/>
  <c r="C197" i="65"/>
  <c r="C198" i="65"/>
  <c r="C199" i="65"/>
  <c r="C200" i="65"/>
  <c r="C201" i="65"/>
  <c r="C202" i="65"/>
  <c r="C203" i="65"/>
  <c r="C204" i="65"/>
  <c r="C205" i="65"/>
  <c r="C208" i="65"/>
  <c r="C209" i="65"/>
  <c r="C210" i="65"/>
  <c r="C211" i="65"/>
  <c r="C212" i="65"/>
  <c r="C213" i="65"/>
  <c r="C214" i="65"/>
  <c r="C215" i="65"/>
  <c r="C216" i="65"/>
  <c r="C217" i="65"/>
  <c r="C218" i="65"/>
  <c r="C219" i="65"/>
  <c r="C220" i="65"/>
  <c r="C221" i="65"/>
  <c r="C222" i="65"/>
  <c r="C223" i="65"/>
  <c r="C224" i="65"/>
  <c r="C225" i="65"/>
  <c r="C226" i="65"/>
  <c r="C229" i="65"/>
  <c r="C230" i="65"/>
  <c r="C231" i="65"/>
  <c r="C232" i="65"/>
  <c r="C233" i="65"/>
  <c r="C234" i="65"/>
  <c r="C237" i="65"/>
  <c r="C238" i="65"/>
  <c r="C239" i="65"/>
  <c r="C240" i="65"/>
  <c r="C241" i="65"/>
  <c r="C242" i="65"/>
  <c r="C243" i="65"/>
  <c r="C244" i="65"/>
  <c r="C245" i="65"/>
  <c r="C246" i="65"/>
  <c r="C247" i="65"/>
  <c r="C248" i="65"/>
  <c r="C249" i="65"/>
  <c r="C252" i="65"/>
  <c r="C253" i="65"/>
  <c r="C254" i="65"/>
  <c r="C255" i="65"/>
  <c r="C256" i="65"/>
  <c r="C257" i="65"/>
  <c r="C258" i="65"/>
  <c r="C259" i="65"/>
  <c r="C260" i="65"/>
  <c r="C261" i="65"/>
  <c r="C262" i="65"/>
  <c r="C263" i="65"/>
  <c r="C264" i="65"/>
  <c r="C265" i="65"/>
  <c r="C266" i="65"/>
  <c r="C267" i="65"/>
  <c r="C268" i="65"/>
  <c r="C269" i="65"/>
  <c r="C270" i="65"/>
  <c r="C271" i="65"/>
  <c r="C272" i="65"/>
  <c r="C273" i="65"/>
  <c r="C274" i="65"/>
  <c r="C275" i="65"/>
  <c r="C276" i="65"/>
  <c r="C277" i="65"/>
  <c r="C278" i="65"/>
  <c r="C279" i="65"/>
  <c r="C280" i="65"/>
  <c r="C281" i="65"/>
  <c r="C282" i="65"/>
  <c r="C283" i="65"/>
  <c r="C284" i="65"/>
  <c r="C285" i="65"/>
  <c r="C286" i="65"/>
  <c r="C287" i="65"/>
  <c r="C288" i="65"/>
  <c r="C289" i="65"/>
  <c r="C290" i="65"/>
  <c r="C291" i="65"/>
  <c r="C292" i="65"/>
  <c r="C293" i="65"/>
  <c r="C294" i="65"/>
  <c r="C295" i="65"/>
  <c r="C296" i="65"/>
  <c r="C297" i="65"/>
  <c r="C300" i="65"/>
  <c r="C301" i="65"/>
  <c r="C302" i="65"/>
  <c r="C303" i="65"/>
  <c r="C187" i="65"/>
  <c r="C182" i="65"/>
  <c r="C178" i="65"/>
  <c r="C179" i="65"/>
  <c r="C176" i="65" s="1"/>
  <c r="G176" i="65" s="1"/>
  <c r="C180" i="65"/>
  <c r="C177" i="65"/>
  <c r="C170" i="65"/>
  <c r="C171" i="65"/>
  <c r="C172" i="65"/>
  <c r="C173" i="65"/>
  <c r="C168" i="65" s="1"/>
  <c r="G168" i="65" s="1"/>
  <c r="C174" i="65"/>
  <c r="C169" i="65"/>
  <c r="C69" i="65"/>
  <c r="C70" i="65"/>
  <c r="C71" i="65"/>
  <c r="C72" i="65"/>
  <c r="C73" i="65"/>
  <c r="C74" i="65"/>
  <c r="C75" i="65"/>
  <c r="C76" i="65"/>
  <c r="C77" i="65"/>
  <c r="C78" i="65"/>
  <c r="C79" i="65"/>
  <c r="C80" i="65"/>
  <c r="C81" i="65"/>
  <c r="C82" i="65"/>
  <c r="C83" i="65"/>
  <c r="C84" i="65"/>
  <c r="C85" i="65"/>
  <c r="C86" i="65"/>
  <c r="C87" i="65"/>
  <c r="C88" i="65"/>
  <c r="C89" i="65"/>
  <c r="C90" i="65"/>
  <c r="C91" i="65"/>
  <c r="C92" i="65"/>
  <c r="C93" i="65"/>
  <c r="C94" i="65"/>
  <c r="C95" i="65"/>
  <c r="C96" i="65"/>
  <c r="C97" i="65"/>
  <c r="C98" i="65"/>
  <c r="C99" i="65"/>
  <c r="C100" i="65"/>
  <c r="C101" i="65"/>
  <c r="C102" i="65"/>
  <c r="C103" i="65"/>
  <c r="C104" i="65"/>
  <c r="C105" i="65"/>
  <c r="C106" i="65"/>
  <c r="C107" i="65"/>
  <c r="C108" i="65"/>
  <c r="C109" i="65"/>
  <c r="C110" i="65"/>
  <c r="C111" i="65"/>
  <c r="C112" i="65"/>
  <c r="C113" i="65"/>
  <c r="C114" i="65"/>
  <c r="C115" i="65"/>
  <c r="C116" i="65"/>
  <c r="C117" i="65"/>
  <c r="C118" i="65"/>
  <c r="C119" i="65"/>
  <c r="C120" i="65"/>
  <c r="C121" i="65"/>
  <c r="C122" i="65"/>
  <c r="C123" i="65"/>
  <c r="C124" i="65"/>
  <c r="C125" i="65"/>
  <c r="C126" i="65"/>
  <c r="C127" i="65"/>
  <c r="C128" i="65"/>
  <c r="C129" i="65"/>
  <c r="C130" i="65"/>
  <c r="C131" i="65"/>
  <c r="C132" i="65"/>
  <c r="C133" i="65"/>
  <c r="C134" i="65"/>
  <c r="C135" i="65"/>
  <c r="C136" i="65"/>
  <c r="C137" i="65"/>
  <c r="C138" i="65"/>
  <c r="C139" i="65"/>
  <c r="C140" i="65"/>
  <c r="C141" i="65"/>
  <c r="C142" i="65"/>
  <c r="C143" i="65"/>
  <c r="C144" i="65"/>
  <c r="C145" i="65"/>
  <c r="C146" i="65"/>
  <c r="C147" i="65"/>
  <c r="C148" i="65"/>
  <c r="C149" i="65"/>
  <c r="C150" i="65"/>
  <c r="C151" i="65"/>
  <c r="C152" i="65"/>
  <c r="C153" i="65"/>
  <c r="C154" i="65"/>
  <c r="C155" i="65"/>
  <c r="C156" i="65"/>
  <c r="C157" i="65"/>
  <c r="C158" i="65"/>
  <c r="C159" i="65"/>
  <c r="C160" i="65"/>
  <c r="C161" i="65"/>
  <c r="C162" i="65"/>
  <c r="C163" i="65"/>
  <c r="C164" i="65"/>
  <c r="C165" i="65"/>
  <c r="C166" i="65"/>
  <c r="C68" i="65"/>
  <c r="G34" i="65"/>
  <c r="G31" i="65"/>
  <c r="G21" i="65"/>
  <c r="C34" i="65"/>
  <c r="C31" i="65"/>
  <c r="C410" i="65"/>
  <c r="C21" i="65"/>
  <c r="G7" i="65"/>
  <c r="C7" i="65"/>
  <c r="C413" i="65" l="1"/>
  <c r="C421" i="65" s="1"/>
  <c r="C67" i="65"/>
  <c r="G67" i="65" s="1"/>
  <c r="D254" i="65"/>
  <c r="D284" i="65"/>
  <c r="D292" i="65"/>
  <c r="D177" i="65"/>
  <c r="D441" i="65"/>
  <c r="D410" i="65"/>
  <c r="D393" i="65"/>
  <c r="D391" i="65"/>
  <c r="D390" i="65" s="1"/>
  <c r="D387" i="65"/>
  <c r="D380" i="65"/>
  <c r="D344" i="65"/>
  <c r="D305" i="65"/>
  <c r="D296" i="65"/>
  <c r="D264" i="65"/>
  <c r="D259" i="65"/>
  <c r="D258" i="65"/>
  <c r="D257" i="65"/>
  <c r="D236" i="65"/>
  <c r="D228" i="65"/>
  <c r="D207" i="65"/>
  <c r="D205" i="65"/>
  <c r="D200" i="65"/>
  <c r="D196" i="65"/>
  <c r="D182" i="65"/>
  <c r="D168" i="65"/>
  <c r="D163" i="65"/>
  <c r="D162" i="65"/>
  <c r="D161" i="65"/>
  <c r="D160" i="65"/>
  <c r="D159" i="65"/>
  <c r="D158" i="65"/>
  <c r="D157" i="65"/>
  <c r="D156" i="65"/>
  <c r="D155" i="65"/>
  <c r="D154" i="65"/>
  <c r="D153" i="65"/>
  <c r="D152" i="65"/>
  <c r="D151" i="65"/>
  <c r="D150" i="65"/>
  <c r="D149" i="65"/>
  <c r="D148" i="65"/>
  <c r="D147" i="65"/>
  <c r="D99" i="65"/>
  <c r="D98" i="65"/>
  <c r="D78" i="65"/>
  <c r="D77" i="65"/>
  <c r="D76" i="65"/>
  <c r="D70" i="65"/>
  <c r="D34" i="65"/>
  <c r="D31" i="65"/>
  <c r="D21" i="65"/>
  <c r="D7" i="65"/>
  <c r="C310" i="65" l="1"/>
  <c r="C420" i="65" s="1"/>
  <c r="C423" i="65" s="1"/>
  <c r="D316" i="65"/>
  <c r="D251" i="65"/>
  <c r="D67" i="65"/>
  <c r="D176" i="65"/>
  <c r="D186" i="65"/>
  <c r="D347" i="65"/>
  <c r="D413" i="65" s="1"/>
  <c r="D310" i="65" l="1"/>
  <c r="D420" i="65" s="1"/>
  <c r="D421" i="65"/>
  <c r="D423" i="65" l="1"/>
  <c r="D442" i="65" s="1"/>
  <c r="D9" i="62" l="1"/>
  <c r="D515" i="62" l="1"/>
  <c r="C515" i="62"/>
  <c r="F514" i="62"/>
  <c r="H514" i="62" s="1"/>
  <c r="F513" i="62"/>
  <c r="H513" i="62" s="1"/>
  <c r="F512" i="62"/>
  <c r="H512" i="62" s="1"/>
  <c r="F509" i="62"/>
  <c r="H509" i="62" s="1"/>
  <c r="F508" i="62"/>
  <c r="H508" i="62" s="1"/>
  <c r="F507" i="62"/>
  <c r="H507" i="62" s="1"/>
  <c r="F505" i="62"/>
  <c r="H505" i="62" s="1"/>
  <c r="F502" i="62"/>
  <c r="B500" i="62"/>
  <c r="B499" i="62"/>
  <c r="D484" i="62"/>
  <c r="C484" i="62"/>
  <c r="L483" i="62"/>
  <c r="L482" i="62"/>
  <c r="L481" i="62"/>
  <c r="L480" i="62"/>
  <c r="L479" i="62"/>
  <c r="L478" i="62"/>
  <c r="L477" i="62"/>
  <c r="L476" i="62"/>
  <c r="L475" i="62"/>
  <c r="L474" i="62"/>
  <c r="H474" i="62"/>
  <c r="L473" i="62"/>
  <c r="L472" i="62"/>
  <c r="L471" i="62"/>
  <c r="L470" i="62"/>
  <c r="L469" i="62"/>
  <c r="L468" i="62"/>
  <c r="D467" i="62"/>
  <c r="C467" i="62"/>
  <c r="L466" i="62"/>
  <c r="L465" i="62"/>
  <c r="L464" i="62"/>
  <c r="L463" i="62"/>
  <c r="L462" i="62"/>
  <c r="L461" i="62"/>
  <c r="L460" i="62"/>
  <c r="L459" i="62"/>
  <c r="L458" i="62"/>
  <c r="L457" i="62"/>
  <c r="D456" i="62"/>
  <c r="C456" i="62"/>
  <c r="D453" i="62"/>
  <c r="C453" i="62"/>
  <c r="D445" i="62"/>
  <c r="C445" i="62"/>
  <c r="L442" i="62"/>
  <c r="L441" i="62"/>
  <c r="L440" i="62"/>
  <c r="L439" i="62"/>
  <c r="L438" i="62"/>
  <c r="L437" i="62"/>
  <c r="J436" i="62"/>
  <c r="D436" i="62"/>
  <c r="L436" i="62" s="1"/>
  <c r="C436" i="62"/>
  <c r="L435" i="62"/>
  <c r="L434" i="62"/>
  <c r="L433" i="62"/>
  <c r="L432" i="62"/>
  <c r="L431" i="62"/>
  <c r="L430" i="62"/>
  <c r="J430" i="62"/>
  <c r="G405" i="62" s="1"/>
  <c r="D430" i="62"/>
  <c r="C430" i="62"/>
  <c r="L429" i="62"/>
  <c r="L428" i="62"/>
  <c r="I427" i="62"/>
  <c r="D427" i="62"/>
  <c r="F511" i="62" s="1"/>
  <c r="H511" i="62" s="1"/>
  <c r="C427" i="62"/>
  <c r="L426" i="62"/>
  <c r="L425" i="62"/>
  <c r="L424" i="62"/>
  <c r="L423" i="62"/>
  <c r="L422" i="62"/>
  <c r="L421" i="62"/>
  <c r="L420" i="62"/>
  <c r="L419" i="62"/>
  <c r="L418" i="62"/>
  <c r="L417" i="62"/>
  <c r="L416" i="62"/>
  <c r="L415" i="62"/>
  <c r="L414" i="62"/>
  <c r="L413" i="62"/>
  <c r="L412" i="62"/>
  <c r="L411" i="62"/>
  <c r="L410" i="62"/>
  <c r="L409" i="62"/>
  <c r="L408" i="62"/>
  <c r="L407" i="62"/>
  <c r="D406" i="62"/>
  <c r="L405" i="62"/>
  <c r="L404" i="62"/>
  <c r="D403" i="62"/>
  <c r="C403" i="62"/>
  <c r="L403" i="62" s="1"/>
  <c r="L402" i="62"/>
  <c r="L401" i="62"/>
  <c r="L400" i="62"/>
  <c r="L399" i="62"/>
  <c r="L398" i="62"/>
  <c r="L397" i="62"/>
  <c r="L396" i="62"/>
  <c r="L395" i="62"/>
  <c r="J395" i="62"/>
  <c r="D395" i="62"/>
  <c r="C395" i="62"/>
  <c r="L394" i="62"/>
  <c r="L393" i="62"/>
  <c r="J392" i="62"/>
  <c r="G371" i="62" s="1"/>
  <c r="D392" i="62"/>
  <c r="C392" i="62"/>
  <c r="L391" i="62"/>
  <c r="L390" i="62"/>
  <c r="L389" i="62"/>
  <c r="I389" i="62"/>
  <c r="D389" i="62"/>
  <c r="G388" i="62" s="1"/>
  <c r="C389" i="62"/>
  <c r="C369" i="62" s="1"/>
  <c r="L388" i="62"/>
  <c r="L387" i="62"/>
  <c r="L386" i="62"/>
  <c r="L385" i="62"/>
  <c r="L384" i="62"/>
  <c r="L383" i="62"/>
  <c r="L382" i="62"/>
  <c r="L381" i="62"/>
  <c r="L380" i="62"/>
  <c r="L379" i="62"/>
  <c r="L378" i="62"/>
  <c r="L377" i="62"/>
  <c r="L376" i="62"/>
  <c r="L375" i="62"/>
  <c r="L374" i="62"/>
  <c r="L373" i="62"/>
  <c r="L372" i="62"/>
  <c r="L371" i="62"/>
  <c r="L370" i="62"/>
  <c r="L368" i="62"/>
  <c r="L367" i="62"/>
  <c r="L366" i="62"/>
  <c r="L365" i="62"/>
  <c r="L364" i="62"/>
  <c r="L362" i="62"/>
  <c r="L361" i="62"/>
  <c r="L360" i="62"/>
  <c r="L359" i="62"/>
  <c r="L358" i="62"/>
  <c r="L357" i="62"/>
  <c r="D357" i="62"/>
  <c r="C357" i="62"/>
  <c r="L356" i="62"/>
  <c r="L355" i="62"/>
  <c r="L354" i="62"/>
  <c r="L353" i="62"/>
  <c r="L352" i="62"/>
  <c r="L351" i="62"/>
  <c r="D351" i="62"/>
  <c r="C351" i="62"/>
  <c r="L350" i="62"/>
  <c r="L349" i="62"/>
  <c r="L348" i="62"/>
  <c r="L347" i="62"/>
  <c r="L346" i="62"/>
  <c r="L345" i="62"/>
  <c r="L344" i="62"/>
  <c r="L343" i="62"/>
  <c r="L342" i="62"/>
  <c r="L341" i="62"/>
  <c r="L340" i="62"/>
  <c r="L339" i="62"/>
  <c r="L338" i="62"/>
  <c r="L337" i="62"/>
  <c r="L336" i="62"/>
  <c r="J335" i="62"/>
  <c r="D335" i="62"/>
  <c r="L335" i="62" s="1"/>
  <c r="J334" i="62"/>
  <c r="D334" i="62"/>
  <c r="C334" i="62"/>
  <c r="L333" i="62"/>
  <c r="J332" i="62"/>
  <c r="D332" i="62"/>
  <c r="L332" i="62" s="1"/>
  <c r="C332" i="62"/>
  <c r="L331" i="62"/>
  <c r="L330" i="62"/>
  <c r="L329" i="62"/>
  <c r="L328" i="62"/>
  <c r="L327" i="62"/>
  <c r="D326" i="62"/>
  <c r="L326" i="62" s="1"/>
  <c r="L325" i="62"/>
  <c r="L324" i="62"/>
  <c r="L323" i="62"/>
  <c r="L322" i="62"/>
  <c r="L321" i="62"/>
  <c r="L320" i="62"/>
  <c r="L319" i="62"/>
  <c r="L318" i="62"/>
  <c r="H318" i="62"/>
  <c r="L317" i="62"/>
  <c r="L316" i="62"/>
  <c r="L315" i="62"/>
  <c r="L314" i="62"/>
  <c r="L313" i="62"/>
  <c r="L312" i="62"/>
  <c r="L311" i="62"/>
  <c r="L310" i="62"/>
  <c r="L309" i="62"/>
  <c r="L308" i="62"/>
  <c r="L307" i="62"/>
  <c r="L306" i="62"/>
  <c r="L305" i="62"/>
  <c r="L304" i="62"/>
  <c r="L303" i="62"/>
  <c r="L302" i="62"/>
  <c r="L301" i="62"/>
  <c r="L300" i="62"/>
  <c r="L299" i="62"/>
  <c r="D298" i="62"/>
  <c r="L298" i="62" s="1"/>
  <c r="L297" i="62"/>
  <c r="L296" i="62"/>
  <c r="L295" i="62"/>
  <c r="L294" i="62"/>
  <c r="D293" i="62"/>
  <c r="L293" i="62" s="1"/>
  <c r="D292" i="62"/>
  <c r="L292" i="62" s="1"/>
  <c r="D291" i="62"/>
  <c r="L290" i="62"/>
  <c r="L289" i="62"/>
  <c r="L288" i="62"/>
  <c r="L287" i="62"/>
  <c r="L286" i="62"/>
  <c r="D274" i="62"/>
  <c r="C274" i="62"/>
  <c r="D266" i="62"/>
  <c r="C266" i="62"/>
  <c r="D247" i="62"/>
  <c r="C247" i="62"/>
  <c r="D245" i="62"/>
  <c r="C245" i="62"/>
  <c r="D239" i="62"/>
  <c r="D225" i="62" s="1"/>
  <c r="C237" i="62"/>
  <c r="D235" i="62"/>
  <c r="C225" i="62"/>
  <c r="D221" i="62"/>
  <c r="C221" i="62"/>
  <c r="D213" i="62"/>
  <c r="C213" i="62"/>
  <c r="D204" i="62"/>
  <c r="C204" i="62"/>
  <c r="D199" i="62"/>
  <c r="C199" i="62"/>
  <c r="D198" i="62"/>
  <c r="C198" i="62"/>
  <c r="D197" i="62"/>
  <c r="C197" i="62"/>
  <c r="D196" i="62"/>
  <c r="C196" i="62"/>
  <c r="D195" i="62"/>
  <c r="C195" i="62"/>
  <c r="D194" i="62"/>
  <c r="C194" i="62"/>
  <c r="D193" i="62"/>
  <c r="C193" i="62"/>
  <c r="D192" i="62"/>
  <c r="C192" i="62"/>
  <c r="D191" i="62"/>
  <c r="C191" i="62"/>
  <c r="D190" i="62"/>
  <c r="C190" i="62"/>
  <c r="D189" i="62"/>
  <c r="C189" i="62"/>
  <c r="D188" i="62"/>
  <c r="C188" i="62"/>
  <c r="D187" i="62"/>
  <c r="C187" i="62"/>
  <c r="D186" i="62"/>
  <c r="C186" i="62"/>
  <c r="D185" i="62"/>
  <c r="C185" i="62"/>
  <c r="D184" i="62"/>
  <c r="C184" i="62"/>
  <c r="D183" i="62"/>
  <c r="C183" i="62"/>
  <c r="C182" i="62"/>
  <c r="C181" i="62"/>
  <c r="C180" i="62"/>
  <c r="C179" i="62"/>
  <c r="C178" i="62"/>
  <c r="C177" i="62"/>
  <c r="C176" i="62"/>
  <c r="C175" i="62"/>
  <c r="C174" i="62"/>
  <c r="C173" i="62"/>
  <c r="C172" i="62"/>
  <c r="C171" i="62"/>
  <c r="C170" i="62"/>
  <c r="C169" i="62"/>
  <c r="C168" i="62"/>
  <c r="C167" i="62"/>
  <c r="C166" i="62"/>
  <c r="D135" i="62"/>
  <c r="D134" i="62"/>
  <c r="D114" i="62"/>
  <c r="C114" i="62"/>
  <c r="D113" i="62"/>
  <c r="C113" i="62"/>
  <c r="D112" i="62"/>
  <c r="D103" i="62" s="1"/>
  <c r="C112" i="62"/>
  <c r="D106" i="62"/>
  <c r="D97" i="62"/>
  <c r="D64" i="62"/>
  <c r="C64" i="62"/>
  <c r="D60" i="62"/>
  <c r="C60" i="62"/>
  <c r="I57" i="62"/>
  <c r="I56" i="62"/>
  <c r="I55" i="62"/>
  <c r="I54" i="62"/>
  <c r="C54" i="62"/>
  <c r="I53" i="62"/>
  <c r="I52" i="62"/>
  <c r="I51" i="62"/>
  <c r="I50" i="62"/>
  <c r="D49" i="62"/>
  <c r="I49" i="62" s="1"/>
  <c r="I48" i="62"/>
  <c r="I47" i="62"/>
  <c r="I46" i="62"/>
  <c r="I45" i="62"/>
  <c r="I44" i="62"/>
  <c r="I43" i="62"/>
  <c r="D42" i="62"/>
  <c r="I41" i="62"/>
  <c r="I40" i="62"/>
  <c r="I39" i="62"/>
  <c r="C30" i="62"/>
  <c r="D28" i="62"/>
  <c r="C26" i="62"/>
  <c r="D13" i="62"/>
  <c r="C13" i="62"/>
  <c r="D11" i="62"/>
  <c r="D10" i="62"/>
  <c r="F503" i="62" s="1"/>
  <c r="H503" i="62" s="1"/>
  <c r="D8" i="62"/>
  <c r="C7" i="62"/>
  <c r="G38" i="62" l="1"/>
  <c r="D30" i="62"/>
  <c r="H31" i="62" s="1"/>
  <c r="H33" i="62" s="1"/>
  <c r="H35" i="62" s="1"/>
  <c r="F504" i="62"/>
  <c r="I42" i="62"/>
  <c r="H32" i="62" s="1"/>
  <c r="L334" i="62"/>
  <c r="C285" i="62"/>
  <c r="L484" i="62"/>
  <c r="D7" i="62"/>
  <c r="J11" i="62"/>
  <c r="J490" i="62" s="1"/>
  <c r="G11" i="62"/>
  <c r="D26" i="62"/>
  <c r="K28" i="62"/>
  <c r="K490" i="62" s="1"/>
  <c r="I490" i="62"/>
  <c r="L392" i="62"/>
  <c r="F510" i="62"/>
  <c r="H510" i="62" s="1"/>
  <c r="G404" i="62"/>
  <c r="G406" i="62" s="1"/>
  <c r="G408" i="62" s="1"/>
  <c r="C103" i="62"/>
  <c r="C363" i="62" s="1"/>
  <c r="D285" i="62"/>
  <c r="F506" i="62"/>
  <c r="H506" i="62" s="1"/>
  <c r="L291" i="62"/>
  <c r="L427" i="62"/>
  <c r="C406" i="62"/>
  <c r="L406" i="62" s="1"/>
  <c r="D369" i="62"/>
  <c r="H502" i="62"/>
  <c r="C223" i="59"/>
  <c r="D363" i="62" l="1"/>
  <c r="D494" i="62" s="1"/>
  <c r="C494" i="62"/>
  <c r="F515" i="62"/>
  <c r="G370" i="62"/>
  <c r="G372" i="62" s="1"/>
  <c r="G373" i="62" s="1"/>
  <c r="L369" i="62"/>
  <c r="C487" i="62"/>
  <c r="C495" i="62" s="1"/>
  <c r="D487" i="62"/>
  <c r="D495" i="62" s="1"/>
  <c r="H504" i="62"/>
  <c r="H515" i="62" s="1"/>
  <c r="I470" i="59"/>
  <c r="D497" i="62" l="1"/>
  <c r="D516" i="62" s="1"/>
  <c r="L363" i="62"/>
  <c r="C497" i="62"/>
  <c r="C516" i="62" s="1"/>
  <c r="F516" i="62"/>
  <c r="E511" i="62" s="1"/>
  <c r="G511" i="62" s="1"/>
  <c r="E508" i="62"/>
  <c r="G508" i="62" s="1"/>
  <c r="E510" i="62"/>
  <c r="G510" i="62" s="1"/>
  <c r="I481" i="59"/>
  <c r="I476" i="59"/>
  <c r="E509" i="62" l="1"/>
  <c r="G509" i="62" s="1"/>
  <c r="E512" i="62"/>
  <c r="G512" i="62" s="1"/>
  <c r="E513" i="62"/>
  <c r="G513" i="62" s="1"/>
  <c r="E503" i="62"/>
  <c r="G503" i="62" s="1"/>
  <c r="E502" i="62"/>
  <c r="E507" i="62"/>
  <c r="G507" i="62" s="1"/>
  <c r="E504" i="62"/>
  <c r="G504" i="62" s="1"/>
  <c r="E506" i="62"/>
  <c r="G506" i="62" s="1"/>
  <c r="E514" i="62"/>
  <c r="G514" i="62" s="1"/>
  <c r="E505" i="62"/>
  <c r="G505" i="62" s="1"/>
  <c r="G93" i="59"/>
  <c r="E515" i="62" l="1"/>
  <c r="G502" i="62"/>
  <c r="G515" i="62" s="1"/>
  <c r="G93" i="55"/>
  <c r="G91" i="55"/>
  <c r="G90" i="55"/>
  <c r="G72" i="59" l="1"/>
  <c r="G70" i="59"/>
  <c r="G220" i="59"/>
  <c r="H443" i="59" l="1"/>
  <c r="H444" i="59" l="1"/>
  <c r="C28" i="60" l="1"/>
  <c r="B28" i="60"/>
  <c r="C27" i="60"/>
  <c r="B27" i="60"/>
  <c r="C26" i="60"/>
  <c r="B26" i="60"/>
  <c r="B25" i="60"/>
  <c r="B24" i="60"/>
  <c r="C23" i="60"/>
  <c r="B23" i="60"/>
  <c r="C22" i="60"/>
  <c r="B22" i="60"/>
  <c r="C21" i="60"/>
  <c r="B21" i="60"/>
  <c r="C19" i="60"/>
  <c r="B19" i="60"/>
  <c r="B17" i="60"/>
  <c r="C16" i="60"/>
  <c r="B16" i="60"/>
  <c r="J497" i="60"/>
  <c r="J498" i="60" s="1"/>
  <c r="H489" i="60"/>
  <c r="B4" i="60"/>
  <c r="D397" i="59" l="1"/>
  <c r="C397" i="59"/>
  <c r="I383" i="59" l="1"/>
  <c r="D383" i="59"/>
  <c r="I349" i="59"/>
  <c r="D349" i="59"/>
  <c r="I40" i="59" l="1"/>
  <c r="I41" i="59"/>
  <c r="I43" i="59"/>
  <c r="I44" i="59"/>
  <c r="I45" i="59"/>
  <c r="I46" i="59"/>
  <c r="I47" i="59"/>
  <c r="I48" i="59"/>
  <c r="I50" i="59"/>
  <c r="I51" i="59"/>
  <c r="I52" i="59"/>
  <c r="I53" i="59"/>
  <c r="I54" i="59"/>
  <c r="I55" i="59"/>
  <c r="I56" i="59"/>
  <c r="I39" i="59"/>
  <c r="D386" i="59"/>
  <c r="C25" i="60" s="1"/>
  <c r="D388" i="59"/>
  <c r="D352" i="59"/>
  <c r="D355" i="59"/>
  <c r="D8" i="59"/>
  <c r="D10" i="59"/>
  <c r="D9" i="59"/>
  <c r="D463" i="59"/>
  <c r="C463" i="59"/>
  <c r="F462" i="59"/>
  <c r="H462" i="59" s="1"/>
  <c r="F461" i="59"/>
  <c r="H461" i="59" s="1"/>
  <c r="F460" i="59"/>
  <c r="H460" i="59" s="1"/>
  <c r="F457" i="59"/>
  <c r="H457" i="59" s="1"/>
  <c r="F456" i="59"/>
  <c r="H456" i="59" s="1"/>
  <c r="F455" i="59"/>
  <c r="H455" i="59" s="1"/>
  <c r="F453" i="59"/>
  <c r="H453" i="59" s="1"/>
  <c r="F450" i="59"/>
  <c r="B448" i="59"/>
  <c r="B447" i="59"/>
  <c r="D432" i="59"/>
  <c r="C432" i="59"/>
  <c r="D419" i="59"/>
  <c r="C419" i="59"/>
  <c r="D408" i="59"/>
  <c r="C408" i="59"/>
  <c r="D405" i="59"/>
  <c r="C405" i="59"/>
  <c r="J388" i="59"/>
  <c r="C365" i="59"/>
  <c r="D362" i="59"/>
  <c r="C362" i="59"/>
  <c r="J355" i="59"/>
  <c r="C332" i="59"/>
  <c r="D320" i="59"/>
  <c r="C320" i="59"/>
  <c r="D315" i="59"/>
  <c r="C315" i="59"/>
  <c r="J299" i="59"/>
  <c r="D299" i="59"/>
  <c r="J298" i="59"/>
  <c r="D298" i="59"/>
  <c r="C298" i="59"/>
  <c r="J296" i="59"/>
  <c r="D296" i="59"/>
  <c r="C296" i="59"/>
  <c r="H286" i="59"/>
  <c r="D266" i="59"/>
  <c r="D261" i="59"/>
  <c r="D260" i="59"/>
  <c r="D259" i="59"/>
  <c r="D245" i="59"/>
  <c r="C245" i="59"/>
  <c r="D239" i="59"/>
  <c r="C239" i="59"/>
  <c r="D225" i="59"/>
  <c r="C225" i="59"/>
  <c r="D223" i="59"/>
  <c r="K438" i="59" s="1"/>
  <c r="D219" i="59"/>
  <c r="C217" i="59"/>
  <c r="C205" i="59" s="1"/>
  <c r="D215" i="59"/>
  <c r="D202" i="59"/>
  <c r="C202" i="59"/>
  <c r="D195" i="59"/>
  <c r="C195" i="59"/>
  <c r="D187" i="59"/>
  <c r="C187" i="59"/>
  <c r="D135" i="59"/>
  <c r="D134" i="59"/>
  <c r="D114" i="59"/>
  <c r="C114" i="59"/>
  <c r="D113" i="59"/>
  <c r="C113" i="59"/>
  <c r="D112" i="59"/>
  <c r="C112" i="59"/>
  <c r="D106" i="59"/>
  <c r="D97" i="59"/>
  <c r="D64" i="59" s="1"/>
  <c r="C64" i="59"/>
  <c r="D60" i="59"/>
  <c r="C60" i="59"/>
  <c r="C54" i="59"/>
  <c r="D49" i="59"/>
  <c r="I49" i="59" s="1"/>
  <c r="D42" i="59"/>
  <c r="D26" i="59"/>
  <c r="C26" i="59"/>
  <c r="D13" i="59"/>
  <c r="C13" i="59"/>
  <c r="D11" i="59"/>
  <c r="C7" i="59"/>
  <c r="C20" i="60" l="1"/>
  <c r="C24" i="60"/>
  <c r="I42" i="59"/>
  <c r="I438" i="59" s="1"/>
  <c r="C18" i="60"/>
  <c r="E4" i="60"/>
  <c r="B20" i="60"/>
  <c r="C30" i="59"/>
  <c r="D4" i="60"/>
  <c r="B18" i="60"/>
  <c r="H450" i="59"/>
  <c r="C17" i="60"/>
  <c r="J11" i="59"/>
  <c r="J438" i="59" s="1"/>
  <c r="G11" i="59"/>
  <c r="D365" i="59"/>
  <c r="C435" i="59"/>
  <c r="C443" i="59" s="1"/>
  <c r="D332" i="59"/>
  <c r="F454" i="59"/>
  <c r="H454" i="59" s="1"/>
  <c r="D7" i="59"/>
  <c r="F452" i="59"/>
  <c r="H452" i="59" s="1"/>
  <c r="D103" i="59"/>
  <c r="D205" i="59"/>
  <c r="C103" i="59"/>
  <c r="C253" i="59"/>
  <c r="D30" i="59"/>
  <c r="D253" i="59"/>
  <c r="F451" i="59"/>
  <c r="F458" i="59"/>
  <c r="H458" i="59" s="1"/>
  <c r="F459" i="59"/>
  <c r="H459" i="59" s="1"/>
  <c r="E531" i="55"/>
  <c r="C326" i="59" l="1"/>
  <c r="C442" i="59" s="1"/>
  <c r="C445" i="59" s="1"/>
  <c r="D326" i="59"/>
  <c r="D442" i="59" s="1"/>
  <c r="B29" i="60"/>
  <c r="C29" i="60"/>
  <c r="D435" i="59"/>
  <c r="D443" i="59" s="1"/>
  <c r="I443" i="59"/>
  <c r="F463" i="59"/>
  <c r="H451" i="59"/>
  <c r="H463" i="59" s="1"/>
  <c r="E4" i="58"/>
  <c r="D4" i="58"/>
  <c r="C28" i="58"/>
  <c r="C27" i="58"/>
  <c r="C26" i="58"/>
  <c r="C25" i="58"/>
  <c r="C24" i="58"/>
  <c r="C23" i="58"/>
  <c r="C22" i="58"/>
  <c r="F498" i="55"/>
  <c r="H498" i="55" s="1"/>
  <c r="C18" i="58"/>
  <c r="C17" i="58"/>
  <c r="C16" i="58"/>
  <c r="B28" i="58"/>
  <c r="B27" i="58"/>
  <c r="B26" i="58"/>
  <c r="B25" i="58"/>
  <c r="B24" i="58"/>
  <c r="B23" i="58"/>
  <c r="B22" i="58"/>
  <c r="B21" i="58"/>
  <c r="B20" i="58"/>
  <c r="B19" i="58"/>
  <c r="B18" i="58"/>
  <c r="F502" i="55"/>
  <c r="H502" i="55" s="1"/>
  <c r="B16" i="58"/>
  <c r="B17" i="58"/>
  <c r="C21" i="58"/>
  <c r="J497" i="58"/>
  <c r="J498" i="58" s="1"/>
  <c r="H489" i="58"/>
  <c r="B4" i="58"/>
  <c r="C477" i="55"/>
  <c r="C359" i="55"/>
  <c r="C323" i="57"/>
  <c r="C426" i="57"/>
  <c r="D426" i="57"/>
  <c r="D414" i="57"/>
  <c r="C414" i="57"/>
  <c r="D398" i="57"/>
  <c r="C398" i="57"/>
  <c r="D395" i="57"/>
  <c r="C395" i="57"/>
  <c r="D388" i="57"/>
  <c r="C388" i="57"/>
  <c r="D381" i="57"/>
  <c r="C363" i="57"/>
  <c r="D360" i="57"/>
  <c r="C360" i="57"/>
  <c r="D353" i="57"/>
  <c r="G338" i="57"/>
  <c r="G339" i="57" s="1"/>
  <c r="D312" i="57"/>
  <c r="C312" i="57"/>
  <c r="D307" i="57"/>
  <c r="C307" i="57"/>
  <c r="D265" i="57"/>
  <c r="D264" i="57"/>
  <c r="C264" i="57"/>
  <c r="D262" i="57"/>
  <c r="C262" i="57"/>
  <c r="D236" i="57"/>
  <c r="D231" i="57"/>
  <c r="D230" i="57"/>
  <c r="D229" i="57"/>
  <c r="D211" i="57"/>
  <c r="C211" i="57"/>
  <c r="D203" i="57"/>
  <c r="C203" i="57"/>
  <c r="D186" i="57"/>
  <c r="C186" i="57"/>
  <c r="D184" i="57"/>
  <c r="D181" i="57"/>
  <c r="C179" i="57"/>
  <c r="C167" i="57" s="1"/>
  <c r="D177" i="57"/>
  <c r="D164" i="57"/>
  <c r="C164" i="57"/>
  <c r="D157" i="57"/>
  <c r="C157" i="57"/>
  <c r="D150" i="57"/>
  <c r="C150" i="57"/>
  <c r="D118" i="57"/>
  <c r="D117" i="57"/>
  <c r="D97" i="57"/>
  <c r="C97" i="57"/>
  <c r="D96" i="57"/>
  <c r="C96" i="57"/>
  <c r="D95" i="57"/>
  <c r="C95" i="57"/>
  <c r="D89" i="57"/>
  <c r="D80" i="57"/>
  <c r="D51" i="57" s="1"/>
  <c r="C51" i="57"/>
  <c r="D48" i="57"/>
  <c r="C48" i="57"/>
  <c r="C44" i="57"/>
  <c r="C22" i="57" s="1"/>
  <c r="D39" i="57"/>
  <c r="D32" i="57"/>
  <c r="D18" i="57"/>
  <c r="C18" i="57"/>
  <c r="D12" i="57"/>
  <c r="C12" i="57"/>
  <c r="D10" i="57"/>
  <c r="D9" i="57"/>
  <c r="D8" i="57"/>
  <c r="C6" i="57"/>
  <c r="C464" i="59" l="1"/>
  <c r="D445" i="59"/>
  <c r="C86" i="57"/>
  <c r="C223" i="57"/>
  <c r="C317" i="57" s="1"/>
  <c r="D223" i="57"/>
  <c r="C429" i="57"/>
  <c r="C437" i="57" s="1"/>
  <c r="D167" i="57"/>
  <c r="D323" i="57"/>
  <c r="D6" i="57"/>
  <c r="D86" i="57"/>
  <c r="D363" i="57"/>
  <c r="D22" i="57"/>
  <c r="D464" i="59" l="1"/>
  <c r="D429" i="57"/>
  <c r="D317" i="57"/>
  <c r="D436" i="57" s="1"/>
  <c r="C436" i="57"/>
  <c r="C439" i="57" s="1"/>
  <c r="D437" i="57"/>
  <c r="D439" i="57" l="1"/>
  <c r="I527" i="55" l="1"/>
  <c r="C65" i="55"/>
  <c r="H489" i="55" l="1"/>
  <c r="I54" i="55" l="1"/>
  <c r="I47" i="55"/>
  <c r="D207" i="55" l="1"/>
  <c r="K207" i="55" s="1"/>
  <c r="B493" i="55" l="1"/>
  <c r="B494" i="55"/>
  <c r="J424" i="55" l="1"/>
  <c r="J389" i="55"/>
  <c r="J14" i="55"/>
  <c r="D439" i="55" l="1"/>
  <c r="C439" i="55"/>
  <c r="D16" i="55" l="1"/>
  <c r="J16" i="55" s="1"/>
  <c r="C396" i="55" l="1"/>
  <c r="D509" i="55"/>
  <c r="C509" i="55"/>
  <c r="K484" i="55"/>
  <c r="D477" i="55"/>
  <c r="D465" i="55"/>
  <c r="C465" i="55"/>
  <c r="D449" i="55"/>
  <c r="C449" i="55"/>
  <c r="D446" i="55"/>
  <c r="C446" i="55"/>
  <c r="D436" i="55"/>
  <c r="C436" i="55"/>
  <c r="D424" i="55"/>
  <c r="C399" i="55"/>
  <c r="D396" i="55"/>
  <c r="D389" i="55"/>
  <c r="G374" i="55"/>
  <c r="G375" i="55" s="1"/>
  <c r="D347" i="55"/>
  <c r="C347" i="55"/>
  <c r="D344" i="55"/>
  <c r="C344" i="55"/>
  <c r="D338" i="55"/>
  <c r="C338" i="55"/>
  <c r="J295" i="55"/>
  <c r="D295" i="55"/>
  <c r="J294" i="55"/>
  <c r="D294" i="55"/>
  <c r="C294" i="55"/>
  <c r="J292" i="55"/>
  <c r="D292" i="55"/>
  <c r="C292" i="55"/>
  <c r="H286" i="55"/>
  <c r="D266" i="55"/>
  <c r="D261" i="55"/>
  <c r="D260" i="55"/>
  <c r="D259" i="55"/>
  <c r="D250" i="55"/>
  <c r="D234" i="55" s="1"/>
  <c r="C250" i="55"/>
  <c r="C234" i="55" s="1"/>
  <c r="D226" i="55"/>
  <c r="C226" i="55"/>
  <c r="D209" i="55"/>
  <c r="C209" i="55"/>
  <c r="D204" i="55"/>
  <c r="C202" i="55"/>
  <c r="C190" i="55" s="1"/>
  <c r="D200" i="55"/>
  <c r="D187" i="55"/>
  <c r="C187" i="55"/>
  <c r="D179" i="55"/>
  <c r="C179" i="55"/>
  <c r="D172" i="55"/>
  <c r="C172" i="55"/>
  <c r="D140" i="55"/>
  <c r="D139" i="55"/>
  <c r="D119" i="55"/>
  <c r="C119" i="55"/>
  <c r="D118" i="55"/>
  <c r="C118" i="55"/>
  <c r="D117" i="55"/>
  <c r="C117" i="55"/>
  <c r="C108" i="55" s="1"/>
  <c r="D111" i="55"/>
  <c r="D102" i="55"/>
  <c r="D69" i="55" s="1"/>
  <c r="C69" i="55"/>
  <c r="D65" i="55"/>
  <c r="C59" i="55"/>
  <c r="D54" i="55"/>
  <c r="D47" i="55"/>
  <c r="D33" i="55"/>
  <c r="C33" i="55"/>
  <c r="D18" i="55"/>
  <c r="C18" i="55"/>
  <c r="D15" i="55"/>
  <c r="D14" i="55"/>
  <c r="C12" i="55"/>
  <c r="D7" i="55"/>
  <c r="C7" i="55"/>
  <c r="C20" i="58" l="1"/>
  <c r="D253" i="55"/>
  <c r="C253" i="55"/>
  <c r="C353" i="55" s="1"/>
  <c r="B29" i="58"/>
  <c r="C19" i="58"/>
  <c r="H490" i="55"/>
  <c r="C481" i="55"/>
  <c r="D399" i="55"/>
  <c r="J484" i="55"/>
  <c r="D190" i="55"/>
  <c r="D359" i="55"/>
  <c r="D37" i="55"/>
  <c r="D108" i="55"/>
  <c r="I484" i="55"/>
  <c r="C489" i="55"/>
  <c r="D12" i="55"/>
  <c r="C37" i="55"/>
  <c r="D353" i="55" l="1"/>
  <c r="D488" i="55" s="1"/>
  <c r="C29" i="58"/>
  <c r="D481" i="55"/>
  <c r="D489" i="55" s="1"/>
  <c r="L302" i="55"/>
  <c r="C488" i="55"/>
  <c r="D491" i="55" l="1"/>
  <c r="D510" i="55" s="1"/>
  <c r="C491" i="55"/>
  <c r="C510" i="55" s="1"/>
  <c r="L337" i="55"/>
  <c r="L484" i="55"/>
  <c r="J485" i="55"/>
  <c r="J486" i="55" s="1"/>
  <c r="F501" i="55" l="1"/>
  <c r="H501" i="55" s="1"/>
  <c r="F507" i="55"/>
  <c r="H507" i="55" s="1"/>
  <c r="F499" i="55"/>
  <c r="H499" i="55" s="1"/>
  <c r="F505" i="55"/>
  <c r="H505" i="55" s="1"/>
  <c r="F506" i="55"/>
  <c r="F497" i="55"/>
  <c r="F504" i="55"/>
  <c r="H504" i="55" s="1"/>
  <c r="F508" i="55"/>
  <c r="H508" i="55" s="1"/>
  <c r="F500" i="55"/>
  <c r="H500" i="55" s="1"/>
  <c r="F503" i="55"/>
  <c r="H503" i="55" s="1"/>
  <c r="F496" i="55"/>
  <c r="H496" i="55" s="1"/>
  <c r="C169" i="53"/>
  <c r="D57" i="53"/>
  <c r="C57" i="53"/>
  <c r="C215" i="53"/>
  <c r="C282" i="53"/>
  <c r="F298" i="53"/>
  <c r="F299" i="53"/>
  <c r="E298" i="53"/>
  <c r="D307" i="53"/>
  <c r="C307" i="53"/>
  <c r="D202" i="53"/>
  <c r="C202" i="53"/>
  <c r="D172" i="53"/>
  <c r="C172" i="53"/>
  <c r="D14" i="53"/>
  <c r="C14" i="53"/>
  <c r="C7" i="53"/>
  <c r="J8" i="53"/>
  <c r="F307" i="53"/>
  <c r="H307" i="53" s="1"/>
  <c r="F306" i="53"/>
  <c r="H306" i="53" s="1"/>
  <c r="F305" i="53"/>
  <c r="H305" i="53" s="1"/>
  <c r="F302" i="53"/>
  <c r="H302" i="53" s="1"/>
  <c r="F301" i="53"/>
  <c r="H301" i="53" s="1"/>
  <c r="F297" i="53"/>
  <c r="H297" i="53" s="1"/>
  <c r="J294" i="53"/>
  <c r="J298" i="53" s="1"/>
  <c r="H290" i="53"/>
  <c r="L285" i="53"/>
  <c r="K285" i="53"/>
  <c r="D278" i="53"/>
  <c r="D268" i="53"/>
  <c r="C268" i="53"/>
  <c r="D264" i="53"/>
  <c r="C264" i="53"/>
  <c r="D259" i="53"/>
  <c r="C259" i="53"/>
  <c r="F304" i="53"/>
  <c r="H304" i="53" s="1"/>
  <c r="C242" i="53"/>
  <c r="D239" i="53"/>
  <c r="F303" i="53"/>
  <c r="H303" i="53" s="1"/>
  <c r="C221" i="53"/>
  <c r="D209" i="53"/>
  <c r="C209" i="53"/>
  <c r="D204" i="53"/>
  <c r="C204" i="53"/>
  <c r="D182" i="53"/>
  <c r="D177" i="53"/>
  <c r="D176" i="53"/>
  <c r="D175" i="53"/>
  <c r="D165" i="53"/>
  <c r="C165" i="53"/>
  <c r="D160" i="53"/>
  <c r="C160" i="53"/>
  <c r="D152" i="53"/>
  <c r="C152" i="53"/>
  <c r="D149" i="53"/>
  <c r="C147" i="53"/>
  <c r="C135" i="53" s="1"/>
  <c r="D145" i="53"/>
  <c r="D132" i="53"/>
  <c r="C132" i="53"/>
  <c r="D128" i="53"/>
  <c r="C128" i="53"/>
  <c r="D121" i="53"/>
  <c r="C121" i="53"/>
  <c r="D89" i="53"/>
  <c r="D88" i="53"/>
  <c r="D68" i="53"/>
  <c r="C68" i="53"/>
  <c r="D67" i="53"/>
  <c r="C67" i="53"/>
  <c r="D66" i="53"/>
  <c r="C66" i="53"/>
  <c r="D60" i="53"/>
  <c r="D27" i="53"/>
  <c r="C27" i="53"/>
  <c r="D24" i="53"/>
  <c r="C24" i="53"/>
  <c r="D10" i="53"/>
  <c r="C10" i="53"/>
  <c r="H490" i="51"/>
  <c r="I489" i="55" l="1"/>
  <c r="H497" i="55"/>
  <c r="I285" i="53"/>
  <c r="D7" i="53"/>
  <c r="J285" i="53"/>
  <c r="H291" i="53"/>
  <c r="D242" i="53"/>
  <c r="D135" i="53"/>
  <c r="D169" i="53"/>
  <c r="D221" i="53"/>
  <c r="D282" i="53" s="1"/>
  <c r="C290" i="53"/>
  <c r="D17" i="53"/>
  <c r="H299" i="53"/>
  <c r="H298" i="53"/>
  <c r="F300" i="53"/>
  <c r="H300" i="53" s="1"/>
  <c r="C17" i="53"/>
  <c r="C289" i="53" l="1"/>
  <c r="C292" i="53" s="1"/>
  <c r="C308" i="53" s="1"/>
  <c r="D215" i="53"/>
  <c r="D290" i="53"/>
  <c r="D289" i="53"/>
  <c r="H308" i="53"/>
  <c r="F308" i="53"/>
  <c r="E297" i="53" l="1"/>
  <c r="G297" i="53" s="1"/>
  <c r="E299" i="53"/>
  <c r="D292" i="53"/>
  <c r="D308" i="53" s="1"/>
  <c r="E300" i="53"/>
  <c r="G300" i="53" s="1"/>
  <c r="E305" i="53"/>
  <c r="G305" i="53" s="1"/>
  <c r="G298" i="53"/>
  <c r="E301" i="53"/>
  <c r="G301" i="53" s="1"/>
  <c r="E306" i="53"/>
  <c r="G306" i="53" s="1"/>
  <c r="E304" i="53"/>
  <c r="G304" i="53" s="1"/>
  <c r="G299" i="53"/>
  <c r="E307" i="53"/>
  <c r="G307" i="53" s="1"/>
  <c r="E302" i="53"/>
  <c r="G302" i="53" s="1"/>
  <c r="E303" i="53"/>
  <c r="G303" i="53" s="1"/>
  <c r="G308" i="53" l="1"/>
  <c r="E308" i="53"/>
  <c r="J498" i="45" l="1"/>
  <c r="J497" i="45"/>
  <c r="J497" i="48"/>
  <c r="J498" i="48" s="1"/>
  <c r="J497" i="49"/>
  <c r="J498" i="49" s="1"/>
  <c r="J497" i="52"/>
  <c r="J498" i="52" s="1"/>
  <c r="J497" i="51"/>
  <c r="H489" i="45"/>
  <c r="H489" i="48"/>
  <c r="H489" i="49"/>
  <c r="H489" i="52"/>
  <c r="H489" i="51"/>
  <c r="G175" i="51" l="1"/>
  <c r="J493" i="51" l="1"/>
  <c r="G376" i="51"/>
  <c r="G377" i="51" s="1"/>
  <c r="G378" i="51" s="1"/>
  <c r="G379" i="51" s="1"/>
  <c r="H281" i="51"/>
  <c r="J14" i="51" l="1"/>
  <c r="D14" i="51"/>
  <c r="D391" i="51" l="1"/>
  <c r="D424" i="51"/>
  <c r="G67" i="51"/>
  <c r="D363" i="51" l="1"/>
  <c r="D200" i="51" l="1"/>
  <c r="E4" i="52" l="1"/>
  <c r="D4" i="52"/>
  <c r="C28" i="52"/>
  <c r="C27" i="52"/>
  <c r="C26" i="52"/>
  <c r="C25" i="52"/>
  <c r="C24" i="52"/>
  <c r="C23" i="52"/>
  <c r="C22" i="52"/>
  <c r="C21" i="52"/>
  <c r="C16" i="52"/>
  <c r="B28" i="52"/>
  <c r="B27" i="52"/>
  <c r="B26" i="52"/>
  <c r="B25" i="52"/>
  <c r="B24" i="52"/>
  <c r="B23" i="52"/>
  <c r="B22" i="52"/>
  <c r="B21" i="52"/>
  <c r="B17" i="52"/>
  <c r="B16" i="52"/>
  <c r="B4" i="52"/>
  <c r="C168" i="51" l="1"/>
  <c r="D168" i="51"/>
  <c r="D175" i="51"/>
  <c r="C175" i="51"/>
  <c r="C183" i="51"/>
  <c r="D183" i="51"/>
  <c r="D196" i="51"/>
  <c r="C198" i="51"/>
  <c r="C186" i="51" s="1"/>
  <c r="D203" i="51"/>
  <c r="C205" i="51"/>
  <c r="D205" i="51"/>
  <c r="C222" i="51"/>
  <c r="D222" i="51"/>
  <c r="C245" i="51"/>
  <c r="C230" i="51" s="1"/>
  <c r="D245" i="51"/>
  <c r="D230" i="51" s="1"/>
  <c r="D254" i="51"/>
  <c r="D255" i="51"/>
  <c r="D256" i="51"/>
  <c r="D261" i="51"/>
  <c r="D186" i="51" l="1"/>
  <c r="C507" i="51"/>
  <c r="F506" i="51"/>
  <c r="F505" i="51"/>
  <c r="H505" i="51" s="1"/>
  <c r="F504" i="51"/>
  <c r="H504" i="51" s="1"/>
  <c r="F503" i="51"/>
  <c r="H503" i="51" s="1"/>
  <c r="F502" i="51"/>
  <c r="F501" i="51"/>
  <c r="H501" i="51" s="1"/>
  <c r="F496" i="51"/>
  <c r="L484" i="51"/>
  <c r="D477" i="51"/>
  <c r="D465" i="51"/>
  <c r="C465" i="51"/>
  <c r="D448" i="51"/>
  <c r="C448" i="51"/>
  <c r="D445" i="51"/>
  <c r="C445" i="51"/>
  <c r="D440" i="51"/>
  <c r="C440" i="51"/>
  <c r="D437" i="51"/>
  <c r="C437" i="51"/>
  <c r="D401" i="51"/>
  <c r="C401" i="51"/>
  <c r="D398" i="51"/>
  <c r="C363" i="51"/>
  <c r="D351" i="51"/>
  <c r="C351" i="51"/>
  <c r="D348" i="51"/>
  <c r="C348" i="51"/>
  <c r="D342" i="51"/>
  <c r="C342" i="51"/>
  <c r="J295" i="51"/>
  <c r="D295" i="51"/>
  <c r="J294" i="51"/>
  <c r="D294" i="51"/>
  <c r="C294" i="51"/>
  <c r="J292" i="51"/>
  <c r="D292" i="51"/>
  <c r="C19" i="52" s="1"/>
  <c r="C292" i="51"/>
  <c r="D136" i="51"/>
  <c r="D135" i="51"/>
  <c r="D115" i="51"/>
  <c r="C115" i="51"/>
  <c r="D114" i="51"/>
  <c r="C114" i="51"/>
  <c r="D113" i="51"/>
  <c r="C113" i="51"/>
  <c r="D107" i="51"/>
  <c r="D100" i="51"/>
  <c r="D67" i="51" s="1"/>
  <c r="G68" i="51" s="1"/>
  <c r="C67" i="51"/>
  <c r="D62" i="51"/>
  <c r="C62" i="51"/>
  <c r="C56" i="51"/>
  <c r="I51" i="51"/>
  <c r="D51" i="51"/>
  <c r="I44" i="51"/>
  <c r="D44" i="51"/>
  <c r="C44" i="51"/>
  <c r="D32" i="51"/>
  <c r="C32" i="51"/>
  <c r="D18" i="51"/>
  <c r="C18" i="51"/>
  <c r="D15" i="51"/>
  <c r="K484" i="51"/>
  <c r="C12" i="51"/>
  <c r="D7" i="51"/>
  <c r="C7" i="51"/>
  <c r="B19" i="52" l="1"/>
  <c r="F499" i="51"/>
  <c r="H499" i="51" s="1"/>
  <c r="B20" i="52"/>
  <c r="C20" i="52"/>
  <c r="B18" i="52"/>
  <c r="C17" i="52"/>
  <c r="C18" i="52"/>
  <c r="D12" i="51"/>
  <c r="D248" i="51"/>
  <c r="I484" i="51"/>
  <c r="C248" i="51"/>
  <c r="D481" i="51"/>
  <c r="D489" i="51" s="1"/>
  <c r="J484" i="51"/>
  <c r="F497" i="51"/>
  <c r="H497" i="51" s="1"/>
  <c r="D104" i="51"/>
  <c r="H502" i="51"/>
  <c r="F498" i="51"/>
  <c r="H498" i="51" s="1"/>
  <c r="C104" i="51"/>
  <c r="D507" i="51"/>
  <c r="C481" i="51"/>
  <c r="C489" i="51" s="1"/>
  <c r="H506" i="51"/>
  <c r="F500" i="51"/>
  <c r="H500" i="51" s="1"/>
  <c r="C36" i="51"/>
  <c r="H496" i="51"/>
  <c r="D36" i="51"/>
  <c r="H147" i="48"/>
  <c r="H146" i="48"/>
  <c r="D357" i="51" l="1"/>
  <c r="B29" i="52"/>
  <c r="C29" i="52"/>
  <c r="C357" i="51"/>
  <c r="C488" i="51" s="1"/>
  <c r="C491" i="51" s="1"/>
  <c r="D488" i="51"/>
  <c r="D491" i="51" s="1"/>
  <c r="H507" i="51"/>
  <c r="F507" i="51"/>
  <c r="E505" i="51" s="1"/>
  <c r="G505" i="51" s="1"/>
  <c r="H485" i="48"/>
  <c r="E498" i="51" l="1"/>
  <c r="E502" i="51"/>
  <c r="G502" i="51" s="1"/>
  <c r="E499" i="51"/>
  <c r="G499" i="51" s="1"/>
  <c r="E501" i="51"/>
  <c r="G501" i="51" s="1"/>
  <c r="E506" i="51"/>
  <c r="G506" i="51" s="1"/>
  <c r="E497" i="51"/>
  <c r="G497" i="51" s="1"/>
  <c r="E504" i="51"/>
  <c r="G504" i="51" s="1"/>
  <c r="E500" i="51"/>
  <c r="G500" i="51" s="1"/>
  <c r="E503" i="51"/>
  <c r="G503" i="51" s="1"/>
  <c r="E496" i="51"/>
  <c r="G496" i="51" s="1"/>
  <c r="D515" i="48"/>
  <c r="L480" i="48"/>
  <c r="J275" i="48"/>
  <c r="J274" i="48"/>
  <c r="J272" i="48"/>
  <c r="J172" i="48"/>
  <c r="I50" i="48"/>
  <c r="I43" i="48"/>
  <c r="J12" i="48"/>
  <c r="K12" i="48"/>
  <c r="K480" i="48" s="1"/>
  <c r="H14" i="48"/>
  <c r="D512" i="48" s="1"/>
  <c r="D14" i="48"/>
  <c r="G498" i="51" l="1"/>
  <c r="G507" i="51" s="1"/>
  <c r="E507" i="51"/>
  <c r="I480" i="48"/>
  <c r="J480" i="48"/>
  <c r="D135" i="48" l="1"/>
  <c r="D134" i="48"/>
  <c r="D101" i="48" l="1"/>
  <c r="D173" i="48"/>
  <c r="D275" i="48" l="1"/>
  <c r="D274" i="48"/>
  <c r="C274" i="48"/>
  <c r="D272" i="48"/>
  <c r="C272" i="48"/>
  <c r="D142" i="48" l="1"/>
  <c r="D147" i="48"/>
  <c r="D155" i="48"/>
  <c r="D175" i="48"/>
  <c r="D334" i="48"/>
  <c r="D325" i="48"/>
  <c r="C142" i="48" l="1"/>
  <c r="C148" i="48"/>
  <c r="C147" i="48" s="1"/>
  <c r="C155" i="48"/>
  <c r="D168" i="48"/>
  <c r="D158" i="48" s="1"/>
  <c r="C170" i="48"/>
  <c r="C158" i="48" s="1"/>
  <c r="C175" i="48"/>
  <c r="D192" i="48"/>
  <c r="C192" i="48"/>
  <c r="D215" i="48"/>
  <c r="D200" i="48" s="1"/>
  <c r="C215" i="48"/>
  <c r="C200" i="48" s="1"/>
  <c r="D224" i="48"/>
  <c r="D225" i="48"/>
  <c r="D226" i="48"/>
  <c r="D231" i="48"/>
  <c r="D346" i="48" l="1"/>
  <c r="C346" i="48"/>
  <c r="D379" i="48"/>
  <c r="C43" i="48" l="1"/>
  <c r="D43" i="48"/>
  <c r="D50" i="48"/>
  <c r="D15" i="48"/>
  <c r="D511" i="48" s="1"/>
  <c r="D510" i="48" l="1"/>
  <c r="H486" i="48"/>
  <c r="C112" i="48"/>
  <c r="D112" i="48"/>
  <c r="C113" i="48"/>
  <c r="D113" i="48"/>
  <c r="C114" i="48"/>
  <c r="D114" i="48"/>
  <c r="C103" i="48" l="1"/>
  <c r="C218" i="48"/>
  <c r="C28" i="49"/>
  <c r="B28" i="49"/>
  <c r="C27" i="49"/>
  <c r="B27" i="49"/>
  <c r="C26" i="49"/>
  <c r="B26" i="49"/>
  <c r="C25" i="49"/>
  <c r="B25" i="49"/>
  <c r="C24" i="49"/>
  <c r="B24" i="49"/>
  <c r="C23" i="49"/>
  <c r="B23" i="49"/>
  <c r="C22" i="49"/>
  <c r="B22" i="49"/>
  <c r="C21" i="49"/>
  <c r="B21" i="49"/>
  <c r="C19" i="49"/>
  <c r="B19" i="49"/>
  <c r="B17" i="49"/>
  <c r="C16" i="49"/>
  <c r="B16" i="49"/>
  <c r="E4" i="49"/>
  <c r="D4" i="49"/>
  <c r="B4" i="49"/>
  <c r="C505" i="48"/>
  <c r="F504" i="48"/>
  <c r="H504" i="48" s="1"/>
  <c r="F503" i="48"/>
  <c r="H503" i="48" s="1"/>
  <c r="F502" i="48"/>
  <c r="D502" i="48"/>
  <c r="F501" i="48"/>
  <c r="H501" i="48" s="1"/>
  <c r="F500" i="48"/>
  <c r="H500" i="48" s="1"/>
  <c r="F499" i="48"/>
  <c r="H499" i="48" s="1"/>
  <c r="F498" i="48"/>
  <c r="D498" i="48"/>
  <c r="F497" i="48"/>
  <c r="H497" i="48" s="1"/>
  <c r="F495" i="48"/>
  <c r="D495" i="48"/>
  <c r="F492" i="48"/>
  <c r="D492" i="48"/>
  <c r="D473" i="48"/>
  <c r="D513" i="48" s="1"/>
  <c r="D461" i="48"/>
  <c r="C461" i="48"/>
  <c r="D444" i="48"/>
  <c r="C444" i="48"/>
  <c r="D441" i="48"/>
  <c r="C441" i="48"/>
  <c r="D436" i="48"/>
  <c r="C436" i="48"/>
  <c r="D433" i="48"/>
  <c r="C433" i="48"/>
  <c r="D382" i="48"/>
  <c r="C382" i="48"/>
  <c r="C334" i="48"/>
  <c r="D331" i="48"/>
  <c r="C331" i="48"/>
  <c r="C325" i="48"/>
  <c r="D218" i="48"/>
  <c r="D106" i="48"/>
  <c r="D103" i="48" s="1"/>
  <c r="D66" i="48"/>
  <c r="C66" i="48"/>
  <c r="D61" i="48"/>
  <c r="C61" i="48"/>
  <c r="C55" i="48"/>
  <c r="D32" i="48"/>
  <c r="C32" i="48"/>
  <c r="D18" i="48"/>
  <c r="C18" i="48"/>
  <c r="F493" i="48"/>
  <c r="C12" i="48"/>
  <c r="D7" i="48"/>
  <c r="C7" i="48"/>
  <c r="D477" i="48" l="1"/>
  <c r="D485" i="48" s="1"/>
  <c r="C477" i="48"/>
  <c r="C485" i="48" s="1"/>
  <c r="D12" i="48"/>
  <c r="D505" i="48"/>
  <c r="F496" i="48"/>
  <c r="H496" i="48" s="1"/>
  <c r="C36" i="48"/>
  <c r="C340" i="48" s="1"/>
  <c r="D36" i="48"/>
  <c r="C17" i="49"/>
  <c r="B20" i="49"/>
  <c r="B18" i="49"/>
  <c r="C18" i="49"/>
  <c r="C20" i="49"/>
  <c r="H495" i="48"/>
  <c r="H498" i="48"/>
  <c r="H502" i="48"/>
  <c r="H493" i="48"/>
  <c r="F494" i="48"/>
  <c r="H494" i="48" s="1"/>
  <c r="H492" i="48"/>
  <c r="D17" i="46"/>
  <c r="C17" i="46"/>
  <c r="D206" i="46"/>
  <c r="D196" i="46"/>
  <c r="C196" i="46"/>
  <c r="D193" i="46"/>
  <c r="C193" i="46"/>
  <c r="D188" i="46"/>
  <c r="C188" i="46"/>
  <c r="D178" i="46"/>
  <c r="C178" i="46"/>
  <c r="D166" i="46"/>
  <c r="C166" i="46"/>
  <c r="D156" i="46"/>
  <c r="C156" i="46"/>
  <c r="D151" i="46"/>
  <c r="C151" i="46"/>
  <c r="C148" i="46"/>
  <c r="D147" i="46"/>
  <c r="D136" i="46"/>
  <c r="D131" i="46"/>
  <c r="D130" i="46"/>
  <c r="D129" i="46"/>
  <c r="C126" i="46"/>
  <c r="D119" i="46"/>
  <c r="C119" i="46"/>
  <c r="D114" i="46"/>
  <c r="C114" i="46"/>
  <c r="D106" i="46"/>
  <c r="C106" i="46"/>
  <c r="D104" i="46"/>
  <c r="D91" i="46" s="1"/>
  <c r="C91" i="46"/>
  <c r="D88" i="46"/>
  <c r="C88" i="46"/>
  <c r="C83" i="46"/>
  <c r="C82" i="46" s="1"/>
  <c r="D82" i="46"/>
  <c r="D77" i="46"/>
  <c r="C77" i="46"/>
  <c r="D71" i="46"/>
  <c r="D68" i="46" s="1"/>
  <c r="C68" i="46"/>
  <c r="D45" i="46"/>
  <c r="C45" i="46"/>
  <c r="D42" i="46"/>
  <c r="C42" i="46"/>
  <c r="C38" i="46"/>
  <c r="D33" i="46"/>
  <c r="D26" i="46"/>
  <c r="C26" i="46"/>
  <c r="D13" i="46"/>
  <c r="C13" i="46"/>
  <c r="D9" i="46"/>
  <c r="C7" i="46"/>
  <c r="C122" i="44"/>
  <c r="D340" i="48" l="1"/>
  <c r="C29" i="49"/>
  <c r="C32" i="49" s="1"/>
  <c r="C484" i="48"/>
  <c r="C487" i="48" s="1"/>
  <c r="B29" i="49"/>
  <c r="B32" i="49" s="1"/>
  <c r="D484" i="48"/>
  <c r="D487" i="48" s="1"/>
  <c r="D509" i="48" s="1"/>
  <c r="H505" i="48"/>
  <c r="F505" i="48"/>
  <c r="E501" i="48" s="1"/>
  <c r="G501" i="48" s="1"/>
  <c r="C210" i="46"/>
  <c r="C218" i="46" s="1"/>
  <c r="D210" i="46"/>
  <c r="C20" i="46"/>
  <c r="D7" i="46"/>
  <c r="D20" i="46"/>
  <c r="D218" i="46"/>
  <c r="C123" i="46"/>
  <c r="D123" i="46"/>
  <c r="D4" i="45"/>
  <c r="E4" i="45"/>
  <c r="C28" i="45"/>
  <c r="G214" i="44"/>
  <c r="G215" i="44"/>
  <c r="G216" i="44"/>
  <c r="G217" i="44"/>
  <c r="G218" i="44"/>
  <c r="G219" i="44"/>
  <c r="G220" i="44"/>
  <c r="G221" i="44"/>
  <c r="G222" i="44"/>
  <c r="G223" i="44"/>
  <c r="G224" i="44"/>
  <c r="G225" i="44"/>
  <c r="G226" i="44"/>
  <c r="G227" i="44"/>
  <c r="G228" i="44"/>
  <c r="G229" i="44"/>
  <c r="G230" i="44"/>
  <c r="G231" i="44"/>
  <c r="G232" i="44"/>
  <c r="G233" i="44"/>
  <c r="G234" i="44"/>
  <c r="G235" i="44"/>
  <c r="G236" i="44"/>
  <c r="G237" i="44"/>
  <c r="G238" i="44"/>
  <c r="G239" i="44"/>
  <c r="G240" i="44"/>
  <c r="G241" i="44"/>
  <c r="G242" i="44"/>
  <c r="G243" i="44"/>
  <c r="G244" i="44"/>
  <c r="G245" i="44"/>
  <c r="G246" i="44"/>
  <c r="G247" i="44"/>
  <c r="G248" i="44"/>
  <c r="G249" i="44"/>
  <c r="G250" i="44"/>
  <c r="G251" i="44"/>
  <c r="G252" i="44"/>
  <c r="G253" i="44"/>
  <c r="G254" i="44"/>
  <c r="G255" i="44"/>
  <c r="G256" i="44"/>
  <c r="G257" i="44"/>
  <c r="G258" i="44"/>
  <c r="G259" i="44"/>
  <c r="G260" i="44"/>
  <c r="G261" i="44"/>
  <c r="G262" i="44"/>
  <c r="G263" i="44"/>
  <c r="G264" i="44"/>
  <c r="G265" i="44"/>
  <c r="G266" i="44"/>
  <c r="G267" i="44"/>
  <c r="G268" i="44"/>
  <c r="G269" i="44"/>
  <c r="G270" i="44"/>
  <c r="G271" i="44"/>
  <c r="G272" i="44"/>
  <c r="G273" i="44"/>
  <c r="G274" i="44"/>
  <c r="G275" i="44"/>
  <c r="G276" i="44"/>
  <c r="G277" i="44"/>
  <c r="G278" i="44"/>
  <c r="G279" i="44"/>
  <c r="G280" i="44"/>
  <c r="G281" i="44"/>
  <c r="G282" i="44"/>
  <c r="G283" i="44"/>
  <c r="G284" i="44"/>
  <c r="G285" i="44"/>
  <c r="G286" i="44"/>
  <c r="G287" i="44"/>
  <c r="G288" i="44"/>
  <c r="G289" i="44"/>
  <c r="G290" i="44"/>
  <c r="G291" i="44"/>
  <c r="G292" i="44"/>
  <c r="G293" i="44"/>
  <c r="G294" i="44"/>
  <c r="G295" i="44"/>
  <c r="G296" i="44"/>
  <c r="G297" i="44"/>
  <c r="G298" i="44"/>
  <c r="G299" i="44"/>
  <c r="G300" i="44"/>
  <c r="G301" i="44"/>
  <c r="G302" i="44"/>
  <c r="G303" i="44"/>
  <c r="G304" i="44"/>
  <c r="G305" i="44"/>
  <c r="G306" i="44"/>
  <c r="G307" i="44"/>
  <c r="G308" i="44"/>
  <c r="G309" i="44"/>
  <c r="G310" i="44"/>
  <c r="G311" i="44"/>
  <c r="G213" i="44"/>
  <c r="C215" i="44"/>
  <c r="F493" i="44"/>
  <c r="F503" i="44"/>
  <c r="H503" i="44" s="1"/>
  <c r="B28" i="45"/>
  <c r="C28" i="33"/>
  <c r="B28" i="33"/>
  <c r="B4" i="45"/>
  <c r="B4" i="33"/>
  <c r="D514" i="48" l="1"/>
  <c r="D516" i="48" s="1"/>
  <c r="E494" i="48"/>
  <c r="G494" i="48" s="1"/>
  <c r="E502" i="48"/>
  <c r="G502" i="48" s="1"/>
  <c r="E503" i="48"/>
  <c r="G503" i="48" s="1"/>
  <c r="E493" i="48"/>
  <c r="G493" i="48" s="1"/>
  <c r="E497" i="48"/>
  <c r="G497" i="48" s="1"/>
  <c r="E492" i="48"/>
  <c r="E495" i="48"/>
  <c r="G495" i="48" s="1"/>
  <c r="E500" i="48"/>
  <c r="G500" i="48" s="1"/>
  <c r="E496" i="48"/>
  <c r="G496" i="48" s="1"/>
  <c r="E504" i="48"/>
  <c r="G504" i="48" s="1"/>
  <c r="E499" i="48"/>
  <c r="G499" i="48" s="1"/>
  <c r="E498" i="48"/>
  <c r="G498" i="48" s="1"/>
  <c r="C160" i="46"/>
  <c r="C217" i="46" s="1"/>
  <c r="C220" i="46" s="1"/>
  <c r="D160" i="46"/>
  <c r="D217" i="46" s="1"/>
  <c r="D220" i="46" s="1"/>
  <c r="H122" i="44"/>
  <c r="E505" i="48" l="1"/>
  <c r="G492" i="48"/>
  <c r="G505" i="48" s="1"/>
  <c r="H485" i="44"/>
  <c r="C42" i="44"/>
  <c r="D42" i="44"/>
  <c r="D49" i="44"/>
  <c r="C55" i="44"/>
  <c r="H14" i="44"/>
  <c r="D14" i="44"/>
  <c r="D460" i="44"/>
  <c r="C460" i="44"/>
  <c r="D472" i="44"/>
  <c r="K492" i="44" l="1"/>
  <c r="D154" i="44"/>
  <c r="D275" i="44" l="1"/>
  <c r="D225" i="44" l="1"/>
  <c r="C27" i="45" l="1"/>
  <c r="B27" i="45"/>
  <c r="C26" i="45"/>
  <c r="B26" i="45"/>
  <c r="C25" i="45"/>
  <c r="B25" i="45"/>
  <c r="C24" i="45"/>
  <c r="B24" i="45"/>
  <c r="C23" i="45"/>
  <c r="B23" i="45"/>
  <c r="C22" i="45"/>
  <c r="B22" i="45"/>
  <c r="C21" i="45"/>
  <c r="B21" i="45"/>
  <c r="C20" i="45"/>
  <c r="B20" i="45"/>
  <c r="C19" i="45"/>
  <c r="B19" i="45"/>
  <c r="C18" i="45"/>
  <c r="B18" i="45"/>
  <c r="C17" i="45"/>
  <c r="B17" i="45"/>
  <c r="C16" i="45"/>
  <c r="B16" i="45"/>
  <c r="C504" i="44"/>
  <c r="F502" i="44"/>
  <c r="H502" i="44" s="1"/>
  <c r="F501" i="44"/>
  <c r="D501" i="44"/>
  <c r="F500" i="44"/>
  <c r="H500" i="44" s="1"/>
  <c r="F499" i="44"/>
  <c r="H499" i="44" s="1"/>
  <c r="F498" i="44"/>
  <c r="H498" i="44" s="1"/>
  <c r="F497" i="44"/>
  <c r="D497" i="44"/>
  <c r="F496" i="44"/>
  <c r="H496" i="44" s="1"/>
  <c r="F494" i="44"/>
  <c r="D494" i="44"/>
  <c r="F491" i="44"/>
  <c r="D491" i="44"/>
  <c r="H484" i="44"/>
  <c r="D443" i="44"/>
  <c r="C443" i="44"/>
  <c r="D440" i="44"/>
  <c r="C440" i="44"/>
  <c r="D435" i="44"/>
  <c r="C435" i="44"/>
  <c r="D432" i="44"/>
  <c r="C432" i="44"/>
  <c r="D381" i="44"/>
  <c r="D476" i="44" s="1"/>
  <c r="C381" i="44"/>
  <c r="D346" i="44"/>
  <c r="C346" i="44"/>
  <c r="D334" i="44"/>
  <c r="C334" i="44"/>
  <c r="D331" i="44"/>
  <c r="C331" i="44"/>
  <c r="D325" i="44"/>
  <c r="C325" i="44"/>
  <c r="C276" i="44"/>
  <c r="D220" i="44"/>
  <c r="D219" i="44"/>
  <c r="D218" i="44"/>
  <c r="D212" i="44" s="1"/>
  <c r="C212" i="44"/>
  <c r="D208" i="44"/>
  <c r="C208" i="44"/>
  <c r="D181" i="44"/>
  <c r="C181" i="44"/>
  <c r="D173" i="44"/>
  <c r="C173" i="44"/>
  <c r="D156" i="44"/>
  <c r="C156" i="44"/>
  <c r="D140" i="44"/>
  <c r="C140" i="44"/>
  <c r="D137" i="44"/>
  <c r="C137" i="44"/>
  <c r="D121" i="44"/>
  <c r="C121" i="44"/>
  <c r="D116" i="44"/>
  <c r="C116" i="44"/>
  <c r="D106" i="44"/>
  <c r="D103" i="44" s="1"/>
  <c r="C103" i="44"/>
  <c r="D66" i="44"/>
  <c r="C66" i="44"/>
  <c r="D61" i="44"/>
  <c r="C61" i="44"/>
  <c r="D36" i="44"/>
  <c r="D32" i="44"/>
  <c r="C32" i="44"/>
  <c r="D18" i="44"/>
  <c r="C18" i="44"/>
  <c r="F492" i="44"/>
  <c r="C12" i="44"/>
  <c r="D7" i="44"/>
  <c r="C7" i="44"/>
  <c r="C476" i="44" l="1"/>
  <c r="D504" i="44"/>
  <c r="D484" i="44"/>
  <c r="C29" i="45"/>
  <c r="B29" i="45"/>
  <c r="H494" i="44"/>
  <c r="H497" i="44"/>
  <c r="H501" i="44"/>
  <c r="C484" i="44"/>
  <c r="H492" i="44"/>
  <c r="H493" i="44"/>
  <c r="C36" i="44"/>
  <c r="C340" i="44" s="1"/>
  <c r="C483" i="44" s="1"/>
  <c r="H491" i="44"/>
  <c r="F495" i="44"/>
  <c r="H495" i="44" s="1"/>
  <c r="D12" i="44"/>
  <c r="D340" i="44" s="1"/>
  <c r="D483" i="44" s="1"/>
  <c r="D486" i="44" l="1"/>
  <c r="C486" i="44"/>
  <c r="H504" i="44"/>
  <c r="F504" i="44"/>
  <c r="E493" i="44" s="1"/>
  <c r="E500" i="44" l="1"/>
  <c r="G500" i="44" s="1"/>
  <c r="E503" i="44"/>
  <c r="G503" i="44" s="1"/>
  <c r="E502" i="44"/>
  <c r="G502" i="44" s="1"/>
  <c r="E501" i="44"/>
  <c r="G501" i="44" s="1"/>
  <c r="E497" i="44"/>
  <c r="G497" i="44" s="1"/>
  <c r="E499" i="44"/>
  <c r="G499" i="44" s="1"/>
  <c r="E498" i="44"/>
  <c r="G498" i="44" s="1"/>
  <c r="G493" i="44"/>
  <c r="E491" i="44"/>
  <c r="E494" i="44"/>
  <c r="G494" i="44" s="1"/>
  <c r="E492" i="44"/>
  <c r="G492" i="44" s="1"/>
  <c r="E495" i="44"/>
  <c r="G495" i="44" s="1"/>
  <c r="E496" i="44"/>
  <c r="G496" i="44" s="1"/>
  <c r="E504" i="44" l="1"/>
  <c r="G491" i="44"/>
  <c r="G504" i="44" s="1"/>
  <c r="C48" i="34" l="1"/>
  <c r="G348" i="34"/>
  <c r="G347" i="34"/>
  <c r="C215" i="34"/>
  <c r="K488" i="34" l="1"/>
  <c r="H485" i="34"/>
  <c r="H484" i="34" l="1"/>
  <c r="D54" i="34"/>
  <c r="C54" i="34"/>
  <c r="D48" i="34"/>
  <c r="D40" i="34"/>
  <c r="H134" i="34" l="1"/>
  <c r="D220" i="34" l="1"/>
  <c r="D219" i="34"/>
  <c r="D218" i="34"/>
  <c r="D435" i="34" l="1"/>
  <c r="C276" i="34" l="1"/>
  <c r="F7" i="38" l="1"/>
  <c r="F94" i="38"/>
  <c r="F82" i="38"/>
  <c r="F75" i="38"/>
  <c r="F57" i="38"/>
  <c r="F13" i="38"/>
  <c r="B20" i="38"/>
  <c r="B101" i="38"/>
  <c r="B94" i="38"/>
  <c r="B85" i="38"/>
  <c r="B82" i="38"/>
  <c r="B75" i="38"/>
  <c r="B65" i="38"/>
  <c r="B62" i="38"/>
  <c r="B57" i="38"/>
  <c r="B54" i="38"/>
  <c r="B51" i="38" s="1"/>
  <c r="B45" i="38"/>
  <c r="B42" i="38"/>
  <c r="B40" i="38"/>
  <c r="B39" i="38"/>
  <c r="B38" i="38"/>
  <c r="B37" i="38"/>
  <c r="B36" i="38"/>
  <c r="B35" i="38"/>
  <c r="B34" i="38"/>
  <c r="B32" i="38"/>
  <c r="B31" i="38"/>
  <c r="B30" i="38"/>
  <c r="B28" i="38"/>
  <c r="B27" i="38"/>
  <c r="B26" i="38"/>
  <c r="B13" i="38"/>
  <c r="B9" i="38"/>
  <c r="B7" i="38" l="1"/>
  <c r="B23" i="38"/>
  <c r="C27" i="35"/>
  <c r="B27" i="35"/>
  <c r="C26" i="35"/>
  <c r="B26" i="35"/>
  <c r="C25" i="35"/>
  <c r="B25" i="35"/>
  <c r="C24" i="35"/>
  <c r="B24" i="35"/>
  <c r="C23" i="35"/>
  <c r="B23" i="35"/>
  <c r="C22" i="35"/>
  <c r="B22" i="35"/>
  <c r="C21" i="35"/>
  <c r="B21" i="35"/>
  <c r="C20" i="35"/>
  <c r="B20" i="35"/>
  <c r="C19" i="35"/>
  <c r="B19" i="35"/>
  <c r="C18" i="35"/>
  <c r="B18" i="35"/>
  <c r="C17" i="35"/>
  <c r="B17" i="35"/>
  <c r="C16" i="35"/>
  <c r="B16" i="35"/>
  <c r="B29" i="35" s="1"/>
  <c r="E4" i="35"/>
  <c r="D4" i="35"/>
  <c r="B4" i="35"/>
  <c r="C29" i="35" l="1"/>
  <c r="E4" i="33"/>
  <c r="C27" i="33"/>
  <c r="B27" i="33"/>
  <c r="C26" i="33"/>
  <c r="B26" i="33"/>
  <c r="C25" i="33"/>
  <c r="B25" i="33"/>
  <c r="C24" i="33"/>
  <c r="B24" i="33"/>
  <c r="C23" i="33"/>
  <c r="B23" i="33"/>
  <c r="C22" i="33"/>
  <c r="B22" i="33"/>
  <c r="C21" i="33"/>
  <c r="B21" i="33"/>
  <c r="C20" i="33"/>
  <c r="B20" i="33"/>
  <c r="C19" i="33"/>
  <c r="B19" i="33"/>
  <c r="B17" i="33"/>
  <c r="C16" i="33"/>
  <c r="B16" i="33"/>
  <c r="D4" i="33"/>
  <c r="F497" i="34" l="1"/>
  <c r="C503" i="34"/>
  <c r="F502" i="34"/>
  <c r="H502" i="34" s="1"/>
  <c r="F501" i="34"/>
  <c r="D501" i="34"/>
  <c r="F499" i="34"/>
  <c r="H499" i="34" s="1"/>
  <c r="F498" i="34"/>
  <c r="H498" i="34" s="1"/>
  <c r="D497" i="34"/>
  <c r="F496" i="34"/>
  <c r="H496" i="34" s="1"/>
  <c r="F495" i="34"/>
  <c r="H495" i="34" s="1"/>
  <c r="D494" i="34"/>
  <c r="F491" i="34"/>
  <c r="D491" i="34"/>
  <c r="A491" i="34"/>
  <c r="D460" i="34"/>
  <c r="C460" i="34"/>
  <c r="D443" i="34"/>
  <c r="C443" i="34"/>
  <c r="D440" i="34"/>
  <c r="C440" i="34"/>
  <c r="C435" i="34"/>
  <c r="D432" i="34"/>
  <c r="C432" i="34"/>
  <c r="D381" i="34"/>
  <c r="C381" i="34"/>
  <c r="D346" i="34"/>
  <c r="C346" i="34"/>
  <c r="D334" i="34"/>
  <c r="C334" i="34"/>
  <c r="D331" i="34"/>
  <c r="C331" i="34"/>
  <c r="D325" i="34"/>
  <c r="C325" i="34"/>
  <c r="D212" i="34"/>
  <c r="C212" i="34"/>
  <c r="D208" i="34"/>
  <c r="C208" i="34"/>
  <c r="D181" i="34"/>
  <c r="C181" i="34"/>
  <c r="D173" i="34"/>
  <c r="C173" i="34"/>
  <c r="D156" i="34"/>
  <c r="C156" i="34"/>
  <c r="D140" i="34"/>
  <c r="C140" i="34"/>
  <c r="D137" i="34"/>
  <c r="C137" i="34"/>
  <c r="D121" i="34"/>
  <c r="C121" i="34"/>
  <c r="D116" i="34"/>
  <c r="C116" i="34"/>
  <c r="D106" i="34"/>
  <c r="D103" i="34" s="1"/>
  <c r="C103" i="34"/>
  <c r="D66" i="34"/>
  <c r="C66" i="34"/>
  <c r="D61" i="34"/>
  <c r="C61" i="34"/>
  <c r="D41" i="34"/>
  <c r="C41" i="34"/>
  <c r="D32" i="34"/>
  <c r="C32" i="34"/>
  <c r="D18" i="34"/>
  <c r="C18" i="34"/>
  <c r="D14" i="34"/>
  <c r="C17" i="33" s="1"/>
  <c r="D12" i="34"/>
  <c r="C12" i="34"/>
  <c r="D7" i="34"/>
  <c r="C7" i="34"/>
  <c r="C18" i="33" l="1"/>
  <c r="F492" i="34"/>
  <c r="H492" i="34" s="1"/>
  <c r="C36" i="34"/>
  <c r="C340" i="34" s="1"/>
  <c r="C483" i="34" s="1"/>
  <c r="B18" i="33"/>
  <c r="D503" i="34"/>
  <c r="D36" i="34"/>
  <c r="D340" i="34" s="1"/>
  <c r="D483" i="34" s="1"/>
  <c r="F500" i="34"/>
  <c r="H500" i="34" s="1"/>
  <c r="F494" i="34"/>
  <c r="H494" i="34" s="1"/>
  <c r="H497" i="34"/>
  <c r="D476" i="34"/>
  <c r="D484" i="34" s="1"/>
  <c r="C476" i="34"/>
  <c r="C484" i="34" s="1"/>
  <c r="H491" i="34"/>
  <c r="H501" i="34"/>
  <c r="F493" i="34"/>
  <c r="C40" i="31"/>
  <c r="D486" i="34" l="1"/>
  <c r="C486" i="34"/>
  <c r="H493" i="34"/>
  <c r="H503" i="34" s="1"/>
  <c r="F503" i="34"/>
  <c r="E500" i="34" s="1"/>
  <c r="G500" i="34" s="1"/>
  <c r="E501" i="34" l="1"/>
  <c r="G501" i="34" s="1"/>
  <c r="E492" i="34"/>
  <c r="G492" i="34" s="1"/>
  <c r="E502" i="34"/>
  <c r="G502" i="34" s="1"/>
  <c r="E496" i="34"/>
  <c r="G496" i="34" s="1"/>
  <c r="E493" i="34"/>
  <c r="G493" i="34" s="1"/>
  <c r="E494" i="34"/>
  <c r="G494" i="34" s="1"/>
  <c r="E495" i="34"/>
  <c r="G495" i="34" s="1"/>
  <c r="E499" i="34"/>
  <c r="G499" i="34" s="1"/>
  <c r="E497" i="34"/>
  <c r="G497" i="34" s="1"/>
  <c r="E498" i="34"/>
  <c r="G498" i="34" s="1"/>
  <c r="E491" i="34"/>
  <c r="C29" i="33"/>
  <c r="H485" i="31"/>
  <c r="G491" i="34" l="1"/>
  <c r="G503" i="34" s="1"/>
  <c r="E503" i="34"/>
  <c r="B29" i="33"/>
  <c r="C55" i="31"/>
  <c r="G41" i="31" l="1"/>
  <c r="D55" i="31" l="1"/>
  <c r="G55" i="31"/>
  <c r="D44" i="31"/>
  <c r="G44" i="31" l="1"/>
  <c r="D39" i="31" l="1"/>
  <c r="D45" i="31"/>
  <c r="I55" i="31"/>
  <c r="D48" i="31"/>
  <c r="D46" i="31" l="1"/>
  <c r="D41" i="31"/>
  <c r="D53" i="31" l="1"/>
  <c r="D52" i="31"/>
  <c r="J50" i="31" l="1"/>
  <c r="I51" i="31"/>
  <c r="I49" i="31"/>
  <c r="D50" i="31"/>
  <c r="D57" i="31"/>
  <c r="D49" i="31"/>
  <c r="J490" i="31" l="1"/>
  <c r="C438" i="31" l="1"/>
  <c r="D438" i="31"/>
  <c r="D105" i="31" l="1"/>
  <c r="D14" i="31" l="1"/>
  <c r="C504" i="31" l="1"/>
  <c r="F503" i="31"/>
  <c r="H503" i="31" s="1"/>
  <c r="F502" i="31"/>
  <c r="D502" i="31"/>
  <c r="F501" i="31"/>
  <c r="H501" i="31" s="1"/>
  <c r="F500" i="31"/>
  <c r="H500" i="31" s="1"/>
  <c r="F499" i="31"/>
  <c r="H499" i="31" s="1"/>
  <c r="F498" i="31"/>
  <c r="D498" i="31"/>
  <c r="F497" i="31"/>
  <c r="F496" i="31"/>
  <c r="H496" i="31" s="1"/>
  <c r="F495" i="31"/>
  <c r="D495" i="31"/>
  <c r="F492" i="31"/>
  <c r="D492" i="31"/>
  <c r="A492" i="31"/>
  <c r="D458" i="31"/>
  <c r="C458" i="31"/>
  <c r="D441" i="31"/>
  <c r="C441" i="31"/>
  <c r="D434" i="31"/>
  <c r="C434" i="31"/>
  <c r="D431" i="31"/>
  <c r="C431" i="31"/>
  <c r="D379" i="31"/>
  <c r="C379" i="31"/>
  <c r="D344" i="31"/>
  <c r="C344" i="31"/>
  <c r="D332" i="31"/>
  <c r="C332" i="31"/>
  <c r="D329" i="31"/>
  <c r="C329" i="31"/>
  <c r="D323" i="31"/>
  <c r="C323" i="31"/>
  <c r="D210" i="31"/>
  <c r="C210" i="31"/>
  <c r="D206" i="31"/>
  <c r="C206" i="31"/>
  <c r="D179" i="31"/>
  <c r="C179" i="31"/>
  <c r="D171" i="31"/>
  <c r="C171" i="31"/>
  <c r="D154" i="31"/>
  <c r="C154" i="31"/>
  <c r="D139" i="31"/>
  <c r="C139" i="31"/>
  <c r="D136" i="31"/>
  <c r="C136" i="31"/>
  <c r="D120" i="31"/>
  <c r="C120" i="31"/>
  <c r="D115" i="31"/>
  <c r="C115" i="31"/>
  <c r="D102" i="31"/>
  <c r="C102" i="31"/>
  <c r="D65" i="31"/>
  <c r="C65" i="31"/>
  <c r="D60" i="31"/>
  <c r="C60" i="31"/>
  <c r="D40" i="31"/>
  <c r="C36" i="31"/>
  <c r="D32" i="31"/>
  <c r="C32" i="31"/>
  <c r="D18" i="31"/>
  <c r="C18" i="31"/>
  <c r="F493" i="31"/>
  <c r="D12" i="31"/>
  <c r="C12" i="31"/>
  <c r="D7" i="31"/>
  <c r="C7" i="31"/>
  <c r="C477" i="31" l="1"/>
  <c r="C485" i="31" s="1"/>
  <c r="D477" i="31"/>
  <c r="D485" i="31" s="1"/>
  <c r="H492" i="31"/>
  <c r="H502" i="31"/>
  <c r="H495" i="31"/>
  <c r="H497" i="31"/>
  <c r="C338" i="31"/>
  <c r="C484" i="31" s="1"/>
  <c r="H486" i="31"/>
  <c r="H498" i="31"/>
  <c r="H493" i="31"/>
  <c r="F494" i="31"/>
  <c r="H494" i="31" s="1"/>
  <c r="D504" i="31"/>
  <c r="D36" i="31"/>
  <c r="D338" i="31" s="1"/>
  <c r="D484" i="31" s="1"/>
  <c r="C77" i="29"/>
  <c r="D77" i="29"/>
  <c r="D12" i="29"/>
  <c r="C12" i="29"/>
  <c r="D84" i="29"/>
  <c r="C84" i="29"/>
  <c r="D80" i="29"/>
  <c r="C80" i="29"/>
  <c r="D72" i="29"/>
  <c r="C72" i="29"/>
  <c r="D63" i="29"/>
  <c r="C63" i="29"/>
  <c r="D59" i="29"/>
  <c r="C59" i="29"/>
  <c r="D52" i="29"/>
  <c r="C52" i="29"/>
  <c r="D49" i="29"/>
  <c r="C49" i="29"/>
  <c r="D44" i="29"/>
  <c r="C44" i="29"/>
  <c r="D40" i="29"/>
  <c r="C40" i="29"/>
  <c r="D37" i="29"/>
  <c r="C37" i="29"/>
  <c r="D32" i="29"/>
  <c r="C32" i="29"/>
  <c r="D29" i="29"/>
  <c r="D28" i="29"/>
  <c r="D27" i="29"/>
  <c r="D26" i="29"/>
  <c r="D24" i="29"/>
  <c r="D23" i="29"/>
  <c r="D22" i="29"/>
  <c r="D21" i="29"/>
  <c r="D19" i="29"/>
  <c r="D18" i="29"/>
  <c r="D17" i="29"/>
  <c r="C15" i="29"/>
  <c r="D8" i="29"/>
  <c r="C6" i="29"/>
  <c r="D42" i="27"/>
  <c r="D89" i="29" l="1"/>
  <c r="C66" i="29"/>
  <c r="C89" i="29"/>
  <c r="C97" i="29" s="1"/>
  <c r="D487" i="31"/>
  <c r="F504" i="31"/>
  <c r="C487" i="31"/>
  <c r="H504" i="31"/>
  <c r="D6" i="29"/>
  <c r="D97" i="29"/>
  <c r="C96" i="29"/>
  <c r="D15" i="29"/>
  <c r="D66" i="29" s="1"/>
  <c r="H485" i="27"/>
  <c r="H481" i="27"/>
  <c r="E496" i="31" l="1"/>
  <c r="G496" i="31" s="1"/>
  <c r="E494" i="31"/>
  <c r="G494" i="31" s="1"/>
  <c r="E492" i="31"/>
  <c r="G492" i="31" s="1"/>
  <c r="E503" i="31"/>
  <c r="G503" i="31" s="1"/>
  <c r="E497" i="31"/>
  <c r="G497" i="31" s="1"/>
  <c r="E500" i="31"/>
  <c r="G500" i="31" s="1"/>
  <c r="E493" i="31"/>
  <c r="G493" i="31" s="1"/>
  <c r="E495" i="31"/>
  <c r="G495" i="31" s="1"/>
  <c r="E502" i="31"/>
  <c r="G502" i="31" s="1"/>
  <c r="E498" i="31"/>
  <c r="G498" i="31" s="1"/>
  <c r="E499" i="31"/>
  <c r="G499" i="31" s="1"/>
  <c r="E501" i="31"/>
  <c r="G501" i="31" s="1"/>
  <c r="D96" i="29"/>
  <c r="D99" i="29" s="1"/>
  <c r="C99" i="29"/>
  <c r="D51" i="27"/>
  <c r="D49" i="27"/>
  <c r="D47" i="27"/>
  <c r="D40" i="27"/>
  <c r="D38" i="27"/>
  <c r="D45" i="27"/>
  <c r="D52" i="27"/>
  <c r="D43" i="27"/>
  <c r="D39" i="27"/>
  <c r="G504" i="31" l="1"/>
  <c r="E504" i="31"/>
  <c r="D54" i="27"/>
  <c r="D59" i="27" l="1"/>
  <c r="C59" i="27"/>
  <c r="D64" i="27"/>
  <c r="C64" i="27"/>
  <c r="D14" i="27" l="1"/>
  <c r="C27" i="28"/>
  <c r="B27" i="28"/>
  <c r="C26" i="28"/>
  <c r="B26" i="28"/>
  <c r="C25" i="28"/>
  <c r="B25" i="28"/>
  <c r="C24" i="28"/>
  <c r="B24" i="28"/>
  <c r="C23" i="28"/>
  <c r="B23" i="28"/>
  <c r="C22" i="28"/>
  <c r="B22" i="28"/>
  <c r="C21" i="28"/>
  <c r="B21" i="28"/>
  <c r="C20" i="28"/>
  <c r="B20" i="28"/>
  <c r="C19" i="28"/>
  <c r="B19" i="28"/>
  <c r="C18" i="28"/>
  <c r="B18" i="28"/>
  <c r="C17" i="28"/>
  <c r="B17" i="28"/>
  <c r="C16" i="28"/>
  <c r="B16" i="28"/>
  <c r="E4" i="28"/>
  <c r="D4" i="28"/>
  <c r="B4" i="28"/>
  <c r="C500" i="27"/>
  <c r="F499" i="27"/>
  <c r="F498" i="27"/>
  <c r="D498" i="27"/>
  <c r="F497" i="27"/>
  <c r="H497" i="27" s="1"/>
  <c r="F496" i="27"/>
  <c r="H496" i="27" s="1"/>
  <c r="F495" i="27"/>
  <c r="F494" i="27"/>
  <c r="D494" i="27"/>
  <c r="F493" i="27"/>
  <c r="D493" i="27"/>
  <c r="F492" i="27"/>
  <c r="H492" i="27" s="1"/>
  <c r="F491" i="27"/>
  <c r="D491" i="27"/>
  <c r="F490" i="27"/>
  <c r="H490" i="27" s="1"/>
  <c r="F489" i="27"/>
  <c r="H489" i="27" s="1"/>
  <c r="F488" i="27"/>
  <c r="D488" i="27"/>
  <c r="A488" i="27"/>
  <c r="H482" i="27"/>
  <c r="D457" i="27"/>
  <c r="C457" i="27"/>
  <c r="D440" i="27"/>
  <c r="C440" i="27"/>
  <c r="D435" i="27"/>
  <c r="C435" i="27"/>
  <c r="D431" i="27"/>
  <c r="C431" i="27"/>
  <c r="D378" i="27"/>
  <c r="C378" i="27"/>
  <c r="D343" i="27"/>
  <c r="C343" i="27"/>
  <c r="D331" i="27"/>
  <c r="C331" i="27"/>
  <c r="D328" i="27"/>
  <c r="C328" i="27"/>
  <c r="D322" i="27"/>
  <c r="C322" i="27"/>
  <c r="D209" i="27"/>
  <c r="C209" i="27"/>
  <c r="D205" i="27"/>
  <c r="C205" i="27"/>
  <c r="D178" i="27"/>
  <c r="C178" i="27"/>
  <c r="D170" i="27"/>
  <c r="C170" i="27"/>
  <c r="D153" i="27"/>
  <c r="C153" i="27"/>
  <c r="D138" i="27"/>
  <c r="C138" i="27"/>
  <c r="D135" i="27"/>
  <c r="C135" i="27"/>
  <c r="D119" i="27"/>
  <c r="C119" i="27"/>
  <c r="D114" i="27"/>
  <c r="C114" i="27"/>
  <c r="D101" i="27"/>
  <c r="C101" i="27"/>
  <c r="D36" i="27"/>
  <c r="C36" i="27"/>
  <c r="D32" i="27"/>
  <c r="C32" i="27"/>
  <c r="D18" i="27"/>
  <c r="C18" i="27"/>
  <c r="D12" i="27"/>
  <c r="C12" i="27"/>
  <c r="D7" i="27"/>
  <c r="C7" i="27"/>
  <c r="C337" i="27" l="1"/>
  <c r="C480" i="27" s="1"/>
  <c r="D337" i="27"/>
  <c r="D500" i="27"/>
  <c r="C29" i="28"/>
  <c r="B29" i="28"/>
  <c r="D480" i="27"/>
  <c r="H498" i="27"/>
  <c r="H494" i="27"/>
  <c r="H499" i="27"/>
  <c r="H493" i="27"/>
  <c r="H495" i="27"/>
  <c r="H491" i="27"/>
  <c r="D473" i="27"/>
  <c r="D481" i="27" s="1"/>
  <c r="C473" i="27"/>
  <c r="C481" i="27" s="1"/>
  <c r="H488" i="27"/>
  <c r="F500" i="27"/>
  <c r="E494" i="27" s="1"/>
  <c r="G494" i="27" s="1"/>
  <c r="D483" i="27" l="1"/>
  <c r="E496" i="27"/>
  <c r="G496" i="27" s="1"/>
  <c r="H500" i="27"/>
  <c r="C483" i="27"/>
  <c r="E499" i="27"/>
  <c r="G499" i="27" s="1"/>
  <c r="E498" i="27"/>
  <c r="G498" i="27" s="1"/>
  <c r="E497" i="27"/>
  <c r="G497" i="27" s="1"/>
  <c r="E495" i="27"/>
  <c r="G495" i="27" s="1"/>
  <c r="E492" i="27"/>
  <c r="G492" i="27" s="1"/>
  <c r="E488" i="27"/>
  <c r="E493" i="27"/>
  <c r="G493" i="27" s="1"/>
  <c r="E490" i="27"/>
  <c r="G490" i="27" s="1"/>
  <c r="E489" i="27"/>
  <c r="G489" i="27" s="1"/>
  <c r="E491" i="27"/>
  <c r="G491" i="27" s="1"/>
  <c r="G488" i="27" l="1"/>
  <c r="G500" i="27" s="1"/>
  <c r="E500" i="27"/>
  <c r="H481" i="20" l="1"/>
  <c r="H482" i="20" l="1"/>
  <c r="H485" i="20"/>
  <c r="D491" i="20" l="1"/>
  <c r="D493" i="20"/>
  <c r="D494" i="20"/>
  <c r="D495" i="20"/>
  <c r="D498" i="20"/>
  <c r="D499" i="20"/>
  <c r="D488" i="20"/>
  <c r="D14" i="20" l="1"/>
  <c r="B19" i="23" l="1"/>
  <c r="B21" i="23"/>
  <c r="B22" i="23"/>
  <c r="B23" i="23"/>
  <c r="B26" i="23"/>
  <c r="B27" i="23"/>
  <c r="B16" i="23"/>
  <c r="C19" i="23"/>
  <c r="C21" i="23"/>
  <c r="C22" i="23"/>
  <c r="C23" i="23"/>
  <c r="C26" i="23"/>
  <c r="C27" i="23"/>
  <c r="C16" i="23"/>
  <c r="B4" i="23"/>
  <c r="C153" i="20" l="1"/>
  <c r="C431" i="20"/>
  <c r="D440" i="20"/>
  <c r="C440" i="20"/>
  <c r="C18" i="20" l="1"/>
  <c r="D18" i="20"/>
  <c r="C17" i="23" l="1"/>
  <c r="B17" i="23"/>
  <c r="B24" i="23"/>
  <c r="D500" i="20" l="1"/>
  <c r="C500" i="20"/>
  <c r="F499" i="20"/>
  <c r="H499" i="20" s="1"/>
  <c r="F498" i="20"/>
  <c r="H498" i="20" s="1"/>
  <c r="F495" i="20"/>
  <c r="H495" i="20" s="1"/>
  <c r="F494" i="20"/>
  <c r="H494" i="20" s="1"/>
  <c r="F493" i="20"/>
  <c r="H493" i="20" s="1"/>
  <c r="F491" i="20"/>
  <c r="H491" i="20" s="1"/>
  <c r="F488" i="20"/>
  <c r="A488" i="20"/>
  <c r="D457" i="20"/>
  <c r="C457" i="20"/>
  <c r="D435" i="20"/>
  <c r="C435" i="20"/>
  <c r="D431" i="20"/>
  <c r="B25" i="23"/>
  <c r="C24" i="23"/>
  <c r="C343" i="20"/>
  <c r="D331" i="20"/>
  <c r="C331" i="20"/>
  <c r="D328" i="20"/>
  <c r="C328" i="20"/>
  <c r="D322" i="20"/>
  <c r="C322" i="20"/>
  <c r="D205" i="20"/>
  <c r="C205" i="20"/>
  <c r="D178" i="20"/>
  <c r="C178" i="20"/>
  <c r="D170" i="20"/>
  <c r="C170" i="20"/>
  <c r="D138" i="20"/>
  <c r="C138" i="20"/>
  <c r="D135" i="20"/>
  <c r="C135" i="20"/>
  <c r="C119" i="20"/>
  <c r="D114" i="20"/>
  <c r="C114" i="20"/>
  <c r="C101" i="20"/>
  <c r="B18" i="23"/>
  <c r="D32" i="20"/>
  <c r="C32" i="20"/>
  <c r="D7" i="20"/>
  <c r="E4" i="23" l="1"/>
  <c r="C20" i="23"/>
  <c r="C209" i="20"/>
  <c r="D4" i="23"/>
  <c r="B20" i="23"/>
  <c r="B29" i="23" s="1"/>
  <c r="D59" i="20"/>
  <c r="C18" i="23"/>
  <c r="C25" i="23"/>
  <c r="F496" i="20"/>
  <c r="H496" i="20" s="1"/>
  <c r="D209" i="20"/>
  <c r="D153" i="20"/>
  <c r="D101" i="20"/>
  <c r="C378" i="20"/>
  <c r="F490" i="20"/>
  <c r="H490" i="20" s="1"/>
  <c r="F492" i="20"/>
  <c r="H492" i="20" s="1"/>
  <c r="D378" i="20"/>
  <c r="C36" i="20"/>
  <c r="D36" i="20"/>
  <c r="D119" i="20"/>
  <c r="D343" i="20"/>
  <c r="D473" i="20" s="1"/>
  <c r="H488" i="20"/>
  <c r="C7" i="20"/>
  <c r="C12" i="20"/>
  <c r="D12" i="20"/>
  <c r="F489" i="20"/>
  <c r="H489" i="20" s="1"/>
  <c r="F497" i="20"/>
  <c r="H497" i="20" s="1"/>
  <c r="C59" i="20"/>
  <c r="C29" i="23" l="1"/>
  <c r="C473" i="20"/>
  <c r="C481" i="20" s="1"/>
  <c r="D337" i="20"/>
  <c r="D480" i="20" s="1"/>
  <c r="D481" i="20"/>
  <c r="C337" i="20"/>
  <c r="C480" i="20" s="1"/>
  <c r="F500" i="20"/>
  <c r="H500" i="20"/>
  <c r="C483" i="20" l="1"/>
  <c r="D483" i="20"/>
  <c r="E499" i="20" l="1"/>
  <c r="G499" i="20" s="1"/>
  <c r="E489" i="20"/>
  <c r="G489" i="20" s="1"/>
  <c r="E498" i="20"/>
  <c r="G498" i="20" s="1"/>
  <c r="E497" i="20"/>
  <c r="G497" i="20" s="1"/>
  <c r="E495" i="20" l="1"/>
  <c r="G495" i="20" s="1"/>
  <c r="E494" i="20"/>
  <c r="G494" i="20" s="1"/>
  <c r="E493" i="20"/>
  <c r="G493" i="20" s="1"/>
  <c r="E488" i="20"/>
  <c r="G488" i="20" s="1"/>
  <c r="E490" i="20"/>
  <c r="E496" i="20"/>
  <c r="G496" i="20" s="1"/>
  <c r="E492" i="20"/>
  <c r="G492" i="20" s="1"/>
  <c r="E491" i="20"/>
  <c r="G491" i="20" s="1"/>
  <c r="G490" i="20" l="1"/>
  <c r="G500" i="20" s="1"/>
  <c r="E500" i="20"/>
  <c r="F509" i="55" l="1"/>
  <c r="E497" i="55" s="1"/>
  <c r="G497" i="55" s="1"/>
  <c r="H506" i="55"/>
  <c r="H509" i="55" s="1"/>
  <c r="E502" i="55" l="1"/>
  <c r="G502" i="55" s="1"/>
  <c r="E498" i="55"/>
  <c r="G498" i="55" s="1"/>
  <c r="E499" i="55"/>
  <c r="G499" i="55" s="1"/>
  <c r="E505" i="55"/>
  <c r="G505" i="55" s="1"/>
  <c r="E501" i="55"/>
  <c r="G501" i="55" s="1"/>
  <c r="E508" i="55"/>
  <c r="G508" i="55" s="1"/>
  <c r="E500" i="55"/>
  <c r="G500" i="55" s="1"/>
  <c r="E503" i="55"/>
  <c r="G503" i="55" s="1"/>
  <c r="E504" i="55"/>
  <c r="G504" i="55" s="1"/>
  <c r="E507" i="55"/>
  <c r="G507" i="55" s="1"/>
  <c r="E506" i="55"/>
  <c r="G506" i="55" s="1"/>
  <c r="E496" i="55"/>
  <c r="E509" i="55" l="1"/>
  <c r="G496" i="55"/>
  <c r="G509" i="55" s="1"/>
  <c r="H442" i="59" l="1"/>
  <c r="H445" i="59" s="1"/>
  <c r="H488" i="55"/>
  <c r="H491" i="55" s="1"/>
  <c r="H492" i="55" s="1"/>
  <c r="H494" i="55" s="1"/>
  <c r="J527" i="55" s="1"/>
  <c r="H488" i="51"/>
  <c r="H491" i="51" s="1"/>
  <c r="H492" i="51" s="1"/>
  <c r="H494" i="51" s="1"/>
  <c r="J498" i="51" s="1"/>
  <c r="H289" i="53"/>
  <c r="H292" i="53" s="1"/>
  <c r="H293" i="53" s="1"/>
  <c r="H295" i="53" s="1"/>
  <c r="J299" i="53" s="1"/>
  <c r="H483" i="44"/>
  <c r="H486" i="44" s="1"/>
  <c r="H487" i="44" s="1"/>
  <c r="H489" i="44" s="1"/>
  <c r="H484" i="31"/>
  <c r="H487" i="31" s="1"/>
  <c r="H488" i="31" s="1"/>
  <c r="H483" i="34"/>
  <c r="H486" i="34" s="1"/>
  <c r="H487" i="34" s="1"/>
  <c r="H480" i="27"/>
  <c r="H483" i="27" s="1"/>
  <c r="H484" i="27" s="1"/>
  <c r="H486" i="27" s="1"/>
  <c r="H484" i="48"/>
  <c r="H487" i="48" s="1"/>
  <c r="H488" i="48" s="1"/>
  <c r="H480" i="20"/>
  <c r="H483" i="20" s="1"/>
  <c r="H484" i="20" s="1"/>
  <c r="H486" i="20" s="1"/>
  <c r="J491" i="31" l="1"/>
  <c r="H490" i="31"/>
  <c r="H490" i="48"/>
  <c r="J486" i="48"/>
  <c r="F464" i="59"/>
  <c r="H446" i="59"/>
  <c r="H448" i="59" s="1"/>
  <c r="I482" i="59" s="1"/>
  <c r="H489" i="34"/>
  <c r="J492" i="34"/>
  <c r="E451" i="59" l="1"/>
  <c r="G451" i="59" s="1"/>
  <c r="E452" i="59"/>
  <c r="G452" i="59" s="1"/>
  <c r="E456" i="59"/>
  <c r="G456" i="59" s="1"/>
  <c r="E454" i="59"/>
  <c r="G454" i="59" s="1"/>
  <c r="E450" i="59"/>
  <c r="E455" i="59"/>
  <c r="G455" i="59" s="1"/>
  <c r="E462" i="59"/>
  <c r="G462" i="59" s="1"/>
  <c r="E459" i="59"/>
  <c r="G459" i="59" s="1"/>
  <c r="E457" i="59"/>
  <c r="G457" i="59" s="1"/>
  <c r="E460" i="59"/>
  <c r="G460" i="59" s="1"/>
  <c r="E461" i="59"/>
  <c r="G461" i="59" s="1"/>
  <c r="E458" i="59"/>
  <c r="G458" i="59" s="1"/>
  <c r="E453" i="59"/>
  <c r="G453" i="59" s="1"/>
  <c r="G450" i="59" l="1"/>
  <c r="G463" i="59" s="1"/>
  <c r="E463" i="59"/>
</calcChain>
</file>

<file path=xl/comments1.xml><?xml version="1.0" encoding="utf-8"?>
<comments xmlns="http://schemas.openxmlformats.org/spreadsheetml/2006/main">
  <authors>
    <author>Marie Hujnakova</author>
  </authors>
  <commentList>
    <comment ref="D215" authorId="0" shapeId="0">
      <text>
        <r>
          <rPr>
            <b/>
            <sz val="9"/>
            <color indexed="81"/>
            <rFont val="Tahoma"/>
            <family val="2"/>
            <charset val="238"/>
          </rPr>
          <t>Marie Hujnakova:</t>
        </r>
        <r>
          <rPr>
            <sz val="9"/>
            <color indexed="81"/>
            <rFont val="Tahoma"/>
            <family val="2"/>
            <charset val="238"/>
          </rPr>
          <t xml:space="preserve">
Sociální služby pro příspěvkové organizace Magistrátu města Brna: 51.882 000,- Kč
Sociální služby pro MČ:                                                            7.266.600,- Kč
Sociální služby pro DROM:                                                        1.197.960,- Kč</t>
        </r>
      </text>
    </comment>
  </commentList>
</comments>
</file>

<file path=xl/comments10.xml><?xml version="1.0" encoding="utf-8"?>
<comments xmlns="http://schemas.openxmlformats.org/spreadsheetml/2006/main">
  <authors>
    <author>Marie Hujnakova</author>
  </authors>
  <commentList>
    <comment ref="B200" authorId="0" shapeId="0">
      <text>
        <r>
          <rPr>
            <b/>
            <sz val="9"/>
            <color indexed="81"/>
            <rFont val="Tahoma"/>
            <family val="2"/>
            <charset val="238"/>
          </rPr>
          <t>Marie Hujnakova:</t>
        </r>
        <r>
          <rPr>
            <sz val="9"/>
            <color indexed="81"/>
            <rFont val="Tahoma"/>
            <family val="2"/>
            <charset val="238"/>
          </rPr>
          <t xml:space="preserve">
Škola vracela částku - 506.096,81 Kč:
z letošního roku -   496.648,11 Kč (pol. - 4116 + ÚZ 33019)
z let minulých    -      9.448,70 Kč (pol. 5366 + ÚZ 33019)  </t>
        </r>
      </text>
    </comment>
    <comment ref="D288" authorId="0" shapeId="0">
      <text>
        <r>
          <rPr>
            <b/>
            <sz val="9"/>
            <color indexed="81"/>
            <rFont val="Tahoma"/>
            <family val="2"/>
            <charset val="238"/>
          </rPr>
          <t>Marie Hujnakova:</t>
        </r>
        <r>
          <rPr>
            <sz val="9"/>
            <color indexed="81"/>
            <rFont val="Tahoma"/>
            <family val="2"/>
            <charset val="238"/>
          </rPr>
          <t xml:space="preserve">
Sociální služby pro příspěvkové organizace Magistrátu města Brna: 51.882 000,- Kč
Sociální služby pro MČ:                                                            7.266.600,- Kč
Sociální služby pro DROM:                                                        1.197.960,- Kč</t>
        </r>
      </text>
    </comment>
    <comment ref="D318" authorId="0" shapeId="0">
      <text>
        <r>
          <rPr>
            <b/>
            <sz val="9"/>
            <color indexed="81"/>
            <rFont val="Tahoma"/>
            <family val="2"/>
            <charset val="238"/>
          </rPr>
          <t>Marie Hujnakova:</t>
        </r>
        <r>
          <rPr>
            <sz val="9"/>
            <color indexed="81"/>
            <rFont val="Tahoma"/>
            <family val="2"/>
            <charset val="238"/>
          </rPr>
          <t xml:space="preserve">
Sociální služby pro příspěvkové organizace Magistrátu města Brna: .,- Kč
Sociální služby pro MČ:                                                            5.643.040,- Kč
Sociální služby pro DROM:                                                        1.996.600,- Kč</t>
        </r>
      </text>
    </comment>
    <comment ref="D426" authorId="0" shapeId="0">
      <text>
        <r>
          <rPr>
            <b/>
            <sz val="9"/>
            <color indexed="81"/>
            <rFont val="Tahoma"/>
            <family val="2"/>
            <charset val="238"/>
          </rPr>
          <t>Marie Hujnakova:</t>
        </r>
        <r>
          <rPr>
            <sz val="9"/>
            <color indexed="81"/>
            <rFont val="Tahoma"/>
            <family val="2"/>
            <charset val="238"/>
          </rPr>
          <t xml:space="preserve">
Spolufinancovaný projekt:
nástroj 53, prostorová jednotka 5, ÚZ 15827 - částka 1.922.809,63 Kč</t>
        </r>
      </text>
    </comment>
    <comment ref="D431" authorId="0" shapeId="0">
      <text>
        <r>
          <rPr>
            <b/>
            <sz val="9"/>
            <color indexed="81"/>
            <rFont val="Tahoma"/>
            <family val="2"/>
            <charset val="238"/>
          </rPr>
          <t>Marie Hujnakova:</t>
        </r>
        <r>
          <rPr>
            <sz val="9"/>
            <color indexed="81"/>
            <rFont val="Tahoma"/>
            <family val="2"/>
            <charset val="238"/>
          </rPr>
          <t xml:space="preserve">
Spolufinancovaný projekt:
nástroj 53, prostorová jednotka 1, ÚZ 15828 - částka 98.822,38 Kč</t>
        </r>
      </text>
    </comment>
    <comment ref="D432" authorId="0" shapeId="0">
      <text>
        <r>
          <rPr>
            <b/>
            <sz val="9"/>
            <color indexed="81"/>
            <rFont val="Tahoma"/>
            <family val="2"/>
            <charset val="238"/>
          </rPr>
          <t>Marie Hujnakova:</t>
        </r>
        <r>
          <rPr>
            <sz val="9"/>
            <color indexed="81"/>
            <rFont val="Tahoma"/>
            <family val="2"/>
            <charset val="238"/>
          </rPr>
          <t xml:space="preserve">
Spolufinancovaný projekt:
nástroj 53, prosotorvá jednotka 5, ÚZ 15829 - částka 1.679.980,46 Kč</t>
        </r>
      </text>
    </comment>
  </commentList>
</comments>
</file>

<file path=xl/comments11.xml><?xml version="1.0" encoding="utf-8"?>
<comments xmlns="http://schemas.openxmlformats.org/spreadsheetml/2006/main">
  <authors>
    <author>Marie Hujnakova</author>
  </authors>
  <commentList>
    <comment ref="B206" authorId="0" shapeId="0">
      <text>
        <r>
          <rPr>
            <b/>
            <sz val="9"/>
            <color indexed="81"/>
            <rFont val="Tahoma"/>
            <family val="2"/>
            <charset val="238"/>
          </rPr>
          <t>Marie Hujnakova:</t>
        </r>
        <r>
          <rPr>
            <sz val="9"/>
            <color indexed="81"/>
            <rFont val="Tahoma"/>
            <family val="2"/>
            <charset val="238"/>
          </rPr>
          <t xml:space="preserve">
Škola vracela částku - 506.096,81 Kč:
z letošního roku -   496.648,11 Kč (pol. - 4116 + ÚZ 33019)
z let minulých    -      9.448,70 Kč (pol. 5366 + ÚZ 33019)  </t>
        </r>
      </text>
    </comment>
    <comment ref="D310" authorId="0" shapeId="0">
      <text>
        <r>
          <rPr>
            <b/>
            <sz val="9"/>
            <color indexed="81"/>
            <rFont val="Tahoma"/>
            <family val="2"/>
            <charset val="238"/>
          </rPr>
          <t>Marie Hujnakova:</t>
        </r>
        <r>
          <rPr>
            <sz val="9"/>
            <color indexed="81"/>
            <rFont val="Tahoma"/>
            <family val="2"/>
            <charset val="238"/>
          </rPr>
          <t xml:space="preserve">
Sociální služby pro příspěvkové organizace Magistrátu města Brna: 51.882 000,- Kč
Sociální služby pro MČ:                                                            7.266.600,- Kč
Sociální služby pro DROM:                                                        1.197.960,- Kč</t>
        </r>
      </text>
    </comment>
    <comment ref="D340" authorId="0" shapeId="0">
      <text>
        <r>
          <rPr>
            <b/>
            <sz val="9"/>
            <color indexed="81"/>
            <rFont val="Tahoma"/>
            <family val="2"/>
            <charset val="238"/>
          </rPr>
          <t>Marie Hujnakova:</t>
        </r>
        <r>
          <rPr>
            <sz val="9"/>
            <color indexed="81"/>
            <rFont val="Tahoma"/>
            <family val="2"/>
            <charset val="238"/>
          </rPr>
          <t xml:space="preserve">
Sociální služby pro příspěvkové organizace Magistrátu města Brna: .,- Kč
Sociální služby pro MČ:                                                            5.643.040,- Kč
Sociální služby pro DROM:                                                        1.996.600,- Kč</t>
        </r>
      </text>
    </comment>
    <comment ref="D483" authorId="0" shapeId="0">
      <text>
        <r>
          <rPr>
            <b/>
            <sz val="9"/>
            <color indexed="81"/>
            <rFont val="Tahoma"/>
            <family val="2"/>
            <charset val="238"/>
          </rPr>
          <t>Marie Hujnakova:</t>
        </r>
        <r>
          <rPr>
            <sz val="9"/>
            <color indexed="81"/>
            <rFont val="Tahoma"/>
            <family val="2"/>
            <charset val="238"/>
          </rPr>
          <t xml:space="preserve">
Spolufinancovaný projekt:
nástroj 53, prostorová jednotka 1, ÚZ 15828 - částka 98.822,38 Kč</t>
        </r>
      </text>
    </comment>
    <comment ref="J483" authorId="0" shapeId="0">
      <text>
        <r>
          <rPr>
            <b/>
            <sz val="9"/>
            <color indexed="81"/>
            <rFont val="Tahoma"/>
            <family val="2"/>
            <charset val="238"/>
          </rPr>
          <t>Marie Hujnakova:</t>
        </r>
        <r>
          <rPr>
            <sz val="9"/>
            <color indexed="81"/>
            <rFont val="Tahoma"/>
            <family val="2"/>
            <charset val="238"/>
          </rPr>
          <t xml:space="preserve">
Spolufinancovaný projekt:
nástroj 53, prostorová jednotka 1, ÚZ 15828 - částka 98.822,38 Kč</t>
        </r>
      </text>
    </comment>
    <comment ref="D484" authorId="0" shapeId="0">
      <text>
        <r>
          <rPr>
            <b/>
            <sz val="9"/>
            <color indexed="81"/>
            <rFont val="Tahoma"/>
            <family val="2"/>
            <charset val="238"/>
          </rPr>
          <t>Marie Hujnakova:</t>
        </r>
        <r>
          <rPr>
            <sz val="9"/>
            <color indexed="81"/>
            <rFont val="Tahoma"/>
            <family val="2"/>
            <charset val="238"/>
          </rPr>
          <t xml:space="preserve">
Spolufinancovaný projekt:
nástroj 53, prosotorvá jednotka 5, ÚZ 15829 - částka 1.679.980,46 Kč</t>
        </r>
      </text>
    </comment>
    <comment ref="J484" authorId="0" shapeId="0">
      <text>
        <r>
          <rPr>
            <b/>
            <sz val="9"/>
            <color indexed="81"/>
            <rFont val="Tahoma"/>
            <family val="2"/>
            <charset val="238"/>
          </rPr>
          <t>Marie Hujnakova:</t>
        </r>
        <r>
          <rPr>
            <sz val="9"/>
            <color indexed="81"/>
            <rFont val="Tahoma"/>
            <family val="2"/>
            <charset val="238"/>
          </rPr>
          <t xml:space="preserve">
Spolufinancovaný projekt:
nástroj 53, prosotorvá jednotka 5, ÚZ 15829 - částka 1.679.980,46 Kč</t>
        </r>
      </text>
    </comment>
  </commentList>
</comments>
</file>

<file path=xl/comments12.xml><?xml version="1.0" encoding="utf-8"?>
<comments xmlns="http://schemas.openxmlformats.org/spreadsheetml/2006/main">
  <authors>
    <author>Marie Hujnakova</author>
  </authors>
  <commentList>
    <comment ref="B164" authorId="0" shapeId="0">
      <text>
        <r>
          <rPr>
            <b/>
            <sz val="9"/>
            <color indexed="81"/>
            <rFont val="Tahoma"/>
            <family val="2"/>
            <charset val="238"/>
          </rPr>
          <t>Marie Hujnakova:</t>
        </r>
        <r>
          <rPr>
            <sz val="9"/>
            <color indexed="81"/>
            <rFont val="Tahoma"/>
            <family val="2"/>
            <charset val="238"/>
          </rPr>
          <t xml:space="preserve">
Škola vracela částku - 506.096,81 Kč:
z letošního roku -   496.648,11 Kč (pol. - 4116 + ÚZ 33019)
z let minulých    -      9.448,70 Kč (pol. 5366 + ÚZ 33019)  </t>
        </r>
      </text>
    </comment>
    <comment ref="D254" authorId="0" shapeId="0">
      <text>
        <r>
          <rPr>
            <b/>
            <sz val="9"/>
            <color indexed="81"/>
            <rFont val="Tahoma"/>
            <family val="2"/>
            <charset val="238"/>
          </rPr>
          <t>Marie Hujnakova:</t>
        </r>
        <r>
          <rPr>
            <sz val="9"/>
            <color indexed="81"/>
            <rFont val="Tahoma"/>
            <family val="2"/>
            <charset val="238"/>
          </rPr>
          <t xml:space="preserve">
Sociální služby pro příspěvkové organizace Magistrátu města Brna: 51.882 000,- Kč
Sociální služby pro MČ:                                                            7.266.600,- Kč
Sociální služby pro DROM:                                                        1.197.960,- Kč</t>
        </r>
      </text>
    </comment>
    <comment ref="D284" authorId="0" shapeId="0">
      <text>
        <r>
          <rPr>
            <b/>
            <sz val="9"/>
            <color indexed="81"/>
            <rFont val="Tahoma"/>
            <family val="2"/>
            <charset val="238"/>
          </rPr>
          <t>Marie Hujnakova:</t>
        </r>
        <r>
          <rPr>
            <sz val="9"/>
            <color indexed="81"/>
            <rFont val="Tahoma"/>
            <family val="2"/>
            <charset val="238"/>
          </rPr>
          <t xml:space="preserve">
Sociální služby pro příspěvkové organizace Magistrátu města Brna: .,- Kč
Sociální služby pro MČ:                                                            5.643.040,- Kč
Sociální služby pro DROM:                                                        1.996.600,- Kč</t>
        </r>
      </text>
    </comment>
  </commentList>
</comments>
</file>

<file path=xl/comments13.xml><?xml version="1.0" encoding="utf-8"?>
<comments xmlns="http://schemas.openxmlformats.org/spreadsheetml/2006/main">
  <authors>
    <author>Marie Hujnakova</author>
  </authors>
  <commentList>
    <comment ref="B206" authorId="0" shapeId="0">
      <text>
        <r>
          <rPr>
            <b/>
            <sz val="9"/>
            <color indexed="81"/>
            <rFont val="Tahoma"/>
            <family val="2"/>
            <charset val="238"/>
          </rPr>
          <t>Marie Hujnakova:</t>
        </r>
        <r>
          <rPr>
            <sz val="9"/>
            <color indexed="81"/>
            <rFont val="Tahoma"/>
            <family val="2"/>
            <charset val="238"/>
          </rPr>
          <t xml:space="preserve">
Škola vracela částku - 506.096,81 Kč:
z letošního roku -   496.648,11 Kč (pol. - 4116 + ÚZ 33019)
z let minulých    -      9.448,70 Kč (pol. 5366 + ÚZ 33019)  </t>
        </r>
      </text>
    </comment>
    <comment ref="D310" authorId="0" shapeId="0">
      <text>
        <r>
          <rPr>
            <b/>
            <sz val="9"/>
            <color indexed="81"/>
            <rFont val="Tahoma"/>
            <family val="2"/>
            <charset val="238"/>
          </rPr>
          <t>Marie Hujnakova:</t>
        </r>
        <r>
          <rPr>
            <sz val="9"/>
            <color indexed="81"/>
            <rFont val="Tahoma"/>
            <family val="2"/>
            <charset val="238"/>
          </rPr>
          <t xml:space="preserve">
Sociální služby pro příspěvkové organizace Magistrátu města Brna: 51.882 000,- Kč
Sociální služby pro MČ:                                                            7.266.600,- Kč
Sociální služby pro DROM:                                                        1.197.960,- Kč</t>
        </r>
      </text>
    </comment>
    <comment ref="D340" authorId="0" shapeId="0">
      <text>
        <r>
          <rPr>
            <b/>
            <sz val="9"/>
            <color indexed="81"/>
            <rFont val="Tahoma"/>
            <family val="2"/>
            <charset val="238"/>
          </rPr>
          <t>Marie Hujnakova:</t>
        </r>
        <r>
          <rPr>
            <sz val="9"/>
            <color indexed="81"/>
            <rFont val="Tahoma"/>
            <family val="2"/>
            <charset val="238"/>
          </rPr>
          <t xml:space="preserve">
Sociální služby pro příspěvkové organizace Magistrátu města Brna: .,- Kč
Sociální služby pro MČ:                                                            5.643.040,- Kč
Sociální služby pro DROM:                                                        1.996.600,- Kč</t>
        </r>
      </text>
    </comment>
    <comment ref="D483" authorId="0" shapeId="0">
      <text>
        <r>
          <rPr>
            <b/>
            <sz val="9"/>
            <color indexed="81"/>
            <rFont val="Tahoma"/>
            <family val="2"/>
            <charset val="238"/>
          </rPr>
          <t>Marie Hujnakova:</t>
        </r>
        <r>
          <rPr>
            <sz val="9"/>
            <color indexed="81"/>
            <rFont val="Tahoma"/>
            <family val="2"/>
            <charset val="238"/>
          </rPr>
          <t xml:space="preserve">
Spolufinancovaný projekt:
nástroj 53, prostorová jednotka 1, ÚZ 15828 - částka 98.822,38 Kč</t>
        </r>
      </text>
    </comment>
    <comment ref="D484" authorId="0" shapeId="0">
      <text>
        <r>
          <rPr>
            <b/>
            <sz val="9"/>
            <color indexed="81"/>
            <rFont val="Tahoma"/>
            <family val="2"/>
            <charset val="238"/>
          </rPr>
          <t>Marie Hujnakova:</t>
        </r>
        <r>
          <rPr>
            <sz val="9"/>
            <color indexed="81"/>
            <rFont val="Tahoma"/>
            <family val="2"/>
            <charset val="238"/>
          </rPr>
          <t xml:space="preserve">
Spolufinancovaný projekt:
nástroj 53, prosotorvá jednotka 5, ÚZ 15829 - částka 1.679.980,46 Kč</t>
        </r>
      </text>
    </comment>
  </commentList>
</comments>
</file>

<file path=xl/comments2.xml><?xml version="1.0" encoding="utf-8"?>
<comments xmlns="http://schemas.openxmlformats.org/spreadsheetml/2006/main">
  <authors>
    <author>Marie Hujnakova</author>
  </authors>
  <commentList>
    <comment ref="D215" authorId="0" shapeId="0">
      <text>
        <r>
          <rPr>
            <b/>
            <sz val="9"/>
            <color indexed="81"/>
            <rFont val="Tahoma"/>
            <family val="2"/>
            <charset val="238"/>
          </rPr>
          <t>Marie Hujnakova:</t>
        </r>
        <r>
          <rPr>
            <sz val="9"/>
            <color indexed="81"/>
            <rFont val="Tahoma"/>
            <family val="2"/>
            <charset val="238"/>
          </rPr>
          <t xml:space="preserve">
Sociální služby pro příspěvkové organizace Magistrátu města Brna: 51.882 000,- Kč
Sociální služby pro MČ:                                                            7.266.600,- Kč
Sociální služby pro DROM:                                                        1.197.960,- Kč</t>
        </r>
      </text>
    </comment>
  </commentList>
</comments>
</file>

<file path=xl/comments3.xml><?xml version="1.0" encoding="utf-8"?>
<comments xmlns="http://schemas.openxmlformats.org/spreadsheetml/2006/main">
  <authors>
    <author>Marie Hujnakova</author>
  </authors>
  <commentList>
    <comment ref="D126" authorId="0" shapeId="0">
      <text>
        <r>
          <rPr>
            <b/>
            <sz val="9"/>
            <color indexed="81"/>
            <rFont val="Tahoma"/>
            <family val="2"/>
            <charset val="238"/>
          </rPr>
          <t>Marie Hujnakova:</t>
        </r>
        <r>
          <rPr>
            <sz val="9"/>
            <color indexed="81"/>
            <rFont val="Tahoma"/>
            <family val="2"/>
            <charset val="238"/>
          </rPr>
          <t xml:space="preserve">
Sociální služby pro příspěvkové organizace Magistrátu města Brna: 51.882 000,- Kč
Sociální služby pro MČ:                                                            7.266.600,- Kč
Sociální služby pro DROM:                                                        1.197.960,- Kč</t>
        </r>
      </text>
    </comment>
  </commentList>
</comments>
</file>

<file path=xl/comments4.xml><?xml version="1.0" encoding="utf-8"?>
<comments xmlns="http://schemas.openxmlformats.org/spreadsheetml/2006/main">
  <authors>
    <author>Marie Hujnakova</author>
  </authors>
  <commentList>
    <comment ref="D221" authorId="0" shapeId="0">
      <text>
        <r>
          <rPr>
            <b/>
            <sz val="9"/>
            <color indexed="81"/>
            <rFont val="Tahoma"/>
            <family val="2"/>
            <charset val="238"/>
          </rPr>
          <t>Marie Hujnakova:</t>
        </r>
        <r>
          <rPr>
            <sz val="9"/>
            <color indexed="81"/>
            <rFont val="Tahoma"/>
            <family val="2"/>
            <charset val="238"/>
          </rPr>
          <t xml:space="preserve">
Sociální služby pro příspěvkové organizace Magistrátu města Brna: 51.882 000,- Kč
Sociální služby pro MČ:                                                            7.266.600,- Kč
Sociální služby pro DROM:                                                        1.197.960,- Kč</t>
        </r>
      </text>
    </comment>
    <comment ref="D251" authorId="0" shapeId="0">
      <text>
        <r>
          <rPr>
            <b/>
            <sz val="9"/>
            <color indexed="81"/>
            <rFont val="Tahoma"/>
            <family val="2"/>
            <charset val="238"/>
          </rPr>
          <t>Marie Hujnakova:</t>
        </r>
        <r>
          <rPr>
            <sz val="9"/>
            <color indexed="81"/>
            <rFont val="Tahoma"/>
            <family val="2"/>
            <charset val="238"/>
          </rPr>
          <t xml:space="preserve">
Sociální služby pro příspěvkové organizace Magistrátu města Brna: 51.882 000,- Kč
Sociální služby pro MČ:                                                            3.646.440,- Kč
Sociální služby pro DROM:                                                        1.996.600,- Kč</t>
        </r>
      </text>
    </comment>
  </commentList>
</comments>
</file>

<file path=xl/comments5.xml><?xml version="1.0" encoding="utf-8"?>
<comments xmlns="http://schemas.openxmlformats.org/spreadsheetml/2006/main">
  <authors>
    <author>Marie Hujnakova</author>
  </authors>
  <commentList>
    <comment ref="D251" authorId="0" shapeId="0">
      <text>
        <r>
          <rPr>
            <b/>
            <sz val="9"/>
            <color indexed="81"/>
            <rFont val="Tahoma"/>
            <family val="2"/>
            <charset val="238"/>
          </rPr>
          <t>Marie Hujnakova:</t>
        </r>
        <r>
          <rPr>
            <sz val="9"/>
            <color indexed="81"/>
            <rFont val="Tahoma"/>
            <family val="2"/>
            <charset val="238"/>
          </rPr>
          <t xml:space="preserve">
Sociální služby pro příspěvkové organizace Magistrátu města Brna: 51.882 000,- Kč
Sociální služby pro MČ:                                                            7.266.600,- Kč
Sociální služby pro DROM:                                                        1.197.960,- Kč</t>
        </r>
      </text>
    </comment>
    <comment ref="D281" authorId="0" shapeId="0">
      <text>
        <r>
          <rPr>
            <b/>
            <sz val="9"/>
            <color indexed="81"/>
            <rFont val="Tahoma"/>
            <family val="2"/>
            <charset val="238"/>
          </rPr>
          <t>Marie Hujnakova:</t>
        </r>
        <r>
          <rPr>
            <sz val="9"/>
            <color indexed="81"/>
            <rFont val="Tahoma"/>
            <family val="2"/>
            <charset val="238"/>
          </rPr>
          <t xml:space="preserve">
Sociální služby pro příspěvkové organizace Magistrátu města Brna: 51.882 000,- Kč
Sociální služby pro MČ:                                                            3.646.440,- Kč
Sociální služby pro DROM:                                                        1.996.600,- Kč</t>
        </r>
      </text>
    </comment>
  </commentList>
</comments>
</file>

<file path=xl/comments6.xml><?xml version="1.0" encoding="utf-8"?>
<comments xmlns="http://schemas.openxmlformats.org/spreadsheetml/2006/main">
  <authors>
    <author>Marie Hujnakova</author>
  </authors>
  <commentList>
    <comment ref="D172" authorId="0" shapeId="0">
      <text>
        <r>
          <rPr>
            <b/>
            <sz val="9"/>
            <color indexed="81"/>
            <rFont val="Tahoma"/>
            <family val="2"/>
            <charset val="238"/>
          </rPr>
          <t>Marie Hujnakova:</t>
        </r>
        <r>
          <rPr>
            <sz val="9"/>
            <color indexed="81"/>
            <rFont val="Tahoma"/>
            <family val="2"/>
            <charset val="238"/>
          </rPr>
          <t xml:space="preserve">
Sociální služby pro příspěvkové organizace Magistrátu města Brna: 51.882 000,- Kč
Sociální služby pro MČ:                                                            7.266.600,- Kč
Sociální služby pro DROM:                                                        1.197.960,- Kč</t>
        </r>
      </text>
    </comment>
    <comment ref="D202" authorId="0" shapeId="0">
      <text>
        <r>
          <rPr>
            <b/>
            <sz val="9"/>
            <color indexed="81"/>
            <rFont val="Tahoma"/>
            <family val="2"/>
            <charset val="238"/>
          </rPr>
          <t>Marie Hujnakova:</t>
        </r>
        <r>
          <rPr>
            <sz val="9"/>
            <color indexed="81"/>
            <rFont val="Tahoma"/>
            <family val="2"/>
            <charset val="238"/>
          </rPr>
          <t xml:space="preserve">
Sociální služby pro příspěvkové organizace Magistrátu města Brna: 51.882 000,- Kč
Sociální služby pro MČ:                                                            3.646.440,- Kč
Sociální služby pro DROM:                                                        1.996.600,- Kč</t>
        </r>
      </text>
    </comment>
  </commentList>
</comments>
</file>

<file path=xl/comments7.xml><?xml version="1.0" encoding="utf-8"?>
<comments xmlns="http://schemas.openxmlformats.org/spreadsheetml/2006/main">
  <authors>
    <author>Marie Hujnakova</author>
  </authors>
  <commentList>
    <comment ref="D256" authorId="0" shapeId="0">
      <text>
        <r>
          <rPr>
            <b/>
            <sz val="9"/>
            <color indexed="81"/>
            <rFont val="Tahoma"/>
            <family val="2"/>
            <charset val="238"/>
          </rPr>
          <t>Marie Hujnakova:</t>
        </r>
        <r>
          <rPr>
            <sz val="9"/>
            <color indexed="81"/>
            <rFont val="Tahoma"/>
            <family val="2"/>
            <charset val="238"/>
          </rPr>
          <t xml:space="preserve">
Sociální služby pro příspěvkové organizace Magistrátu města Brna: 51.882 000,- Kč
Sociální služby pro MČ:                                                            7.266.600,- Kč
Sociální služby pro DROM:                                                        1.197.960,- Kč</t>
        </r>
      </text>
    </comment>
    <comment ref="D286" authorId="0" shapeId="0">
      <text>
        <r>
          <rPr>
            <b/>
            <sz val="9"/>
            <color indexed="81"/>
            <rFont val="Tahoma"/>
            <family val="2"/>
            <charset val="238"/>
          </rPr>
          <t>Marie Hujnakova:</t>
        </r>
        <r>
          <rPr>
            <sz val="9"/>
            <color indexed="81"/>
            <rFont val="Tahoma"/>
            <family val="2"/>
            <charset val="238"/>
          </rPr>
          <t xml:space="preserve">
Sociální služby pro příspěvkové organizace Magistrátu města Brna: .,- Kč
Sociální služby pro MČ:                                                            5.643.040,- Kč
Sociální služby pro DROM:                                                        1.996.600,- Kč</t>
        </r>
      </text>
    </comment>
  </commentList>
</comments>
</file>

<file path=xl/comments8.xml><?xml version="1.0" encoding="utf-8"?>
<comments xmlns="http://schemas.openxmlformats.org/spreadsheetml/2006/main">
  <authors>
    <author>Marie Hujnakova</author>
  </authors>
  <commentList>
    <comment ref="D256" authorId="0" shapeId="0">
      <text>
        <r>
          <rPr>
            <b/>
            <sz val="9"/>
            <color indexed="81"/>
            <rFont val="Tahoma"/>
            <family val="2"/>
            <charset val="238"/>
          </rPr>
          <t>Marie Hujnakova:</t>
        </r>
        <r>
          <rPr>
            <sz val="9"/>
            <color indexed="81"/>
            <rFont val="Tahoma"/>
            <family val="2"/>
            <charset val="238"/>
          </rPr>
          <t xml:space="preserve">
Sociální služby pro příspěvkové organizace Magistrátu města Brna: .,- Kč
Sociální služby pro MČ:                                                            5.643.040,- Kč
Sociální služby pro DROM:                                                        1.996.600,- Kč</t>
        </r>
      </text>
    </comment>
  </commentList>
</comments>
</file>

<file path=xl/comments9.xml><?xml version="1.0" encoding="utf-8"?>
<comments xmlns="http://schemas.openxmlformats.org/spreadsheetml/2006/main">
  <authors>
    <author>Marie Hujnakova</author>
  </authors>
  <commentList>
    <comment ref="D256" authorId="0" shapeId="0">
      <text>
        <r>
          <rPr>
            <b/>
            <sz val="9"/>
            <color indexed="81"/>
            <rFont val="Tahoma"/>
            <family val="2"/>
            <charset val="238"/>
          </rPr>
          <t>Marie Hujnakova:</t>
        </r>
        <r>
          <rPr>
            <sz val="9"/>
            <color indexed="81"/>
            <rFont val="Tahoma"/>
            <family val="2"/>
            <charset val="238"/>
          </rPr>
          <t xml:space="preserve">
Sociální služby pro příspěvkové organizace Magistrátu města Brna: 51.882 000,- Kč
Sociální služby pro MČ:                                                            7.266.600,- Kč
Sociální služby pro DROM:                                                        1.197.960,- Kč</t>
        </r>
      </text>
    </comment>
    <comment ref="D286" authorId="0" shapeId="0">
      <text>
        <r>
          <rPr>
            <b/>
            <sz val="9"/>
            <color indexed="81"/>
            <rFont val="Tahoma"/>
            <family val="2"/>
            <charset val="238"/>
          </rPr>
          <t>Marie Hujnakova:</t>
        </r>
        <r>
          <rPr>
            <sz val="9"/>
            <color indexed="81"/>
            <rFont val="Tahoma"/>
            <family val="2"/>
            <charset val="238"/>
          </rPr>
          <t xml:space="preserve">
Sociální služby pro příspěvkové organizace Magistrátu města Brna: .,- Kč
Sociální služby pro MČ:                                                            5.643.040,- Kč
Sociální služby pro DROM:                                                        1.996.600,- Kč</t>
        </r>
      </text>
    </comment>
  </commentList>
</comments>
</file>

<file path=xl/sharedStrings.xml><?xml version="1.0" encoding="utf-8"?>
<sst xmlns="http://schemas.openxmlformats.org/spreadsheetml/2006/main" count="6727" uniqueCount="762">
  <si>
    <t>Přehled přijatých účelových transferů z jiných veřejných rozpočtů</t>
  </si>
  <si>
    <t>Datum</t>
  </si>
  <si>
    <t>NEINVESTIČNÍ TRANSFERY</t>
  </si>
  <si>
    <t>UR v tis. Kč</t>
  </si>
  <si>
    <t>Skutečnost v Kč</t>
  </si>
  <si>
    <t>ÚZ</t>
  </si>
  <si>
    <t>POL.</t>
  </si>
  <si>
    <t xml:space="preserve">MINISTERSTVO  FINANCÍ  ČR </t>
  </si>
  <si>
    <t>STÁTNÍ  FOND  ROZVOJE  BYDLENÍ</t>
  </si>
  <si>
    <t>Brno - Černovice - dotace k úvěru na opravu panelových bytů</t>
  </si>
  <si>
    <t>4113</t>
  </si>
  <si>
    <t>Brno - Nový Lískovec - dotace k úvěru na opravu panelových bytů</t>
  </si>
  <si>
    <t>Brno - Slatina - dotace k úvěru na opravu panelových bytů</t>
  </si>
  <si>
    <t>Brno - Vinohrady - dotace k úvěru na opravu panelových bytů</t>
  </si>
  <si>
    <t>STÁTNÍ  FOND  ŽIVOTNÍHO PROSTŘEDÍ</t>
  </si>
  <si>
    <t xml:space="preserve">STÁTNÍ  ZEMĚDĚLSKÝ INTERVENČNÍ FOND  </t>
  </si>
  <si>
    <t>Brno - Ořešín - přímé platby zemědělcům</t>
  </si>
  <si>
    <t xml:space="preserve">ÚŘAD  PRÁCE </t>
  </si>
  <si>
    <t>4116</t>
  </si>
  <si>
    <t>Brno - Bosonohy - aktivní politika zaměstnanosti - OP Lidské zdroje a zaměstnanost</t>
  </si>
  <si>
    <t>Brno - Ivanovice - aktivní politika zaměstnanosti - OP Lidské zdroje a zaměstnanost</t>
  </si>
  <si>
    <t>Brno - jih - aktivní politika zaměstnanosti - OP Lidské zdroje a zaměstnanost</t>
  </si>
  <si>
    <t>Brno - Komín - aktivní politika zaměstnanosti - OP Lidské zdroje a zaměstnanost</t>
  </si>
  <si>
    <t>Brno - Kníničky - aktivní politika zaměstnanosti - OP Lidské zdroje a zaměstnanost</t>
  </si>
  <si>
    <t>Brno - střed - aktivní politika zaměstnanosti - OP Lidské zdroje a zaměstnanost</t>
  </si>
  <si>
    <t>Brno - Maloměřice a Obřany - aktivní politika zaměstnanosti - OP Lidské zdroje a zam.</t>
  </si>
  <si>
    <t>Brno - Medlánky - aktivní politika zaměstnanosti - OP Lidské zdroje a zaměstnanost</t>
  </si>
  <si>
    <t>Brno - Nový Lískovec - aktivní politika zaměstnanosti - OP Lidské zdroje a zaměstnanost</t>
  </si>
  <si>
    <t>Brno - sever - aktivní politika zaměstnanosti - OP Lidské zdroje a zaměstnanost</t>
  </si>
  <si>
    <t>Brno - Ořešín - aktivní politika zaměstnanosti - OP Lidské zdroje a zaměstnanost</t>
  </si>
  <si>
    <t>Brno - Žabovřesky - aktivní politika zaměstnanosti - OP Lidské zdroje a zaměstnanost</t>
  </si>
  <si>
    <t>Brno - Žebětín - aktivní politika zaměstnanosti - OP Lidské zdroje a zaměstnanost</t>
  </si>
  <si>
    <t>Brno - Židenice - aktivní politika zaměstnanosti - OP Lidské zdroje a zaměstnanost</t>
  </si>
  <si>
    <t>MINISTERSTVO   KULTURY</t>
  </si>
  <si>
    <t>MINISTERSTVO  ŠKOLSTVÍ, MLÁDEŽE  A TĚLOVÝCHOVY</t>
  </si>
  <si>
    <t>MINISTERSTVO  PRO MÍSTNÍ ROZVOJ ČR</t>
  </si>
  <si>
    <t>MINISTERSTVO PRÁCE A SOCIÁLNÍCH VĚCÍ ČR</t>
  </si>
  <si>
    <t>Státní příspěvek na výkon pěstounské péče</t>
  </si>
  <si>
    <t>MINISTERSTVO  PRŮMYSLU A OBCHODU ČR</t>
  </si>
  <si>
    <t>Dotace na výkon činnosti Jednotných kontaktních míst</t>
  </si>
  <si>
    <t>MINISTERSTVO VNITRA ČR</t>
  </si>
  <si>
    <t>MINISTERSTVO ZDRAVOTNICTVÍ</t>
  </si>
  <si>
    <t>MINISTERSTVO ZEMĚDĚLSTVÍ</t>
  </si>
  <si>
    <t>Úhrada nákladů na činnost odborného lesního hospodáře</t>
  </si>
  <si>
    <t>Úhrada nákladů na výsadbu minimálního podílu melioračních a zpevňujících dřevin</t>
  </si>
  <si>
    <t>MINISTERSTVO ŽIVOTNÍHO PROSTŘEDÍ</t>
  </si>
  <si>
    <t>SOCIOLOGICKÝ ÚSTAV AKADEMIE VĚD</t>
  </si>
  <si>
    <t>4119</t>
  </si>
  <si>
    <t>JIHOMORAVSKÝ KRAJ</t>
  </si>
  <si>
    <t>4122</t>
  </si>
  <si>
    <t>REGIONÁLNÍ RADA REGIONU SOUDRŽNOSTI JIHOVÝCHOD</t>
  </si>
  <si>
    <t>CIZÍ STÁTY</t>
  </si>
  <si>
    <t>MEZINÁRODNÍ  INSTITUCE</t>
  </si>
  <si>
    <t>TRANSFERY  NEINVESTIČNÍ  CELKEM</t>
  </si>
  <si>
    <t>INVESTIČNÍ TRANSFERY</t>
  </si>
  <si>
    <t xml:space="preserve">TRANSFERY  INVESTIČNÍ CELKEM </t>
  </si>
  <si>
    <t>REKAPITULACE  PŘIJATÝCH TRANSFERŮ</t>
  </si>
  <si>
    <t xml:space="preserve">TRANSFERY  NEINVESTIČNÍ CELKEM  </t>
  </si>
  <si>
    <t xml:space="preserve">TRANSFERY  INVESTIČNÍ CELKEM  </t>
  </si>
  <si>
    <t>TRANSFERY    CELKEM</t>
  </si>
  <si>
    <t>Digitalizace archivu města Brna</t>
  </si>
  <si>
    <t>Sharepoint</t>
  </si>
  <si>
    <t>SDV</t>
  </si>
  <si>
    <t>Dotace bez SDV</t>
  </si>
  <si>
    <t>přímo na MČ</t>
  </si>
  <si>
    <t xml:space="preserve">Brno - Ořešín - aktivní politika zaměstnanosti </t>
  </si>
  <si>
    <t>Brno - Vinohrady - aktivní politika zaměstnanosti - OP Lidské zdroje a zaměstnanost</t>
  </si>
  <si>
    <t>Brno - Královo Pole - aktivní politika zaměstnanosti - OP Lidské zdroje a zaměstnanost</t>
  </si>
  <si>
    <t>ZŠ a MŠ Milénova 14 - Získejme zkušenosti v evropských školkách</t>
  </si>
  <si>
    <t>Brno - sever - Drom, romské středisko - Najdi svou cestu</t>
  </si>
  <si>
    <t>4111 Neinvestiční přijaté transfery z všeobecné pokladní správy</t>
  </si>
  <si>
    <t>Položka rozpočtové skladby</t>
  </si>
  <si>
    <t>4122 Neinvestiční přijaté transfery od krajů</t>
  </si>
  <si>
    <t>4123 Neinvestiční přijaté transfery od regionálních rad</t>
  </si>
  <si>
    <t>4151 Neinvestiční přijaté transfery od cizích států</t>
  </si>
  <si>
    <t>4152 Neinvestiční přijaté transfery od mezinárodních institucí</t>
  </si>
  <si>
    <t>4216 Ostatní investiční přijaté transfery ze státního rozpočtu</t>
  </si>
  <si>
    <t>4222 Investiční přijaté transfery od krajů</t>
  </si>
  <si>
    <t>4223 Investiční přijaté transfery od regionálních rad</t>
  </si>
  <si>
    <t>Položka</t>
  </si>
  <si>
    <t>FIN 2-12M</t>
  </si>
  <si>
    <t>Skutečnost  dotace</t>
  </si>
  <si>
    <t>UR dotace</t>
  </si>
  <si>
    <t>Rozdíl UR</t>
  </si>
  <si>
    <t>Rozdíl skutečnost</t>
  </si>
  <si>
    <t>Celkem</t>
  </si>
  <si>
    <t>4213 Investiční přijaté transfery ze státních fondů</t>
  </si>
  <si>
    <t>4113 Neinvestiční přijaté transfery ze státních fondů</t>
  </si>
  <si>
    <t>4116 Ostatní neinvestiční přijaté transféry ze státního rozpočtu</t>
  </si>
  <si>
    <t>4119 Ostatní  neinvestiční přijaté transfěry od rozpočtů ústřední úrovně</t>
  </si>
  <si>
    <t>Upravený rozpočet v tis. Kč</t>
  </si>
  <si>
    <t>MINISTERSTVO  PRO MÍSTNÍ ROZVOJ</t>
  </si>
  <si>
    <t>Perioperační péče - rezidenční místo - Úrazová nemocnice v  Brně</t>
  </si>
  <si>
    <t>Klinická hematologie a transfuzní služba - rezidenční místa - Úrazová nemocnice v Brně</t>
  </si>
  <si>
    <t>Aplikovaná fyzioterapie - rezidenční místa - Úrazová nemocnice v Brně</t>
  </si>
  <si>
    <t>Intenzivní péče - rezidenční místa - Úrazová nemocnice v Brně</t>
  </si>
  <si>
    <t>Ošetřovatelská péče v chirurgických oborech - rezidenční místa - Úrazová nemocnice v Brně</t>
  </si>
  <si>
    <t>Brno - Bosonohy - aktivní politika zaměstnanosti</t>
  </si>
  <si>
    <t>Brno - Žabovřesky - aktivní politika zaměstnanosti</t>
  </si>
  <si>
    <t xml:space="preserve">Brno - Žebětín - aktivní politika zaměstnanosti </t>
  </si>
  <si>
    <t>Rezidenční místa pro chirurgii - Úrazová nemocnice v Brně</t>
  </si>
  <si>
    <t xml:space="preserve"> - rozdíl oproti sharepointu</t>
  </si>
  <si>
    <t>a ze zahraničí k 28.2.2015</t>
  </si>
  <si>
    <t>Stavební úpravy a nástavba bytového domu Bratislavská 36a</t>
  </si>
  <si>
    <t>EZŠ, Čejkovická 10 - Ukaž mi směr a já najdu cestu pro Tvé povolání</t>
  </si>
  <si>
    <t>NKP Špilberk - lapidárium a centrum restaurátorských činností</t>
  </si>
  <si>
    <t>Ro vystaveno až v březnu</t>
  </si>
  <si>
    <t>Brno - sever</t>
  </si>
  <si>
    <t>NL, Slatina</t>
  </si>
  <si>
    <t>přišlo v březnu</t>
  </si>
  <si>
    <t>Brno - Královo Pole - Zelená úsporám</t>
  </si>
  <si>
    <t>sedí to</t>
  </si>
  <si>
    <t>Regenerace a rozšíření služeb NKP Špilberk</t>
  </si>
  <si>
    <t>Brno - Židenice - dotace na úhradu nákladů v souvislosti s azylovým zařízením</t>
  </si>
  <si>
    <t>Zateplení ZŠ Přemyslovo nám.</t>
  </si>
  <si>
    <t>Pořízení zařízení na skenování - Centrální registr vozidel</t>
  </si>
  <si>
    <t>MINISTERSTVO   DOPRAVY</t>
  </si>
  <si>
    <t>ZŠ a MŠ Husova 17 - Studená válka a střední Evropa aneb po stopách železné opony</t>
  </si>
  <si>
    <t>Asistent prevence kriminality II</t>
  </si>
  <si>
    <t>Zajištění bydlení azylantů na území ČR - SHULHA Andrei</t>
  </si>
  <si>
    <t>nemám rozhodnutí, smlouvu</t>
  </si>
  <si>
    <t>Brno - Bystrc - zateplení MŠ Kachlíkova 21</t>
  </si>
  <si>
    <t>TIC - 56. Brněnská šestnáctka, mezinárodní festival krátkých filmů</t>
  </si>
  <si>
    <t>Kalahari, africká vesnice Samburu</t>
  </si>
  <si>
    <t>Projekt CH4LLENGE</t>
  </si>
  <si>
    <t>a ze zahraničí k 31.3.2015</t>
  </si>
  <si>
    <t>přišlo v dubnu</t>
  </si>
  <si>
    <t>ro36300</t>
  </si>
  <si>
    <t>ro192000</t>
  </si>
  <si>
    <t>ro80000</t>
  </si>
  <si>
    <t>ro72000</t>
  </si>
  <si>
    <t>ro134998</t>
  </si>
  <si>
    <t>ro975</t>
  </si>
  <si>
    <t>ro16575</t>
  </si>
  <si>
    <t>ro17507565,60</t>
  </si>
  <si>
    <t>sedí to 8.4.2015</t>
  </si>
  <si>
    <t>Zajištění bydlení azylantů na území ČR - ALMEKAIL Jaber</t>
  </si>
  <si>
    <t>Zajištění bydlení azylantů na území ČR - KHATEB Nour</t>
  </si>
  <si>
    <t>Vybudování jazykové učebny v ZŠ Hroznová</t>
  </si>
  <si>
    <t>Brno - sever - Drom, romské středisko - sociální služby - z Olomouckého kraje</t>
  </si>
  <si>
    <t>ZŠ Vedlejší 10 - Jazykové centrum - diferenciace jazykového vzdělávání na ZŠ Vedlejší</t>
  </si>
  <si>
    <t>Datum (město)</t>
  </si>
  <si>
    <t>KJM - Lékotéka - harčky a pomůcky pro děti se speciálními vzdělávacími potřebami III</t>
  </si>
  <si>
    <t>KJM - Pověste ho vejš! 2</t>
  </si>
  <si>
    <t xml:space="preserve">KJM - Expresivní terapie a prožitkovéaktivity v knihovně </t>
  </si>
  <si>
    <t>ZŠ Antonínská 3 - Školní firma</t>
  </si>
  <si>
    <t>Farská zahrada v MČ Brno - Komín</t>
  </si>
  <si>
    <t>Sociální služby</t>
  </si>
  <si>
    <t>Město Brno zvyšuje kvalitu vzdělávání v základních školách</t>
  </si>
  <si>
    <t>MINISTERSTVO ZDRAVOTNICTVÍ ČR</t>
  </si>
  <si>
    <t>ZŠ Úvoz 55 - Skupinová výuka mimořádně nadaných dětí na Úvoze</t>
  </si>
  <si>
    <t>Brno - sever - Drom, romské středisko - sociální služby - z Moravskéslezského kraje</t>
  </si>
  <si>
    <t>Otevřená škola - pohybem k zdravému životnímu stylu</t>
  </si>
  <si>
    <t>Zajištění bydlení azylantů na území ČR - MUKAMEEV Venera</t>
  </si>
  <si>
    <t>a ze zahraničí k 30.4.2015</t>
  </si>
  <si>
    <t>Rekonstrukce sociálního zázemí rehabilitačních ambulancí</t>
  </si>
  <si>
    <t>Sanace - skalní řícení v ulici Pod Horkou</t>
  </si>
  <si>
    <t>Přišlo v květnu:</t>
  </si>
  <si>
    <t>ÚZ 34053</t>
  </si>
  <si>
    <t>ÚZ14023</t>
  </si>
  <si>
    <t>Rozdíl</t>
  </si>
  <si>
    <t>mělo by být v dubnu:</t>
  </si>
  <si>
    <t>ÚZ 86005</t>
  </si>
  <si>
    <t>ÚZ 33019</t>
  </si>
  <si>
    <t>Milénova</t>
  </si>
  <si>
    <t>ND</t>
  </si>
  <si>
    <t>sedí to 7.5.2015</t>
  </si>
  <si>
    <t>udělané RO</t>
  </si>
  <si>
    <t>Brno - Medlánky - Rekonstrukce Zámeckého parku</t>
  </si>
  <si>
    <t>Zateplení MŠ Absolonova</t>
  </si>
  <si>
    <t>Bnro - sever - Drom, romské středisko - Točíme se v barvách</t>
  </si>
  <si>
    <t>Rekonstrukce v objektu NMB - humanizace lůžkové péče pro dlouhodobě nemocné</t>
  </si>
  <si>
    <t>KJM - Harmonizace lokálních a národních autorit 12</t>
  </si>
  <si>
    <t xml:space="preserve">KJM - Expresivní terapie a prožitkové aktivity v knihovně </t>
  </si>
  <si>
    <t>ZŠ a MŠ Milénova 14 - Získejme zkušenosti v evropských školách</t>
  </si>
  <si>
    <t>TIC - Celoroční výstavní činnost Galerií TIC  v roce 2015</t>
  </si>
  <si>
    <t>TIC - Martin Zet: Nekrolog</t>
  </si>
  <si>
    <t>FB - Abonentní řada Jazz&amp;World Music</t>
  </si>
  <si>
    <t xml:space="preserve">FB - Velikonoční festival duchovní hudby </t>
  </si>
  <si>
    <t>FB - Expozice nové hudby</t>
  </si>
  <si>
    <t>Záměr projektu inovace marketingové kampaně Mezinárodního festivalu Janáček Brno 2014</t>
  </si>
  <si>
    <t>ZŠ a MŠ Staňkova - Jihomoravské centrum na podporu integrace cizinců</t>
  </si>
  <si>
    <t>Součet z Skutečnost v Kč</t>
  </si>
  <si>
    <t>(prázdné)</t>
  </si>
  <si>
    <t>Celkový součet</t>
  </si>
  <si>
    <t>Položky</t>
  </si>
  <si>
    <t>Účelové znaky</t>
  </si>
  <si>
    <t>Investiční transfery</t>
  </si>
  <si>
    <t>Název poskytovatele</t>
  </si>
  <si>
    <t>v Kč</t>
  </si>
  <si>
    <t>Neinvestiční</t>
  </si>
  <si>
    <t>transfery</t>
  </si>
  <si>
    <t xml:space="preserve">Investiční </t>
  </si>
  <si>
    <t xml:space="preserve">Datum </t>
  </si>
  <si>
    <t>TIC - Tmavomodrý festival 2015</t>
  </si>
  <si>
    <t>TIC - Babylonfest 2015</t>
  </si>
  <si>
    <t>Brno - sever - DROM, romské středisko - Zvyšování pracovních kompetencí pracovníků  DROM</t>
  </si>
  <si>
    <t>DUmB - Výstavní plán Domu umění města Brna na rok 2015</t>
  </si>
  <si>
    <t>CED - Zefektivnění služeb Knihovny Centra experimentálního divadla pro odbornou veřejnost</t>
  </si>
  <si>
    <t>KJM - připojení poboček v Brně - sever, Soběšice, Zeiberlichova 48 a v Brně-Žebětíně</t>
  </si>
  <si>
    <t>ZŠ Gajdošova 3 - Podpora výuky angličtiny metodou CLIL na 1. stupni ZŠ</t>
  </si>
  <si>
    <t>ZŠ a MŠ nám. 28. října 22, Brno - Model komunitního a inkluzivního vzdělávání pro ZŠ hlavního vzdělávacího proudu</t>
  </si>
  <si>
    <t>ZŠ Mutěnická 23, Brno - Přírodní a technické vědy jinak</t>
  </si>
  <si>
    <t>Brno - Žabovřesky - Standardizace OSPOD MČ Brno - Žabovřesky</t>
  </si>
  <si>
    <t>Ministerstvo financí</t>
  </si>
  <si>
    <t>Ministerstvo práce a sociálních věcí</t>
  </si>
  <si>
    <t>Ministerstvo vnitra</t>
  </si>
  <si>
    <t>Ministerstvo životního prostředí</t>
  </si>
  <si>
    <t>Ministerstvo pro místní rozvoj</t>
  </si>
  <si>
    <t>Ministerstvo zemědělství</t>
  </si>
  <si>
    <t>Ministerstvo školství, mláděže a tělovýchovy</t>
  </si>
  <si>
    <t>Ministerstvo kultury</t>
  </si>
  <si>
    <t>Ministerstvo zdravotnictví</t>
  </si>
  <si>
    <t>Státní fond rozvoje bydlení</t>
  </si>
  <si>
    <t>Stání fond životního prostředí</t>
  </si>
  <si>
    <t>Regionální rada regionu JV</t>
  </si>
  <si>
    <t>Jihomoravský kraj</t>
  </si>
  <si>
    <t>Ministerstvo průmyslu a obchodu</t>
  </si>
  <si>
    <t>Zateplení ZŠ Vedlejší</t>
  </si>
  <si>
    <t>Zateplení MŠ Měřičkova</t>
  </si>
  <si>
    <t>Park Hvězdička</t>
  </si>
  <si>
    <t>nepřevedeno</t>
  </si>
  <si>
    <t>a ze zahraničí k 31.5.2015</t>
  </si>
  <si>
    <t>Sociální služby - příspěvkové organizace</t>
  </si>
  <si>
    <t xml:space="preserve">nepřevedeno </t>
  </si>
  <si>
    <t>SPOD</t>
  </si>
  <si>
    <t>doplatek SPOD</t>
  </si>
  <si>
    <t>sedí to 09.06.2015</t>
  </si>
  <si>
    <t>Brno - Vinohrady - MŠ Prušánecká</t>
  </si>
  <si>
    <t>Program prevence kriminality</t>
  </si>
  <si>
    <t>Brno - Vinohrady - MŠ Velkopavlovická</t>
  </si>
  <si>
    <t>Bnro - Vinohrady - MŠ Velkopavlovická</t>
  </si>
  <si>
    <t>Zateplení ZŠ Přemyslovo náměstí</t>
  </si>
  <si>
    <t>Divadlo Radost - státní podpora profesionálních divadel</t>
  </si>
  <si>
    <t>Městské divadlo Brno - státní podpora profesionálních divadel</t>
  </si>
  <si>
    <t>Centrum experimentálního divadla - státní podpora profesionálních divadel</t>
  </si>
  <si>
    <t>Nemusíte žít v násilném vztahu, pomůžeme Vám</t>
  </si>
  <si>
    <t>Dotace na zabezpečení činností v agendě sociálně-právní ochrany dětí v roce 2015</t>
  </si>
  <si>
    <t>Dotace na zabezpečení činností v agendě sociálně-právní ochrany dětí v roce 2014 - doplatek</t>
  </si>
  <si>
    <t>Senior akademie</t>
  </si>
  <si>
    <t>Mobilní poradenské centrum</t>
  </si>
  <si>
    <t>FB - státní podpora profesionálních divadel a symfonických orchestrů</t>
  </si>
  <si>
    <t>NDB - státní podpora profesionálních divadel</t>
  </si>
  <si>
    <t>ZŠ Krásného 24 - Zahrada jazyků</t>
  </si>
  <si>
    <t>Projekt TROLLEY</t>
  </si>
  <si>
    <t>Knihovna pro město - rozšíření a zlepšení služeb veřejnosti</t>
  </si>
  <si>
    <t>Knihovna pro život - rozšíření a zlepšení služeb veřejnosti</t>
  </si>
  <si>
    <t>Nastavení procesního řízení do každodenní práxe Magistrátu města Brna</t>
  </si>
  <si>
    <t xml:space="preserve"> - rozdíl oproti sharepointu - avízovaná platba</t>
  </si>
  <si>
    <t>Brno - Nový Lískovec - Nízkoprahové centrum Jekhetane - Společně, Koniklecová 5</t>
  </si>
  <si>
    <t>Program prevence kriminality - Domovnická akademie - bezpečná adresa</t>
  </si>
  <si>
    <t>ZŠ Tuháčkova 25 - Příroda a my</t>
  </si>
  <si>
    <t>ZŠ a MŠ Merhautova 37 - Vzdělávání pedagogů v oblasti spec. pedagogiky a multikult. výchovy</t>
  </si>
  <si>
    <t>ZŠ Bakalovo nábřeží 8 - Brána jazykům otevřena</t>
  </si>
  <si>
    <t>ZŠ Holzova 1 - Příroda mého okolí</t>
  </si>
  <si>
    <t>ZŠ a MŠ Křenová 21 - RESTART - podpora školní docházky na ZŠ a MŠ Křenová 21</t>
  </si>
  <si>
    <t>ZŠ a MŠ Blanenská 1-Sport prostředek komun. porozumění-projekt partnerství v regionu CENTROPE</t>
  </si>
  <si>
    <t>nepřevedeno:</t>
  </si>
  <si>
    <t>sedí to 29.06.2015</t>
  </si>
  <si>
    <t>Brno - sever -Drom, romské středisko - Rozvoj činnosti APK</t>
  </si>
  <si>
    <t xml:space="preserve">MMB </t>
  </si>
  <si>
    <t>a ze zahraničí k 30.6.2015</t>
  </si>
  <si>
    <t>Brno - Líšeň - dětské hřiště - centrální part ROKLE</t>
  </si>
  <si>
    <t>4232 Investiční přijaté transfery od mezinárodních institucí</t>
  </si>
  <si>
    <t>zaokrouhlení</t>
  </si>
  <si>
    <t>Brno - Maloměřice a Obřany - aktivní politika zaměstnanosti - OP Lidské zdroje a zaměstnanost</t>
  </si>
  <si>
    <t>KJM - Lékotéka - hračky a pomůcky pro děti se speciálními vzdělávacími potřebami III</t>
  </si>
  <si>
    <t>Brno - sever - Drom, romské středisko - Točíme se v barvách</t>
  </si>
  <si>
    <t>CED - státní podpora profesionálních divadel</t>
  </si>
  <si>
    <t>MDB - státní podpora profesionálních divadel</t>
  </si>
  <si>
    <t>DR - státní podpora profesionálních divadel</t>
  </si>
  <si>
    <t xml:space="preserve">ZŠ a MŠ nám. 28. října 22, Brno - Model komunitního a inkluzivního vzdělávání </t>
  </si>
  <si>
    <t>Brno - sever - Drom, romské středisko - sociální služby - z Moravskoslezského kraje</t>
  </si>
  <si>
    <t>Rekonstrukce sociálního zázemí rehabilitačních ambulancí - Úrazová nemocnice v Brně</t>
  </si>
  <si>
    <t>Brno - střed - program prevence kriminality</t>
  </si>
  <si>
    <t>ZŠ a MŠ Husova 17 - OP VK, prioritní osa 1 Počáteční vzdělávání</t>
  </si>
  <si>
    <t>ZŠ Holzova 1 - OP VK, prioritní osa 1 Počáteční vzdělávání</t>
  </si>
  <si>
    <t>ZŠ a MŠ Chalabalova 2 - OP VK, prioritní osa 1 Počáteční vzdělávání</t>
  </si>
  <si>
    <t>MuMB - První obnova a rekonsturkce vily Tugendhat v letech 1981 a 1985</t>
  </si>
  <si>
    <t>Zřízení parčíku v MČ Brno - Útěchov</t>
  </si>
  <si>
    <t>Zateplení ZŠ Labská</t>
  </si>
  <si>
    <t>ZŠ a MŠ Jihomoravské nám. 2 - Odpočatý a spokojený učitel = lepší a kvalitnější učitel 2</t>
  </si>
  <si>
    <t>ZŠ Heyrovského 32 - Zdravá škola místem setkávání</t>
  </si>
  <si>
    <t>Brno - Starý Lískovec - Zateplení ZŠ Bosonožská</t>
  </si>
  <si>
    <t>Brno - Starý Lískovec - zateplení ZŠ Bosonožská</t>
  </si>
  <si>
    <t>Centrum experimentálního divadla - Provázek na hradě</t>
  </si>
  <si>
    <t>Centrum experimentálního divadla - Speciální uvedení inscenace Gerty Schnirch</t>
  </si>
  <si>
    <t>Filharmonie Brno - Novoroční koncert</t>
  </si>
  <si>
    <t>Filharmonie Brno - Mozartovy děti 2015</t>
  </si>
  <si>
    <t>Filharmonie Brno - Mezinárodníhudební festival Špilberk 2015</t>
  </si>
  <si>
    <t>Městské divadlo Brno - Inscenace roku 2015 Johny Blue</t>
  </si>
  <si>
    <t>Městské divadlo Brno - Inscenace roku 2015 Pískání po větru</t>
  </si>
  <si>
    <t>Národní divadlo Brno - Off program NdB</t>
  </si>
  <si>
    <t xml:space="preserve">Národní divadlo Brno - Divadelní svět Brno </t>
  </si>
  <si>
    <t>Zateplení SVČ Stamicova</t>
  </si>
  <si>
    <t>Muzeum města Brna - Od tovaryše k mistru</t>
  </si>
  <si>
    <t xml:space="preserve">ZŠ Bakalovo náb. 8 - Počáteční vzdělávání </t>
  </si>
  <si>
    <t>ZŠ a MŠ Jana Broskvy 3  - Počáteční vzdělávání</t>
  </si>
  <si>
    <t xml:space="preserve">ZŠ a MŠ Křenová 21 - Počáteční vzdělávní </t>
  </si>
  <si>
    <t xml:space="preserve">Masarykova základní škola a Mateřská škola, Zemědělská 29 - Počáteční vzdělávání </t>
  </si>
  <si>
    <t xml:space="preserve">ZŠ a MŠ Kotlářská 4 - Počáteční vzdělávní </t>
  </si>
  <si>
    <t>Brno - Královo Pole - Zateplení tělocvičny ZŠ Slovanské nám.</t>
  </si>
  <si>
    <t>Brno - Žabovřesky - Doplnění prvku hřiště pro seniory ve vnitrobl. ulic Korejs.,Jindř.,Zborov.,Klím.</t>
  </si>
  <si>
    <t>Zateplení MŠ Hněvkovského</t>
  </si>
  <si>
    <t>Brno - Slatina - pro JSDH - zajištění akceschopnosti - výzbroj</t>
  </si>
  <si>
    <t xml:space="preserve">Brno - Chrlice - pro JSDH -  Hasičská zbrojnice Chrlice </t>
  </si>
  <si>
    <t>Brno - Slatina - pro JSDH - kalové čerp., elektrocentr., osvětlovací balón, přívěs. vozík a sedadlo</t>
  </si>
  <si>
    <t>Brno - Židenice - pro JSDH - rekonstrukce hasičské zbrojnice</t>
  </si>
  <si>
    <t>Brno - Bohunice -  pro JSDH - výstavba sociálních zařízení v areálu cvičiště JSDH</t>
  </si>
  <si>
    <t>Brno - Bohunice -  pro JSDH - vnitřní vybav. zásahového dopr. automobilu typu DA, výstroj a výzbroj</t>
  </si>
  <si>
    <t>Brno - Židenice - pro JSDH - oprava hasičské zbrojnice - neinvestice</t>
  </si>
  <si>
    <t>Brno - Černovice - pro JSDH - oprava hasičské zbrojnice</t>
  </si>
  <si>
    <t>Brno - Jundrov - pro JSHD - dovybavení dopravního automobilu</t>
  </si>
  <si>
    <t>Brno - Starý Lískovec - pro JSDH - nákup ojetého hasičského vozidla typu CAS</t>
  </si>
  <si>
    <t>ZŠ Mutěnická 23 - Počáteční vzdělávání - projekt č. CZ.1.07/1.1.00/56.0621</t>
  </si>
  <si>
    <t>ZŠ a MŠ nám. 28. října, Brno  - Počáteční vzdělávání - projekt č. CZ.1.07/1.1.00/56.2601</t>
  </si>
  <si>
    <t>ZŠ Bosonožská 9 - Počáteční vzdělávání - projekt č. CZ.1.07/1.1.00/56.0995</t>
  </si>
  <si>
    <t>ZŠ Sirotkova 36 - Počáteční vzdělávání - projekt č. CZ.1.07/1.1.00/56.2411</t>
  </si>
  <si>
    <t>Tyršova základní škola, Kuldova 38 - Počáteční vzdělávání - projekt č. CZ.1.07/1.1.00/56.2468</t>
  </si>
  <si>
    <t>ZŠ Botanická 70 - Počáteční vzdělávání - projekt č. CZ.1.07/1.1.00/56.2101</t>
  </si>
  <si>
    <t>ZŠ Heyrovského 32 - Počáteční vzdělávání - projekt č. CZ.1.07/1.1.00/56.2678</t>
  </si>
  <si>
    <t>ZŠ Svážná 9 - Počáteční vzdělávání - projekt č. CZ.1.07/1.1.00/56.0121</t>
  </si>
  <si>
    <t>Muzeum města Brna - pořízení čtyřpolicového regálového systému pro uložení archeologických sbírek</t>
  </si>
  <si>
    <t>ZŠ Horní 16 - Počáteční vzdělávání - projekt č. CZ.1.07/1.1.00/56.0284</t>
  </si>
  <si>
    <t>ZŠ Kneslova 28 - Počáteční vzdělávání - projekt č. CZ.1.07/1.1.00/56.0563</t>
  </si>
  <si>
    <t>ZŠ Tuháčkova 25 - Počáteční vzdělávání - projekt č. CZ.1.07/1.1.00/56.0580</t>
  </si>
  <si>
    <t>ZŠ Řehořova 3 - Počáteční vzdělávání - projekt č. CZ.1.07/1.1.00/56.2754</t>
  </si>
  <si>
    <t>ZŠ a MŠ Křídlovická 30b - Počáteční vzdělávání - projekt č. CZ.1.07/1.1.00/56.0052</t>
  </si>
  <si>
    <t>ZŠ a MŠ Milénova 14 - Počáteční vzdělávání - projekt č. CZ.1.07/1.1.00/56.0495</t>
  </si>
  <si>
    <t xml:space="preserve">Zateplení MŠ Škrétova </t>
  </si>
  <si>
    <t>Zateplení MŠ Škrétova</t>
  </si>
  <si>
    <t>Brno - Žebětín - pro JSDH - oprava CAS 32 T815</t>
  </si>
  <si>
    <t>Brno - sever - pro JSDH - oprava a nákup požární techniky a věcných prostředků</t>
  </si>
  <si>
    <t>Sociální služby - příspěvkové organizace a MČ</t>
  </si>
  <si>
    <t>Sociální služby - příspěvkové organizace a městské části</t>
  </si>
  <si>
    <t>ZŠ a MŠ Horníkova 1 - Počáteční vzdělávání - projekt č. CZ.1.07/1.1.00/56.1024</t>
  </si>
  <si>
    <t>ZŠ a MŠ Jihomoravské nám. 2 - Počáteční vzdělávání - projekt č. CZ.1.07/1.1.00/56.1018</t>
  </si>
  <si>
    <t>MŠ Pohádka, Bratří Pelíšků 7 - Podpora zabezpečení ochrany MŠ Pohádka</t>
  </si>
  <si>
    <t>ZŠ Heyrovského 32 - Bezpečná zdravá škola</t>
  </si>
  <si>
    <t>ZŠ Laštůvkova 77 - Zvýšení bezpečnosti žáků Základní školy Brno, Laštůvkova 77</t>
  </si>
  <si>
    <t>TIC - Mezinárodní kytarový festival a kurzy Brno</t>
  </si>
  <si>
    <t>Regenerace městských památ. rezervací a zón - Mahen. divadlo (1.200 tis. Kč), Reduta (700 tis. Kč)</t>
  </si>
  <si>
    <t>sedí to 29.07.2015</t>
  </si>
  <si>
    <t>Zateplení ZŠ Úvoz</t>
  </si>
  <si>
    <t>Úvoz - zateplení: +1231535,95+72443,29</t>
  </si>
  <si>
    <t>Brno - sever - pro JSHD - stavební úpravy, rekonstrukce a statické úpravy hasič. zbrojnic Husovice</t>
  </si>
  <si>
    <t>převod na MČ:</t>
  </si>
  <si>
    <t>nepřevedeno na MČ:</t>
  </si>
  <si>
    <t>Převedeno na MČ:</t>
  </si>
  <si>
    <t>neodešlo na MČ:</t>
  </si>
  <si>
    <t>a ze zahraničí k 31.7.2015</t>
  </si>
  <si>
    <t>přišlo přímo na MČ</t>
  </si>
  <si>
    <t>přímo na MČ:</t>
  </si>
  <si>
    <t>z MMB na MČ:</t>
  </si>
  <si>
    <t>nezaúčtováno:</t>
  </si>
  <si>
    <t>Na MČ přes MMB</t>
  </si>
  <si>
    <t>pol. 4152+4232</t>
  </si>
  <si>
    <t>ROZDíL:</t>
  </si>
  <si>
    <t>Přímo na MČ</t>
  </si>
  <si>
    <t>Neodesláno na MČ</t>
  </si>
  <si>
    <t>Brno - Vinohrady - MŠ Bořetická</t>
  </si>
  <si>
    <t>ZŠ Jasanová 2 - Počáteční vzdělávání - projekt č. CZ.1.07/1.1.00/56.0038</t>
  </si>
  <si>
    <t>ZŠ Jana Babáka 1 - Počáteční vzdělávání - projekt č. CZ.1.07/1.1.00/56.0251</t>
  </si>
  <si>
    <t>ZŠ Pavlovská 16 - Počáteční vzdělávání - projekt č. CZ.1.07/1.1.00/56.0009</t>
  </si>
  <si>
    <t>ZŠ Měšťanská 21 - Počáteční vzdělávání - projekt č. CZ.1.07/1.1.00/56.0489</t>
  </si>
  <si>
    <t>ZŠ nám. Míru 3 - Počáteční vzdělávání - projekt č. CZ.1.07/1.1.00/56.0590</t>
  </si>
  <si>
    <t>ZŠ Masarova 11 - Počáteční vzdělávání - projekt č. CZ.1.07/1.1.00/56.0694</t>
  </si>
  <si>
    <t>Filharmonie Brno - Turné Maribor/Villach</t>
  </si>
  <si>
    <t>Zateplení ZŠ Svážná</t>
  </si>
  <si>
    <t>ZŠ Labská 27 - Počáteční vzdělávání - projekt č. CZ.1.07/1.1.00/56.1214</t>
  </si>
  <si>
    <t>ZŠ Kamínky 5 - Počáteční vzdělávání - projekt č. CZ.1.07/1.1.00/56.1529</t>
  </si>
  <si>
    <t>ZŠ a MŠ Bosonožské nám. 44 - Počáteční vzdělávání - projekt č. CZ.1.07/1.1.00/56.1742</t>
  </si>
  <si>
    <t>ZŠ a MŠ Vedlejší 10 - Počáteční vzdělávání - projekt č. CZ.1.07/1.1.00/56.1755</t>
  </si>
  <si>
    <t>ZŠ Vejrostova 1 - Počáteční vzdělávání - projekt č. CZ.1.07/1.1.00/56.1752</t>
  </si>
  <si>
    <t>ZŠ Přemyslovo nám. 1 - Počáteční vzdělávání - projekt č. CZ.1.07/1.1.00/56.0992</t>
  </si>
  <si>
    <t>ZŠ Gajdošova 3 - Počáteční vzdělávání - projekt č. CZ.1.07/1.1.00/56.1901</t>
  </si>
  <si>
    <t>ZŠ Novolíšeňská 10 - Počáteční vzdělávání - projekt č. CZ.1.07/1.1.00/56.2288</t>
  </si>
  <si>
    <t>ZŠ Čejkovická - Počáteční vzdělávání - projekt č. CZ.1.07/1.1.00/56.2353</t>
  </si>
  <si>
    <t>ZŠ Laštůvkova 77 - Počáteční vzdělávání - projekt č. CZ.1.07/1.1.00/56.1881</t>
  </si>
  <si>
    <t>Vratka - NKP Špilberk - lapidárium a centrum restaurátorských činností</t>
  </si>
  <si>
    <t>Brno - Bohunice - Zateplení budovy ÚMČ</t>
  </si>
  <si>
    <t>Průčelí původní Okresní nemocenské pokladny a poliklinika v ulici Zahradníkova - Nerudova</t>
  </si>
  <si>
    <t>Brno - Žebětín - památník obětem 1. světové války</t>
  </si>
  <si>
    <t>Brno - Žebětín - socha svatého Jana Nepomuckého</t>
  </si>
  <si>
    <t>ZŠ Krásného 24 - Počáteční vzdělávání - projekt č. CZ.1.07/1.1.00/56.1426</t>
  </si>
  <si>
    <t>ZŠ náměstí Svornosti 7 - Počáteční vzdělávání - projekt č. CZ.1.07/1.1.00/56.1539</t>
  </si>
  <si>
    <t>ZŠ a MŠ Blažkova 9 - Počáteční vzdělávání - projekt č. CZ.1.07/1.1.00/56.1793</t>
  </si>
  <si>
    <t>ZŠ Košinova 22 - Počáteční vzdělávání - projekt č. CZ.1.07/1.1.00/56.2178</t>
  </si>
  <si>
    <t>ZŠ Hudcova 35 - Počáteční vzdělávání - projekt č. CZ.1.07/1.1.00/56.2297</t>
  </si>
  <si>
    <t>ZŠ a MŠ Merhautova 37 - Počáteční vzdělávání - projekt č. CZ.1.07/1.1.00/56.2344</t>
  </si>
  <si>
    <t>ZŠ Arménská 21 - Počáteční vzdělávání - projekt č. CZ.1.07/1.1.00/56.2389</t>
  </si>
  <si>
    <t>ZŠ Horácké nám. 13 - Počáteční vzdělávání - projekt č. CZ.1.07/1.1.00/56.2515</t>
  </si>
  <si>
    <t>ZŠ Benářova 28 - Počáteční vzdělávání - projekt č. CZ.1.07/1.1.00/56.2519</t>
  </si>
  <si>
    <t>ZŠ Novolíšeňská - Sportovní centrum pro všechny generace</t>
  </si>
  <si>
    <t>Brno - Ořešín - přímé platby zemědělcům - EU</t>
  </si>
  <si>
    <t>Brno - Ořešín - přímé platby zemědělcům - SR</t>
  </si>
  <si>
    <t>Brno - Židenice - Zateplení MŠ Zengrova</t>
  </si>
  <si>
    <t>Bnro - Vinohrady - snížení energetické náročnosti objektu jídelny na ulici Bzenecká</t>
  </si>
  <si>
    <t>Brno - Řečkovice a Mokrá Hora - Zajištění bydlení azylantů na území ČR - PETRUS Ivan</t>
  </si>
  <si>
    <t>neodešlo na MČ</t>
  </si>
  <si>
    <t>Masaryk. zákl. škola, Brno, Kamenačky 4 - Počáteční vzdělávání - projekt č. CZ.1.07/1.1.00/56.0938</t>
  </si>
  <si>
    <t>sedí to 31.08.2015</t>
  </si>
  <si>
    <t>Refundace zahraniční pracovní cesty Mgr. Janíka - pracovní skupina pro bezdomovectví při EUROCITIES</t>
  </si>
  <si>
    <t>září:</t>
  </si>
  <si>
    <t>Neodesláno na MČ:</t>
  </si>
  <si>
    <t>přišlo v září:</t>
  </si>
  <si>
    <t>Bratislavská 36</t>
  </si>
  <si>
    <t>Škrétova</t>
  </si>
  <si>
    <t>Královo Pole</t>
  </si>
  <si>
    <t>Židenice</t>
  </si>
  <si>
    <t>a ze zahraničí k 31.8.2015</t>
  </si>
  <si>
    <t>Brno - Kníničky - aktivní politika zaměstnanosti - OP Zaměstnanost</t>
  </si>
  <si>
    <t>Brněnské podzemí TIC</t>
  </si>
  <si>
    <t>SZZ II - Průčelí původní Okresní nemocenské pokladny a poliklinika v ulici Zahradníkova - Nerudova</t>
  </si>
  <si>
    <t>Filharmonie Brno - Mezinárodní hudební festival Špilberk 2015</t>
  </si>
  <si>
    <t>ZŠ a MŠ nám. 28. října 22, Brno - Model komunit. a inkluz. vzdělávání pro ZŠ hlavního vzděl. proudu</t>
  </si>
  <si>
    <t>Refundace zahran. pracovní cesty Mgr. Janíka - pracovní skupina pro bezdomovectví při EUROCITIES</t>
  </si>
  <si>
    <t>NDB - Záměr projektu inovace marketingové kampaně Mezinárního festivalu Janáček Brno 2014</t>
  </si>
  <si>
    <t>Brno - Královo Pole - Zateplení MŠ Dobrovského 66</t>
  </si>
  <si>
    <t>Stavební úpravy bytového domu Bratislavská 39</t>
  </si>
  <si>
    <t>TIC - Brněnské podzemí</t>
  </si>
  <si>
    <t>Brno - Ořešín - pro JSDH - oprava a nákup požární techniky a věcných prostředků</t>
  </si>
  <si>
    <t>Filharmonie Brno - Moravský podzim</t>
  </si>
  <si>
    <t>Dotace na výkon sociální práce</t>
  </si>
  <si>
    <t>Vratka části dotace na příspěvek na výkon pěstounské péče</t>
  </si>
  <si>
    <t>Příspěken zoologické zahradě na rok 2015</t>
  </si>
  <si>
    <t>Brno - Vinohrady - Výstava vín 2015</t>
  </si>
  <si>
    <t>sedí to 30.09.2015</t>
  </si>
  <si>
    <t>přišlo v říjnu:</t>
  </si>
  <si>
    <t>a ze zahraničí k 30.9.2015</t>
  </si>
  <si>
    <t>Brno - Žebětín - Boží muka na p.p.č. 3545 v Brně - Žebětíně</t>
  </si>
  <si>
    <t>Brno -  Žebětín - Pomník Osvobození v Brně - Žebětíně</t>
  </si>
  <si>
    <t>Zvyšování viditelnosti chodců a cyklistů v dopravě</t>
  </si>
  <si>
    <t>Přemyslovo n.</t>
  </si>
  <si>
    <t>Blažkova</t>
  </si>
  <si>
    <t>Vratka</t>
  </si>
  <si>
    <t>Černovice</t>
  </si>
  <si>
    <t>Brno - Líšeň - výstavba sportovního areálu při základní škole Masarova</t>
  </si>
  <si>
    <t>Brno - Medlánky - aktivní politika zaměstnanosti - OP Zaměstnanost</t>
  </si>
  <si>
    <t>Kr Pole</t>
  </si>
  <si>
    <t>Kr. Pole</t>
  </si>
  <si>
    <t>Ořešín</t>
  </si>
  <si>
    <t>SL</t>
  </si>
  <si>
    <t>Hlídka</t>
  </si>
  <si>
    <t>Otevřená</t>
  </si>
  <si>
    <t>Brno - Medlánky - rekonstrukce Zámeckého parku</t>
  </si>
  <si>
    <t xml:space="preserve">Brno - Chrlice - VKP Splavisko </t>
  </si>
  <si>
    <t>DUmB - výstavní plán Domu umění města Brna na rok 2015</t>
  </si>
  <si>
    <t>CED - zefektivnění služeb Knihovny Centra experimentálního divadla pro odbornou veřejnost</t>
  </si>
  <si>
    <t>Muzeum města Brna - První obnova a rekonstrukce vily Tugendhat v letech 1981 a 1985</t>
  </si>
  <si>
    <t>SZZ II - průčelí původní Okresní nemocenské pokladny a poliklinika v ulici Zahradníkova - Nerudova</t>
  </si>
  <si>
    <t>Brno -  Žebětín - pomník Osvobození v Brně - Žebětíně</t>
  </si>
  <si>
    <t>ZŠ a MŠ Husova 17 -  Počáteční vzdělávání</t>
  </si>
  <si>
    <t>ZŠ Holzova 1 - Počáteční vzdělávání</t>
  </si>
  <si>
    <t>ZŠ a MŠ Chalabalova 2 - Počáteční vzdělávání</t>
  </si>
  <si>
    <t xml:space="preserve">ZŠ Mutěnická 23 - Počáteční vzdělávání </t>
  </si>
  <si>
    <t>ZŠ a MŠ nám. 28. října, Brno  - Počáteční vzdělávání</t>
  </si>
  <si>
    <t xml:space="preserve">ZŠ Bosonožská 9 - Počáteční vzdělávání </t>
  </si>
  <si>
    <t xml:space="preserve">ZŠ Sirotkova 36 - Počáteční vzdělávání </t>
  </si>
  <si>
    <t xml:space="preserve">Tyršova základní škola, Kuldova 38 - Počáteční vzdělávání </t>
  </si>
  <si>
    <t>ZŠ Botanická 70 - Počáteční vzdělávání</t>
  </si>
  <si>
    <t>ZŠ Heyrovského 32 - Počáteční vzdělávání</t>
  </si>
  <si>
    <t>ZŠ Svážná 9 - Počáteční vzdělávání</t>
  </si>
  <si>
    <t>ZŠ Horní 16 - Počáteční vzdělávání</t>
  </si>
  <si>
    <t xml:space="preserve">ZŠ Kneslova 28 - Počáteční vzdělávání </t>
  </si>
  <si>
    <t>ZŠ Tuháčkova 25 - Počáteční vzdělávání</t>
  </si>
  <si>
    <t xml:space="preserve">ZŠ Řehořova 3 - Počáteční vzdělávání </t>
  </si>
  <si>
    <t xml:space="preserve">ZŠ a MŠ Křídlovická 30b - Počáteční vzdělávání </t>
  </si>
  <si>
    <t xml:space="preserve">ZŠ a MŠ Milénova 14 - Počáteční vzdělávání </t>
  </si>
  <si>
    <t xml:space="preserve">ZŠ a MŠ Horníkova 1 - Počáteční vzdělávání </t>
  </si>
  <si>
    <t>ZŠ a MŠ Jihomoravské nám. 2 - Počáteční vzdělávání</t>
  </si>
  <si>
    <t xml:space="preserve">ZŠ Jasanová 2 - Počáteční vzdělávání </t>
  </si>
  <si>
    <t xml:space="preserve">ZŠ Jana Babáka 1 - Počáteční vzdělávání </t>
  </si>
  <si>
    <t xml:space="preserve">ZŠ Pavlovská 16 - Počáteční vzdělávání </t>
  </si>
  <si>
    <t>ZŠ Měšťanská 21 - Počáteční vzdělávání</t>
  </si>
  <si>
    <t xml:space="preserve">ZŠ nám. Míru 3 - Počáteční vzdělávání </t>
  </si>
  <si>
    <t>ZŠ Masarova 11 - Počáteční vzdělávání</t>
  </si>
  <si>
    <t xml:space="preserve">ZŠ Kamínky 5 - Počáteční vzdělávání </t>
  </si>
  <si>
    <t xml:space="preserve">ZŠ Labská 27 - Počáteční vzdělávání </t>
  </si>
  <si>
    <t>ZŠ a MŠ Bosonožské nám. 44 - Počáteční vzdělávání</t>
  </si>
  <si>
    <t xml:space="preserve">ZŠ a MŠ Vedlejší 10 - Počáteční vzdělávání </t>
  </si>
  <si>
    <t>ZŠ Vejrostova 1 - Počáteční vzdělávání</t>
  </si>
  <si>
    <t xml:space="preserve">ZŠ Přemyslovo nám. 1 - Počáteční vzdělávání </t>
  </si>
  <si>
    <t xml:space="preserve">ZŠ Gajdošova 3 - Počáteční vzdělávání </t>
  </si>
  <si>
    <t>ZŠ Novolíšeňská 10 - Počáteční vzdělávání</t>
  </si>
  <si>
    <t>ZŠ Čejkovická - Počáteční vzdělávání</t>
  </si>
  <si>
    <t xml:space="preserve">ZŠ Laštůvkova 77 - Počáteční vzdělávání </t>
  </si>
  <si>
    <t xml:space="preserve">Masaryk. zákl. škola, Brno, Kamenačky 4 - Počáteční vzdělávání </t>
  </si>
  <si>
    <t>ZŠ náměstí Svornosti 7 - Počáteční vzdělávání</t>
  </si>
  <si>
    <t xml:space="preserve">ZŠ Krásného 24 - Počáteční vzdělávání </t>
  </si>
  <si>
    <t>ZŠ a MŠ Blažkova 9 - Počáteční vzdělávání</t>
  </si>
  <si>
    <t xml:space="preserve">ZŠ Košinova 22 - Počáteční vzdělávání </t>
  </si>
  <si>
    <t>ZŠ Hudcova 35 - Počáteční vzdělávání</t>
  </si>
  <si>
    <t xml:space="preserve">ZŠ a MŠ Merhautova 37 - Počáteční vzdělávání </t>
  </si>
  <si>
    <t xml:space="preserve">ZŠ Arménská 21 - Počáteční vzdělávání </t>
  </si>
  <si>
    <t xml:space="preserve">ZŠ Horácké nám. 13 - Počáteční vzdělávání </t>
  </si>
  <si>
    <t xml:space="preserve">ZŠ a MŠ Kotlářská 4 - Počáteční vzděláávní </t>
  </si>
  <si>
    <t>Vratka dotace - NKP Špilberk - lapidárium a centrum restaurátorských činností</t>
  </si>
  <si>
    <t>Brno - Chrlice - VKP Splavisko</t>
  </si>
  <si>
    <t>Brno - Vinohrady - snížení energetické náročnosti objektu jídelny na ulici Bzenecká</t>
  </si>
  <si>
    <t>Brno - sever - Drom, romské středisko - Rozvoj činnosti APK</t>
  </si>
  <si>
    <t>Brno - Bohunice - zateplení budovy ÚMČ</t>
  </si>
  <si>
    <t>Brno - Královo Pole - zateplení tělocvičny ZŠ Slovanské nám.</t>
  </si>
  <si>
    <t>Brno - Královo Pole - zateplení MŠ Dobrovského 66</t>
  </si>
  <si>
    <t>Brno - Židenice - zateplení MŠ Zengrova</t>
  </si>
  <si>
    <t xml:space="preserve">Brno - Chrlice - pro JSDH - hasičská zbrojnice Chrlice </t>
  </si>
  <si>
    <t>Brno - Žabovřesky - doplnění prvku hřiště pro seniory ve vnitrobl. ulic Korejs.,Jindř.,Zborov.,Klím.</t>
  </si>
  <si>
    <t>ZŠ Novolíšeňská - sportovní centrum pro všechny generace</t>
  </si>
  <si>
    <t>Brno - Vinohrady - zateplení MŠ Bořetická</t>
  </si>
  <si>
    <t>Brno - Vinohrady - snížení energetické náročnosti objektu MŠ Velkopavlovická</t>
  </si>
  <si>
    <t>Brno - Vinohrady - snížení energetické náročnosti objektu MŠ Prušánecká</t>
  </si>
  <si>
    <t>Regenerace městských památ. rezervací a zón - Mahen. divadlo (1 200 tis. Kč), Reduta (700 tis. Kč)</t>
  </si>
  <si>
    <t>ZŠ Bednářova 28 - Počáteční vzdělávání</t>
  </si>
  <si>
    <t>Vratka dotace  - NKP Špilberk - lapidárium a centrum restaurátorských činností</t>
  </si>
  <si>
    <t>Nastavení procesního řízení do každodenní praxe Magistrátu města Brna</t>
  </si>
  <si>
    <t>Brno - Řečkovice a Mokrá Hora - zajištění bydlení azylantů na území ČR - PETRUS Ivan</t>
  </si>
  <si>
    <t>Příspěvek zoologické zahradě na rok 2015</t>
  </si>
  <si>
    <t>Brno - Židenice - pro JSDH - oprava hasičské zbrojnice</t>
  </si>
  <si>
    <t>NDB - Záměr projektu inovace marketingové kampaně Mezinárodního festivalu Janáček Brno 2014</t>
  </si>
  <si>
    <t>Refundace zahraniční pracovní cesty Mgr. Janíka - pracovní skupina pro bezdomov. při EUROCITIES</t>
  </si>
  <si>
    <t>Brno - Vinohrady -  snížení energetické náročnosti objektu MŠ Prušánecká</t>
  </si>
  <si>
    <t>Brno - Bohunice -  pro JSDH - výstavba sociálního zařízení v areálu cvičiště JSDH</t>
  </si>
  <si>
    <t>149404186,27</t>
  </si>
  <si>
    <t>113212305,56</t>
  </si>
  <si>
    <t>1808652,21</t>
  </si>
  <si>
    <t>2377000</t>
  </si>
  <si>
    <t>1691365,52</t>
  </si>
  <si>
    <t>55868485,82</t>
  </si>
  <si>
    <t>2720000</t>
  </si>
  <si>
    <t>97280792,21</t>
  </si>
  <si>
    <t>877000</t>
  </si>
  <si>
    <t>Muzeum města Brna - První obnova a rekonsturkce vily Tugendhat v letech 1981 a 1985</t>
  </si>
  <si>
    <t>CED - Všechno, co potřebujeme, je pravda, 26 let života ve svobodě a 6 let České vize</t>
  </si>
  <si>
    <t>DuMB - Dalibor Chatrný - Vidět svět jinak</t>
  </si>
  <si>
    <t>Muzeum města Brna - Brněnská muzejní noc na hradě Špilberk</t>
  </si>
  <si>
    <t>KJM - LiStOVáNí knihovně sluší - Knihovna v novém kabátě</t>
  </si>
  <si>
    <t>Zatepletí ZŠ Blažkova</t>
  </si>
  <si>
    <t>Rekonstrukce objektu Hlídka 4</t>
  </si>
  <si>
    <t>Brno - Ořešín - revitalizace údolní nivy Rakoveckého potoka</t>
  </si>
  <si>
    <t>Školní víceúčelové hřiště při ulici Otevřená</t>
  </si>
  <si>
    <t>ZŠ Bednářova 28 - Počáteční vzdělávání - projekt č. CZ.1.07/1.1.00/56.2519</t>
  </si>
  <si>
    <t>Brno - Bohunice - regenerace panelového sídliště Brno - Bohunice, IX. etapa</t>
  </si>
  <si>
    <t>dotace MČ</t>
  </si>
  <si>
    <t>Pozn.:</t>
  </si>
  <si>
    <t>ZŠ Arménská 21 - Počáteční vzdělávání - projekt č. CZ.1.07/1.1.00/57.1153</t>
  </si>
  <si>
    <t>ZŠ Bakalovo nábřeží 8 - Počáteční vzdělávání - projekt č. CZ.1.07/1.1.00/57.0807</t>
  </si>
  <si>
    <t>ZŠ Horácké náměstí 13 - Počáteční vzdělávání - projekt č. CZ.1.07/1.1.00/57.0233</t>
  </si>
  <si>
    <t>ZŠ a MŠ Horníkova 1 - Počáteční vzdělávání - projekt č. CZ.1.07/1.1.00/57.0690</t>
  </si>
  <si>
    <t>Zš a MŠ Jana Broskvy 3 - Počáteční vzdělávání - projekt č. CZ.1.07/1.1.00/57.0121</t>
  </si>
  <si>
    <t>ZŠ Jana Babáka 1 - Počáteční vzdělávání - projekt č. CZ.1.07/1.1.00/57.0209</t>
  </si>
  <si>
    <t>ZŠ a MŠ Jihomoravské náměstí 2 - Počáteční vzdělávání - projekt č. CZ.1.07/1.1.00/57.0681</t>
  </si>
  <si>
    <t>ZŠ a MŠ Křenová 21 - Počáteční vzdělávání - projekt č. CZ.1.07/1.1.00/57.1147</t>
  </si>
  <si>
    <t>Tyršova ZŠ Kuldova 38 - Počáteční vzdělávání - projekt č. CZ.1.07/1.1.00/57.1137</t>
  </si>
  <si>
    <t>Waldorfská ZŠ a MŠ Plovdivská 8 - Počáteční vzdělávání - projekt č. CZ.1.07/1.1.00/57.0701</t>
  </si>
  <si>
    <t>ZŠ Tuháčkova 25 - Počáteční vzdělávání - projekt č. CZ.1.07/1.1.00/57.1119</t>
  </si>
  <si>
    <t>ZŠ Přemyslovo nám. 1 - Počáteční vzdělávání - projekt č. CZ.1.07/1.1.00/57.0116</t>
  </si>
  <si>
    <t>ZŠ a MŠ Husova 17 - Počáteční vzdělávání - projekt č. CZ.1.07/1.1.00/57.0288</t>
  </si>
  <si>
    <t>ZŠ Kamínky 5 - Počáteční vzdělávání - projekt č. CZ.1.07/1.1.00/57.0318</t>
  </si>
  <si>
    <t>ZŠ a MŠ Pastviny 70 - Počáteční vzdělávání - projekt č. CZ.1.07/1.1.00/57.0452</t>
  </si>
  <si>
    <t>ZŠ Bednářova 28 - Počáteční vzdělávání - projekt č. CZ.1.07/1.1.00/57.457</t>
  </si>
  <si>
    <t>ZŠ nám. Míru 3 - Počáteční vzdělávání - projekt č. CZ.1.07/1.1.00/57.0602</t>
  </si>
  <si>
    <t>Brno - Žabovřesky - Aktivitou za zážitky</t>
  </si>
  <si>
    <t>přišlo v listopadu:</t>
  </si>
  <si>
    <t>ÚP</t>
  </si>
  <si>
    <t xml:space="preserve">Nepřevedeno na MČ </t>
  </si>
  <si>
    <t>sedí to 31.10.2015</t>
  </si>
  <si>
    <t>Jasanová</t>
  </si>
  <si>
    <t>Líšeň</t>
  </si>
  <si>
    <t>Brno - Bosonohy - aktivní politika zaměstnanosti - OP Zaměstnanost</t>
  </si>
  <si>
    <t>Drom</t>
  </si>
  <si>
    <t>OIEF roky 1945-1979</t>
  </si>
  <si>
    <t>a ze zahraničí k 30.11.2015</t>
  </si>
  <si>
    <t>a ze zahraničí k 31.10.2015</t>
  </si>
  <si>
    <t>Masarykova základní škola, Brno, Kamenačky 3591/4 CZ.1.07/1.1.00/57.0900</t>
  </si>
  <si>
    <t>ZŠ a MŠ Brno,Kotlářská 4,projekt č.  CZ.1.07/1.1.00/57.0995</t>
  </si>
  <si>
    <t>ZŠ Brno, Hudcova 35, projekt č. CZ.1.07/1.1.00/57.0774</t>
  </si>
  <si>
    <t>ZŠ a MŠ Brno, Elišky Přemyslovny 10, projekt č. CZ.1.07/1.1.00/57.1272</t>
  </si>
  <si>
    <t>ZŠ Sirotkova 36 CZ.1.07/1.1.00/57.1049</t>
  </si>
  <si>
    <t>ZŠ a MŠ Merhautova 37 CZ.1.07/1.1.00/57.0746</t>
  </si>
  <si>
    <t>ZŠ Heyrovského 32 CZ.1.07/1.1.00/57.1360</t>
  </si>
  <si>
    <t>ZŠ a MŠ Vedlejší 10, projekt č. CZ.1.07/1.1.00/57.1038</t>
  </si>
  <si>
    <t>ZŠ Novoměstská 21, projekt č. CZ.1.07/1.1.00/57.0901</t>
  </si>
  <si>
    <t>ZŠ Brno, Holzova 1, projekt č.  CZ.1.07/1.1.00/57.1265</t>
  </si>
  <si>
    <t>ZŠ Čejkovická 10, projekt č. CZ.1.07/1.1.00/57.1280</t>
  </si>
  <si>
    <t>ZŠ Krásného 24 CZ.1.07/1.1.00/57.1338</t>
  </si>
  <si>
    <t>ZŠ Košinova 22 CZ.1.07/1.1.00/57.1362</t>
  </si>
  <si>
    <t>ZŠ Gajdošova 3, projekt č. CZ.1.07/1.1.00/57.1320</t>
  </si>
  <si>
    <t>ZŠ Bosonožská 9, projekt č. CZ.1.07/1.1.00/57.1351</t>
  </si>
  <si>
    <t>Národní divadlo Brno - Divadelní svět Brno</t>
  </si>
  <si>
    <t>Brno - Líšeň - KC - Réva - aktivity pro seniory v Brně - Líšni</t>
  </si>
  <si>
    <t>Ortopedie - rezidenční místa - Úrazová nemocnice</t>
  </si>
  <si>
    <t>Brno - Židenice - Park Bílá Hora</t>
  </si>
  <si>
    <t>ZŠ Svážná 9, Brno, projekt  CZ.1.07/1.1.00/57.1525</t>
  </si>
  <si>
    <t>ZŠ Jasanová 2, Brno, projekt č. CZ.1.07/1.1.00/57.1446</t>
  </si>
  <si>
    <t>Vratka části dotace na zabezpečení činností v agendě sociálně-právní ochrany dětí v roce 2015</t>
  </si>
  <si>
    <t>Brno - Líšeň - úprava děts. hřiště a zahrady v přírodním stylu mateřské školy ZŠ a MŠ Horníkova</t>
  </si>
  <si>
    <t>Brno - Líšeň - úprava děts. hřiště a zahrady v přírodním stylu mateřské školy MŠ SEDMIKRÁSKA</t>
  </si>
  <si>
    <t>Vratka části dotace - Město Brno zvyšuje kvalitu vzdělávání v základních školách</t>
  </si>
  <si>
    <t>CED - Indián v ohrožení v Elektrárně Piešťany</t>
  </si>
  <si>
    <t>Divadlo Radost - Malý princ</t>
  </si>
  <si>
    <t>Brno - střed - KVC U Tří kohoutů - Hynku! Viléme! Jarmilo!!!</t>
  </si>
  <si>
    <t>Vypracování hodnotící metodiky architektury z let 1945 - 1979</t>
  </si>
  <si>
    <t>Rekonstrukce sportovišť při ZŠ Jasanová 2, Jundrov - 2. etapa</t>
  </si>
  <si>
    <t>Sportovní areál Brno - Útěchov</t>
  </si>
  <si>
    <t>Stavební úpravy ZŠ Mutěnická - 3. etapa</t>
  </si>
  <si>
    <t>Vratka dotace ZŠ Antonínská 3 - Školní firmy</t>
  </si>
  <si>
    <t>Vratka části dotace ZŠ a MŠ Milénova 14 - Získejme zkušenosti v evropských školkách</t>
  </si>
  <si>
    <t xml:space="preserve">Zavedení systému managementu hopspodaření energií </t>
  </si>
  <si>
    <t>Brno - Židenice - zateplení MŠ Nopova</t>
  </si>
  <si>
    <t>Úrazová nemocnice Brno - Oddělení stálé chirurgické a úrazové služby</t>
  </si>
  <si>
    <t>Aplikovaná fyzioterapie - rezidenční místa - Úrazová nemocnice Brno</t>
  </si>
  <si>
    <t>Klinická biochemie (zdravotní laborant) - rezidenční místa - Úrazová nemocnice Brno</t>
  </si>
  <si>
    <t xml:space="preserve">Perioperační péče - rezidenční místa - Úrazová nemocnice Brno </t>
  </si>
  <si>
    <t>Chirurgie -rezidenční místa - Úrazová nemocnice Brno</t>
  </si>
  <si>
    <t>25.11&gt;2015</t>
  </si>
  <si>
    <t>Sanace skalního řícení v ulice Smyčka, MČ Brno - Bosonohy</t>
  </si>
  <si>
    <t>Sanace skalního řícení v ulici Práčata, MČ Brno - Bosonohy</t>
  </si>
  <si>
    <t>Brno - Líšeň - úpravy a regenerace veřejné zeleně  - Rokle</t>
  </si>
  <si>
    <t>Královo Pole - úprava zahrady MŠ Puchýřova</t>
  </si>
  <si>
    <t>Brno - Tuřany - Slavnosti tuřanského zelí</t>
  </si>
  <si>
    <t>Brno - Královo Pole - úprava zahrady MŠ Purkyňova</t>
  </si>
  <si>
    <t>Chirurgie - rezidenční místa - Úrazová nemocnice Brno</t>
  </si>
  <si>
    <t xml:space="preserve">Traumatologie - rezidenční místa - Úrazová nemocnice </t>
  </si>
  <si>
    <t>Chirurgie - rezidenční místa - Úrazová nemocnice</t>
  </si>
  <si>
    <t>Brno - Nový Lískovec - zateplení radnice Oblá 75a</t>
  </si>
  <si>
    <t>Brno - Komín - zabezpečení akceschopnosti JSDH obce  na rok 2015</t>
  </si>
  <si>
    <t>Brno - sever - zabezpečení akceschopnosti JSDH obce  na rok 2015</t>
  </si>
  <si>
    <t>Brno - Vinohrady - hudební festival "Mladé kapely"</t>
  </si>
  <si>
    <t>Brno - Vinohrady - Bavíme se na Vinohradech</t>
  </si>
  <si>
    <t>Brno - Žebětín -  zabezpečení akceschopnosti JSDH obce  na rok 2015</t>
  </si>
  <si>
    <t>Brno - sever - rekonstrukce Bieblova 16</t>
  </si>
  <si>
    <t>Zateplení logopedického stacionáře MŠ Synkova</t>
  </si>
  <si>
    <t>Přírodovědné kognitorium - vědecká stezka</t>
  </si>
  <si>
    <t>Realizace prvků územního systému ekologické stability Lokální biokoridor Heršpická - Leskava</t>
  </si>
  <si>
    <t>Obnova zeleně v rekreačních zónách v MČ Brno - Bohunice</t>
  </si>
  <si>
    <t>IN line dráha při ZŠ Brno, Pavlovská 16, Brno - Kohoutovice</t>
  </si>
  <si>
    <t xml:space="preserve">Brno - Bystrc - zateplení MŠ Štouračova </t>
  </si>
  <si>
    <t>Brno - střed - Zahrada splněných přání - MŠ Na Kopečku u zvonečku</t>
  </si>
  <si>
    <t>Brno - střed - Příroda na dosah - přírodní zahrada - MŠ Úvoz</t>
  </si>
  <si>
    <t>Brno - střed - Zahrada splněných přání - MŠ Zdislava Brno, Pellicova</t>
  </si>
  <si>
    <t>Brno - Bohunice - zabezpečení akceschopnosti JSDH obce  na rok 2015</t>
  </si>
  <si>
    <t>Brno - Královo Pole - zabezpečení akceschopnosti JSDH obce  na rok 2015</t>
  </si>
  <si>
    <t>Brno - Židenice - revitalizace sídelní zeleně na ulici Líšeňská</t>
  </si>
  <si>
    <t>Brno - Židenice - revitalizace vegetace - park na Juliánovském nám.</t>
  </si>
  <si>
    <t>Brno - Bohunice - obnova zeleně v lesíku mezi ulicemi Osová, Pod Nemocnicí a Spodní</t>
  </si>
  <si>
    <t>Brno - Líšeň - rekonstrukce polikliniky Horníkova 34</t>
  </si>
  <si>
    <t>Regionální biocentrum Stará řeka</t>
  </si>
  <si>
    <t>Část regionálního biocentra  Ráječek</t>
  </si>
  <si>
    <t>Územní systém ekologické stability v k.ú. Chrlice</t>
  </si>
  <si>
    <t>Lokální biokoridor Medlánky - letiště</t>
  </si>
  <si>
    <t>Realizace skladebných částí ÚSES - biokoridory Bosonožský hájek a K ulici Dlážděná</t>
  </si>
  <si>
    <t>Realizace skladebních částí ÚSES - interakční prvek V Zátiší - doplnění</t>
  </si>
  <si>
    <t>Výsadba izolační zeleně - Žarošická, Jedovnická a Novolíšeňská</t>
  </si>
  <si>
    <t>Vratka části dotace z programu prevence kriminality (Mobilní poradenské centrum)</t>
  </si>
  <si>
    <t>Vratka části dotace na Senior akademii X, Mobilní poradenské centrum a Domovnickou akademii</t>
  </si>
  <si>
    <t>MŠ Kohoutova - zateplení budovy</t>
  </si>
  <si>
    <t>MŠ Tišnovská - zateplení budovy včetně výměny oken</t>
  </si>
  <si>
    <t>MŠ Šrámkova - zateplení budovy včetně výměny oken</t>
  </si>
  <si>
    <t>Brno - sever - pro JSHD - stavební úpravy, rekonstrukce a statické úpravy hasič. zbrojnice Husovice</t>
  </si>
  <si>
    <t>Brno - sever - pro JSHD - zateplení střešní konstrukce a instalace hromosvodu hasič.zbrojnice Husovice</t>
  </si>
  <si>
    <t>Brno - Žabovřesky - regenerace školního hřiště ZŠ nám. Svornosti</t>
  </si>
  <si>
    <t>Muzeum města Brna - Žít pivo. Hostince a pivovary Brna od pravěku po současnost.</t>
  </si>
  <si>
    <t>Národní divadlo Brno - oslavy 50 let od otevření Janáčkova divadla</t>
  </si>
  <si>
    <t>Muzeum města Brna - Brněnské vilové kvarteto</t>
  </si>
  <si>
    <t>Úprava a doplnění zeleně na ulicích Okrouhlá, Vedlejší, Pod Nemocnicí v MČ Brno - Bohunice</t>
  </si>
  <si>
    <t>Zateplení fasády objektu SVČ a KJM Lány 3</t>
  </si>
  <si>
    <t>Zateplení SVČ Kosmonautů</t>
  </si>
  <si>
    <t>Stavební úpravy MŠ Řezáčova</t>
  </si>
  <si>
    <t>Stavební úpravy Domova pro seniory Foltýnova</t>
  </si>
  <si>
    <t>Stavební úpravy MŠ a ZŠ Jana Broskvy</t>
  </si>
  <si>
    <t>Stavební úpravy ZŠ Broskvy</t>
  </si>
  <si>
    <t>Úprava ploch veřejné zeleně v okolí bytových domů Sibiřská 60, 62 a 64 - Brno - Řečkovice</t>
  </si>
  <si>
    <t>sedí to 31.12.2015</t>
  </si>
  <si>
    <t>a ze zahraničí k 31.12.2015</t>
  </si>
  <si>
    <t>nezaznamenáno do FV</t>
  </si>
  <si>
    <t>Medlánky - dokončení sportovmího areálu Medlánky, revitalizace škvárového hřiště</t>
  </si>
  <si>
    <t>Brno - Líšeň - pořízení a vybudování mobilní ledové plochy</t>
  </si>
  <si>
    <t>nedělá se FV</t>
  </si>
  <si>
    <t>udělané FV</t>
  </si>
  <si>
    <t>neudělané FV</t>
  </si>
  <si>
    <t xml:space="preserve">předáno k podpisu </t>
  </si>
  <si>
    <t>ROZDÍL</t>
  </si>
  <si>
    <t>Brno - Maloměřice a Obřany - aktivní politika zaměstnanosti - OP Zaměstnanost</t>
  </si>
  <si>
    <t>Brno - Vinohrady - aktivní politika zaměstnanosti - OP Zaměstnanost</t>
  </si>
  <si>
    <t>Brno - Žebětín - aktivní politika zaměstnanosti - OP Zaměstnanost</t>
  </si>
  <si>
    <t>nevyúčtovávalo se</t>
  </si>
  <si>
    <t>Sanace skalního řícení v ulici Smyčka, MČ Brno - Bosonohy</t>
  </si>
  <si>
    <t>k 31.12.2015</t>
  </si>
  <si>
    <t>KJM - připojení poboček v Brně - sever, Soběšice, Zeiberlichova 48 a v Brně - Žebětíně</t>
  </si>
  <si>
    <t>ZŠ a MŠ Husova 17 - OP VK, Počáteční vzdělávání</t>
  </si>
  <si>
    <t>ZŠ Holzova 1 - OP VK, Počáteční vzdělávání</t>
  </si>
  <si>
    <t>ZŠ a MŠ Chalabalova 2 - OP VK, Počáteční vzdělávání</t>
  </si>
  <si>
    <t xml:space="preserve">ZŠ Bakalovo náb. 8 - OP VK, Počáteční vzdělávání </t>
  </si>
  <si>
    <t>ZŠ a MŠ Jana Broskvy 3  - OP VK,  Počáteční vzdělávání</t>
  </si>
  <si>
    <t xml:space="preserve">Masarykova základní škola a Mateřská škola, Zemědělská 29 - OP VK,  Počáteční vzdělávání </t>
  </si>
  <si>
    <t xml:space="preserve">ZŠ a MŠ Křenová 21 - OP VK, Počáteční vzdělávání </t>
  </si>
  <si>
    <t xml:space="preserve">ZŠ a MŠ Kotlářská 4 - OP VK, Počáteční vzdělávání </t>
  </si>
  <si>
    <t>ZŠ Mutěnická 23 - OP VK, Počáteční vzdělávání</t>
  </si>
  <si>
    <t xml:space="preserve">ZŠ a MŠ nám. 28. října, Brno  - OP VK, Počáteční vzdělávání </t>
  </si>
  <si>
    <t xml:space="preserve">ZŠ Bosonožská 9 - OP VK, Počáteční vzdělávání </t>
  </si>
  <si>
    <t>ZŠ Sirotkova 36 - OP VK, Počáteční vzdělávání</t>
  </si>
  <si>
    <t xml:space="preserve">Tyršova základní škola, Kuldova 38 - OP VK, Počáteční vzdělávání </t>
  </si>
  <si>
    <t xml:space="preserve">ZŠ Botanická 70 - OP VK, Počáteční vzdělávání </t>
  </si>
  <si>
    <t xml:space="preserve">ZŠ Heyrovského 32 - OP VK, Počáteční vzdělávání </t>
  </si>
  <si>
    <t xml:space="preserve">ZŠ Svážná 9 - OP VK, Počáteční vzdělávání </t>
  </si>
  <si>
    <t xml:space="preserve">ZŠ Horní 16 - OP VK, Počáteční vzdělávání </t>
  </si>
  <si>
    <t xml:space="preserve">ZŠ Kneslova 28 - OP VK, Počáteční vzdělávání </t>
  </si>
  <si>
    <t xml:space="preserve">ZŠ Tuháčkova 25 - OP VK, Počáteční vzdělávání </t>
  </si>
  <si>
    <t xml:space="preserve">ZŠ Řehořova 3 - OP VK, Počáteční vzdělávání </t>
  </si>
  <si>
    <t xml:space="preserve">ZŠ a MŠ Křídlovická 30b - OP VK, Počáteční vzdělávání </t>
  </si>
  <si>
    <t xml:space="preserve">ZŠ a MŠ Milénova 14 - OP VK, Počáteční vzdělávání </t>
  </si>
  <si>
    <t xml:space="preserve">ZŠ a MŠ Horníkova 1 - OP VK, Počáteční vzdělávání </t>
  </si>
  <si>
    <t xml:space="preserve">ZŠ a MŠ Jihomoravské nám. 2 - OP VK, Počáteční vzdělávání </t>
  </si>
  <si>
    <t xml:space="preserve">ZŠ Jasanová 2 - OP VK, Počáteční vzdělávání </t>
  </si>
  <si>
    <t xml:space="preserve">ZŠ Jana Babáka 1 - OP VK, Počáteční vzdělávání </t>
  </si>
  <si>
    <t xml:space="preserve">ZŠ Pavlovská 16 - OP VK, Počáteční vzdělávání </t>
  </si>
  <si>
    <t xml:space="preserve">ZŠ Měšťanská 21 - OP VK, Počáteční vzdělávání </t>
  </si>
  <si>
    <t xml:space="preserve">ZŠ nám. Míru 3 - OP VK, Počáteční vzdělávání </t>
  </si>
  <si>
    <t xml:space="preserve">ZŠ Masarova 11 - OP VK, Počáteční vzdělávání </t>
  </si>
  <si>
    <t xml:space="preserve">ZŠ Labská 27 - OP VK, Počáteční vzdělávání </t>
  </si>
  <si>
    <t xml:space="preserve">ZŠ Kamínky 5 - OP VK, Počáteční vzdělávání </t>
  </si>
  <si>
    <t xml:space="preserve">ZŠ a MŠ Bosonožské nám. 44 - OP VK, Počáteční vzdělávání </t>
  </si>
  <si>
    <t xml:space="preserve">ZŠ a MŠ Vedlejší 10 - OP VK, Počáteční vzdělávání </t>
  </si>
  <si>
    <t xml:space="preserve">ZŠ Vejrostova 1 - OP VK, Počáteční vzdělávání </t>
  </si>
  <si>
    <t xml:space="preserve">ZŠ Přemyslovo nám. 1 - OP VK, Počáteční vzdělávání </t>
  </si>
  <si>
    <t xml:space="preserve">ZŠ Gajdošova 3 - OP VK, Počáteční vzdělávání </t>
  </si>
  <si>
    <t xml:space="preserve">ZŠ Novolíšeňská 10 - OP VK, Počáteční vzdělávání </t>
  </si>
  <si>
    <t xml:space="preserve">ZŠ Čejkovická - OP VK, Počáteční vzdělávání </t>
  </si>
  <si>
    <t xml:space="preserve">ZŠ Laštůvkova 77 - OP VK, Počáteční vzdělávání </t>
  </si>
  <si>
    <t xml:space="preserve">Masaryk. zákl. škola, Brno, Kamenačky 4 - OP VK, Počáteční vzdělávání </t>
  </si>
  <si>
    <t xml:space="preserve">ZŠ Krásného 24 - OP VK, Počáteční vzdělávání </t>
  </si>
  <si>
    <t xml:space="preserve">ZŠ náměstí Svornosti 7 - OP VK, Počáteční vzdělávání </t>
  </si>
  <si>
    <t xml:space="preserve">ZŠ a MŠ Blažkova 9 - OP VK, Počáteční vzdělávání </t>
  </si>
  <si>
    <t xml:space="preserve">ZŠ Košinova 22 - OP VK, Počáteční vzdělávání </t>
  </si>
  <si>
    <t xml:space="preserve">ZŠ Hudcova 35 - OP VK, Počáteční vzdělávání </t>
  </si>
  <si>
    <t xml:space="preserve">ZŠ a MŠ Merhautova 37 - OP VK, Počáteční vzdělávání </t>
  </si>
  <si>
    <t xml:space="preserve">ZŠ Arménská 21 - OP VK, Počáteční vzdělávání </t>
  </si>
  <si>
    <t xml:space="preserve">ZŠ Horácké nám. 13 - OP VK, Počáteční vzdělávání </t>
  </si>
  <si>
    <t xml:space="preserve">ZŠ Bednářova 28 - OP VK, Počáteční vzdělávání </t>
  </si>
  <si>
    <t xml:space="preserve">ZŠ Bakalovo nábřeží 8 - OP VK, Počáteční vzdělávání </t>
  </si>
  <si>
    <t xml:space="preserve">ZŠ Horácké náměstí 13 - OP VK, Počáteční vzdělávání </t>
  </si>
  <si>
    <t xml:space="preserve">Zš a MŠ Jana Broskvy 3 - OP VK, Počáteční vzdělávání </t>
  </si>
  <si>
    <t xml:space="preserve">ZŠ a MŠ Jihomoravské náměstí 2 - OP VK, Počáteční vzdělávání </t>
  </si>
  <si>
    <t xml:space="preserve">Tyršova ZŠ Kuldova 38 - OP VK, Počáteční vzdělávání </t>
  </si>
  <si>
    <t xml:space="preserve">Waldorfská ZŠ a MŠ Plovdivská 8 - OP VK, Počáteční vzdělávání </t>
  </si>
  <si>
    <t xml:space="preserve">ZŠ a MŠ Husova 17 - OP VK, Počáteční vzdělávání </t>
  </si>
  <si>
    <t xml:space="preserve">ZŠ a MŠ Pastviny 70 - OP VK, Počáteční vzdělávání </t>
  </si>
  <si>
    <t xml:space="preserve">ZŠ a MŠ Brno,Kotlářská 4 - OP VK, Počáteční vzdělávání </t>
  </si>
  <si>
    <t xml:space="preserve">ZŠ Brno, Hudcova 35 - OP VK, Počáteční vzdělávání </t>
  </si>
  <si>
    <t xml:space="preserve">Masarykova základní škola, Brno, Kamenačky 3591/4 - OP VK, Počáteční vzdělávání </t>
  </si>
  <si>
    <t xml:space="preserve">ZŠ a MŠ Brno, Elišky Přemyslovny 10 - OP VK, Počáteční vzdělávání </t>
  </si>
  <si>
    <t>Sociální služby - příspěvkové organizace a městské čátsti</t>
  </si>
  <si>
    <t>ZŠ a MŠ Blanenská 1 - Sport prostředek komun. porozumění-projekt partnerství v regionu CENTROPE</t>
  </si>
  <si>
    <t xml:space="preserve">ZŠ Sirotkova 36  - OP VK, Počáteční vzdělávání </t>
  </si>
  <si>
    <t xml:space="preserve">ZŠ Novoměstská 21 - OP VK, Počáteční vzdělávání </t>
  </si>
  <si>
    <t xml:space="preserve">ZŠ Brno, Holzova 1 - OP VK, Počáteční vzdělávání </t>
  </si>
  <si>
    <t xml:space="preserve">ZŠ Čejkovická 10 - OP VK, Počáteční vzdělávání </t>
  </si>
  <si>
    <t xml:space="preserve">ZŠ Krásného 24  - OP VK, Počáteční vzdělávání </t>
  </si>
  <si>
    <t xml:space="preserve">ZŠ Košinova 22  - OP VK, Počáteční vzdělávání </t>
  </si>
  <si>
    <t xml:space="preserve">ZŠ Svážná 9, Brno - OP VK, Počáteční vzdělávání </t>
  </si>
  <si>
    <t xml:space="preserve">ZŠ Jasanová 2, Brno - OP VK, Počáteční vzdělávání </t>
  </si>
  <si>
    <t>POL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</si>
</sst>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4" formatCode="_-* #,##0.00\ &quot;Kč&quot;_-;\-* #,##0.00\ &quot;Kč&quot;_-;_-* &quot;-&quot;??\ &quot;Kč&quot;_-;_-@_-"/>
    <numFmt numFmtId="164" formatCode="#,##0.000000"/>
    <numFmt numFmtId="165" formatCode="_-* #,##0.00\ [$Kč-405]_-;\-* #,##0.00\ [$Kč-405]_-;_-* &quot;-&quot;??\ [$Kč-405]_-;_-@_-"/>
    <numFmt numFmtId="166" formatCode="_(&quot;Kč&quot;* #,##0.00_);_(&quot;Kč&quot;* \(#,##0.00\);_(&quot;Kč&quot;* &quot;-&quot;??_);_(@_)"/>
    <numFmt numFmtId="167" formatCode="#,##0.000"/>
    <numFmt numFmtId="168" formatCode="0_ ;\-0\ "/>
    <numFmt numFmtId="169" formatCode="#,##0\ &quot;Kč&quot;"/>
    <numFmt numFmtId="170" formatCode="#,##0.00_);\(#,##0.00\)"/>
  </numFmts>
  <fonts count="70" x14ac:knownFonts="1">
    <font>
      <sz val="10"/>
      <name val="Arial CE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u/>
      <sz val="18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u/>
      <sz val="12"/>
      <name val="Times New Roman"/>
      <family val="1"/>
      <charset val="238"/>
    </font>
    <font>
      <b/>
      <u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0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name val="Arial"/>
      <family val="2"/>
      <charset val="238"/>
    </font>
    <font>
      <sz val="10"/>
      <name val="Calibri"/>
      <family val="2"/>
      <charset val="238"/>
      <scheme val="minor"/>
    </font>
    <font>
      <u/>
      <sz val="8"/>
      <color theme="10"/>
      <name val="Calibri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sz val="10"/>
      <color theme="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rgb="FFFF0000"/>
      <name val="Times New Roman"/>
      <family val="1"/>
      <charset val="238"/>
    </font>
    <font>
      <b/>
      <u/>
      <sz val="18"/>
      <color theme="1"/>
      <name val="Times New Roman"/>
      <family val="1"/>
      <charset val="238"/>
    </font>
    <font>
      <b/>
      <sz val="10"/>
      <name val="Arial CE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6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0"/>
      <color theme="0"/>
      <name val="Times New Roman"/>
      <family val="1"/>
      <charset val="238"/>
    </font>
    <font>
      <b/>
      <u/>
      <sz val="20"/>
      <name val="Times New Roman"/>
      <family val="1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u/>
      <sz val="12"/>
      <color theme="1"/>
      <name val="Times New Roman"/>
      <family val="1"/>
      <charset val="238"/>
    </font>
    <font>
      <b/>
      <u/>
      <sz val="18"/>
      <color rgb="FFFF0000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b/>
      <u/>
      <sz val="12"/>
      <color rgb="FFFF0000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sz val="10"/>
      <color rgb="FFFF0000"/>
      <name val="Arial CE"/>
      <family val="2"/>
      <charset val="238"/>
    </font>
    <font>
      <sz val="10"/>
      <color theme="1"/>
      <name val="Arial CE"/>
      <family val="2"/>
      <charset val="238"/>
    </font>
    <font>
      <b/>
      <sz val="10"/>
      <name val="Arial CE"/>
      <family val="2"/>
      <charset val="238"/>
    </font>
    <font>
      <b/>
      <u/>
      <sz val="16"/>
      <color theme="1"/>
      <name val="Times New Roman"/>
      <family val="1"/>
      <charset val="238"/>
    </font>
  </fonts>
  <fills count="6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rgb="FFFFFF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2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medium">
        <color indexed="8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/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medium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64"/>
      </right>
      <top/>
      <bottom/>
      <diagonal/>
    </border>
    <border>
      <left style="medium">
        <color indexed="8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thin">
        <color indexed="64"/>
      </top>
      <bottom/>
      <diagonal/>
    </border>
    <border>
      <left style="medium">
        <color indexed="8"/>
      </left>
      <right style="medium">
        <color indexed="8"/>
      </right>
      <top/>
      <bottom style="thin">
        <color indexed="64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288">
    <xf numFmtId="0" fontId="0" fillId="0" borderId="0"/>
    <xf numFmtId="44" fontId="31" fillId="0" borderId="0" applyFill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8" borderId="0" applyNumberFormat="0" applyBorder="0" applyAlignment="0" applyProtection="0"/>
    <xf numFmtId="0" fontId="20" fillId="28" borderId="0" applyNumberFormat="0" applyBorder="0" applyAlignment="0" applyProtection="0"/>
    <xf numFmtId="0" fontId="20" fillId="28" borderId="0" applyNumberFormat="0" applyBorder="0" applyAlignment="0" applyProtection="0"/>
    <xf numFmtId="0" fontId="20" fillId="28" borderId="0" applyNumberFormat="0" applyBorder="0" applyAlignment="0" applyProtection="0"/>
    <xf numFmtId="0" fontId="20" fillId="28" borderId="0" applyNumberFormat="0" applyBorder="0" applyAlignment="0" applyProtection="0"/>
    <xf numFmtId="0" fontId="20" fillId="28" borderId="0" applyNumberFormat="0" applyBorder="0" applyAlignment="0" applyProtection="0"/>
    <xf numFmtId="0" fontId="20" fillId="28" borderId="0" applyNumberFormat="0" applyBorder="0" applyAlignment="0" applyProtection="0"/>
    <xf numFmtId="0" fontId="20" fillId="28" borderId="0" applyNumberFormat="0" applyBorder="0" applyAlignment="0" applyProtection="0"/>
    <xf numFmtId="0" fontId="20" fillId="28" borderId="0" applyNumberFormat="0" applyBorder="0" applyAlignment="0" applyProtection="0"/>
    <xf numFmtId="0" fontId="20" fillId="28" borderId="0" applyNumberFormat="0" applyBorder="0" applyAlignment="0" applyProtection="0"/>
    <xf numFmtId="0" fontId="20" fillId="28" borderId="0" applyNumberFormat="0" applyBorder="0" applyAlignment="0" applyProtection="0"/>
    <xf numFmtId="0" fontId="20" fillId="28" borderId="0" applyNumberFormat="0" applyBorder="0" applyAlignment="0" applyProtection="0"/>
    <xf numFmtId="0" fontId="20" fillId="32" borderId="0" applyNumberFormat="0" applyBorder="0" applyAlignment="0" applyProtection="0"/>
    <xf numFmtId="0" fontId="20" fillId="32" borderId="0" applyNumberFormat="0" applyBorder="0" applyAlignment="0" applyProtection="0"/>
    <xf numFmtId="0" fontId="20" fillId="32" borderId="0" applyNumberFormat="0" applyBorder="0" applyAlignment="0" applyProtection="0"/>
    <xf numFmtId="0" fontId="20" fillId="32" borderId="0" applyNumberFormat="0" applyBorder="0" applyAlignment="0" applyProtection="0"/>
    <xf numFmtId="0" fontId="20" fillId="32" borderId="0" applyNumberFormat="0" applyBorder="0" applyAlignment="0" applyProtection="0"/>
    <xf numFmtId="0" fontId="20" fillId="32" borderId="0" applyNumberFormat="0" applyBorder="0" applyAlignment="0" applyProtection="0"/>
    <xf numFmtId="0" fontId="20" fillId="32" borderId="0" applyNumberFormat="0" applyBorder="0" applyAlignment="0" applyProtection="0"/>
    <xf numFmtId="0" fontId="20" fillId="32" borderId="0" applyNumberFormat="0" applyBorder="0" applyAlignment="0" applyProtection="0"/>
    <xf numFmtId="0" fontId="20" fillId="32" borderId="0" applyNumberFormat="0" applyBorder="0" applyAlignment="0" applyProtection="0"/>
    <xf numFmtId="0" fontId="20" fillId="32" borderId="0" applyNumberFormat="0" applyBorder="0" applyAlignment="0" applyProtection="0"/>
    <xf numFmtId="0" fontId="20" fillId="32" borderId="0" applyNumberFormat="0" applyBorder="0" applyAlignment="0" applyProtection="0"/>
    <xf numFmtId="0" fontId="20" fillId="32" borderId="0" applyNumberFormat="0" applyBorder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165" fontId="33" fillId="0" borderId="0" applyFill="0" applyBorder="0" applyAlignment="0" applyProtection="0">
      <alignment vertical="top"/>
      <protection locked="0"/>
    </xf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6" fillId="7" borderId="7" applyNumberFormat="0" applyAlignment="0" applyProtection="0"/>
    <xf numFmtId="0" fontId="16" fillId="7" borderId="7" applyNumberFormat="0" applyAlignment="0" applyProtection="0"/>
    <xf numFmtId="0" fontId="16" fillId="7" borderId="7" applyNumberFormat="0" applyAlignment="0" applyProtection="0"/>
    <xf numFmtId="0" fontId="16" fillId="7" borderId="7" applyNumberFormat="0" applyAlignment="0" applyProtection="0"/>
    <xf numFmtId="0" fontId="16" fillId="7" borderId="7" applyNumberFormat="0" applyAlignment="0" applyProtection="0"/>
    <xf numFmtId="0" fontId="16" fillId="7" borderId="7" applyNumberFormat="0" applyAlignment="0" applyProtection="0"/>
    <xf numFmtId="0" fontId="16" fillId="7" borderId="7" applyNumberFormat="0" applyAlignment="0" applyProtection="0"/>
    <xf numFmtId="0" fontId="16" fillId="7" borderId="7" applyNumberFormat="0" applyAlignment="0" applyProtection="0"/>
    <xf numFmtId="0" fontId="16" fillId="7" borderId="7" applyNumberFormat="0" applyAlignment="0" applyProtection="0"/>
    <xf numFmtId="0" fontId="16" fillId="7" borderId="7" applyNumberFormat="0" applyAlignment="0" applyProtection="0"/>
    <xf numFmtId="0" fontId="16" fillId="7" borderId="7" applyNumberFormat="0" applyAlignment="0" applyProtection="0"/>
    <xf numFmtId="0" fontId="16" fillId="7" borderId="7" applyNumberFormat="0" applyAlignment="0" applyProtection="0"/>
    <xf numFmtId="44" fontId="3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35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6" fillId="0" borderId="1" applyNumberFormat="0" applyFill="0" applyAlignment="0" applyProtection="0"/>
    <xf numFmtId="0" fontId="6" fillId="0" borderId="1" applyNumberFormat="0" applyFill="0" applyAlignment="0" applyProtection="0"/>
    <xf numFmtId="0" fontId="6" fillId="0" borderId="1" applyNumberFormat="0" applyFill="0" applyAlignment="0" applyProtection="0"/>
    <xf numFmtId="0" fontId="6" fillId="0" borderId="1" applyNumberFormat="0" applyFill="0" applyAlignment="0" applyProtection="0"/>
    <xf numFmtId="0" fontId="6" fillId="0" borderId="1" applyNumberFormat="0" applyFill="0" applyAlignment="0" applyProtection="0"/>
    <xf numFmtId="0" fontId="6" fillId="0" borderId="1" applyNumberFormat="0" applyFill="0" applyAlignment="0" applyProtection="0"/>
    <xf numFmtId="0" fontId="6" fillId="0" borderId="1" applyNumberFormat="0" applyFill="0" applyAlignment="0" applyProtection="0"/>
    <xf numFmtId="0" fontId="6" fillId="0" borderId="1" applyNumberFormat="0" applyFill="0" applyAlignment="0" applyProtection="0"/>
    <xf numFmtId="0" fontId="6" fillId="0" borderId="1" applyNumberFormat="0" applyFill="0" applyAlignment="0" applyProtection="0"/>
    <xf numFmtId="0" fontId="6" fillId="0" borderId="1" applyNumberFormat="0" applyFill="0" applyAlignment="0" applyProtection="0"/>
    <xf numFmtId="0" fontId="6" fillId="0" borderId="1" applyNumberFormat="0" applyFill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7" fillId="0" borderId="2" applyNumberFormat="0" applyFill="0" applyAlignment="0" applyProtection="0"/>
    <xf numFmtId="0" fontId="7" fillId="0" borderId="2" applyNumberFormat="0" applyFill="0" applyAlignment="0" applyProtection="0"/>
    <xf numFmtId="0" fontId="7" fillId="0" borderId="2" applyNumberFormat="0" applyFill="0" applyAlignment="0" applyProtection="0"/>
    <xf numFmtId="0" fontId="7" fillId="0" borderId="2" applyNumberFormat="0" applyFill="0" applyAlignment="0" applyProtection="0"/>
    <xf numFmtId="0" fontId="7" fillId="0" borderId="2" applyNumberFormat="0" applyFill="0" applyAlignment="0" applyProtection="0"/>
    <xf numFmtId="0" fontId="7" fillId="0" borderId="2" applyNumberFormat="0" applyFill="0" applyAlignment="0" applyProtection="0"/>
    <xf numFmtId="0" fontId="7" fillId="0" borderId="2" applyNumberFormat="0" applyFill="0" applyAlignment="0" applyProtection="0"/>
    <xf numFmtId="0" fontId="7" fillId="0" borderId="2" applyNumberFormat="0" applyFill="0" applyAlignment="0" applyProtection="0"/>
    <xf numFmtId="0" fontId="7" fillId="0" borderId="2" applyNumberFormat="0" applyFill="0" applyAlignment="0" applyProtection="0"/>
    <xf numFmtId="0" fontId="7" fillId="0" borderId="2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4" fillId="0" borderId="0"/>
    <xf numFmtId="165" fontId="4" fillId="0" borderId="0"/>
    <xf numFmtId="0" fontId="35" fillId="0" borderId="0"/>
    <xf numFmtId="165" fontId="35" fillId="0" borderId="0"/>
    <xf numFmtId="165" fontId="4" fillId="0" borderId="0"/>
    <xf numFmtId="0" fontId="34" fillId="8" borderId="8" applyNumberFormat="0" applyFont="0" applyAlignment="0" applyProtection="0"/>
    <xf numFmtId="0" fontId="4" fillId="8" borderId="8" applyNumberFormat="0" applyFont="0" applyAlignment="0" applyProtection="0"/>
    <xf numFmtId="0" fontId="34" fillId="8" borderId="8" applyNumberFormat="0" applyFont="0" applyAlignment="0" applyProtection="0"/>
    <xf numFmtId="0" fontId="4" fillId="8" borderId="8" applyNumberFormat="0" applyFont="0" applyAlignment="0" applyProtection="0"/>
    <xf numFmtId="0" fontId="34" fillId="8" borderId="8" applyNumberFormat="0" applyFont="0" applyAlignment="0" applyProtection="0"/>
    <xf numFmtId="0" fontId="3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34" fillId="8" borderId="8" applyNumberFormat="0" applyFont="0" applyAlignment="0" applyProtection="0"/>
    <xf numFmtId="165" fontId="34" fillId="8" borderId="8" applyNumberFormat="0" applyFont="0" applyAlignment="0" applyProtection="0"/>
    <xf numFmtId="0" fontId="34" fillId="8" borderId="8" applyNumberFormat="0" applyFont="0" applyAlignment="0" applyProtection="0"/>
    <xf numFmtId="0" fontId="34" fillId="8" borderId="8" applyNumberFormat="0" applyFont="0" applyAlignment="0" applyProtection="0"/>
    <xf numFmtId="0" fontId="34" fillId="8" borderId="8" applyNumberFormat="0" applyFont="0" applyAlignment="0" applyProtection="0"/>
    <xf numFmtId="0" fontId="34" fillId="8" borderId="8" applyNumberFormat="0" applyFont="0" applyAlignment="0" applyProtection="0"/>
    <xf numFmtId="0" fontId="34" fillId="8" borderId="8" applyNumberFormat="0" applyFont="0" applyAlignment="0" applyProtection="0"/>
    <xf numFmtId="0" fontId="34" fillId="8" borderId="8" applyNumberFormat="0" applyFont="0" applyAlignment="0" applyProtection="0"/>
    <xf numFmtId="0" fontId="34" fillId="8" borderId="8" applyNumberFormat="0" applyFont="0" applyAlignment="0" applyProtection="0"/>
    <xf numFmtId="0" fontId="34" fillId="8" borderId="8" applyNumberFormat="0" applyFont="0" applyAlignment="0" applyProtection="0"/>
    <xf numFmtId="0" fontId="4" fillId="8" borderId="8" applyNumberFormat="0" applyFont="0" applyAlignment="0" applyProtection="0"/>
    <xf numFmtId="165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3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34" fillId="8" borderId="8" applyNumberFormat="0" applyFont="0" applyAlignment="0" applyProtection="0"/>
    <xf numFmtId="0" fontId="4" fillId="8" borderId="8" applyNumberFormat="0" applyFont="0" applyAlignment="0" applyProtection="0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2" fillId="5" borderId="4" applyNumberFormat="0" applyAlignment="0" applyProtection="0"/>
    <xf numFmtId="0" fontId="12" fillId="5" borderId="4" applyNumberFormat="0" applyAlignment="0" applyProtection="0"/>
    <xf numFmtId="0" fontId="12" fillId="5" borderId="4" applyNumberFormat="0" applyAlignment="0" applyProtection="0"/>
    <xf numFmtId="0" fontId="12" fillId="5" borderId="4" applyNumberFormat="0" applyAlignment="0" applyProtection="0"/>
    <xf numFmtId="0" fontId="12" fillId="5" borderId="4" applyNumberFormat="0" applyAlignment="0" applyProtection="0"/>
    <xf numFmtId="0" fontId="12" fillId="5" borderId="4" applyNumberFormat="0" applyAlignment="0" applyProtection="0"/>
    <xf numFmtId="0" fontId="12" fillId="5" borderId="4" applyNumberFormat="0" applyAlignment="0" applyProtection="0"/>
    <xf numFmtId="0" fontId="12" fillId="5" borderId="4" applyNumberFormat="0" applyAlignment="0" applyProtection="0"/>
    <xf numFmtId="0" fontId="12" fillId="5" borderId="4" applyNumberFormat="0" applyAlignment="0" applyProtection="0"/>
    <xf numFmtId="0" fontId="12" fillId="5" borderId="4" applyNumberFormat="0" applyAlignment="0" applyProtection="0"/>
    <xf numFmtId="0" fontId="12" fillId="5" borderId="4" applyNumberFormat="0" applyAlignment="0" applyProtection="0"/>
    <xf numFmtId="0" fontId="12" fillId="5" borderId="4" applyNumberFormat="0" applyAlignment="0" applyProtection="0"/>
    <xf numFmtId="0" fontId="14" fillId="6" borderId="4" applyNumberFormat="0" applyAlignment="0" applyProtection="0"/>
    <xf numFmtId="0" fontId="14" fillId="6" borderId="4" applyNumberFormat="0" applyAlignment="0" applyProtection="0"/>
    <xf numFmtId="0" fontId="14" fillId="6" borderId="4" applyNumberFormat="0" applyAlignment="0" applyProtection="0"/>
    <xf numFmtId="0" fontId="14" fillId="6" borderId="4" applyNumberFormat="0" applyAlignment="0" applyProtection="0"/>
    <xf numFmtId="0" fontId="14" fillId="6" borderId="4" applyNumberFormat="0" applyAlignment="0" applyProtection="0"/>
    <xf numFmtId="0" fontId="14" fillId="6" borderId="4" applyNumberFormat="0" applyAlignment="0" applyProtection="0"/>
    <xf numFmtId="0" fontId="14" fillId="6" borderId="4" applyNumberFormat="0" applyAlignment="0" applyProtection="0"/>
    <xf numFmtId="0" fontId="14" fillId="6" borderId="4" applyNumberFormat="0" applyAlignment="0" applyProtection="0"/>
    <xf numFmtId="0" fontId="14" fillId="6" borderId="4" applyNumberFormat="0" applyAlignment="0" applyProtection="0"/>
    <xf numFmtId="0" fontId="14" fillId="6" borderId="4" applyNumberFormat="0" applyAlignment="0" applyProtection="0"/>
    <xf numFmtId="0" fontId="14" fillId="6" borderId="4" applyNumberFormat="0" applyAlignment="0" applyProtection="0"/>
    <xf numFmtId="0" fontId="14" fillId="6" borderId="4" applyNumberFormat="0" applyAlignment="0" applyProtection="0"/>
    <xf numFmtId="0" fontId="13" fillId="6" borderId="5" applyNumberFormat="0" applyAlignment="0" applyProtection="0"/>
    <xf numFmtId="0" fontId="13" fillId="6" borderId="5" applyNumberFormat="0" applyAlignment="0" applyProtection="0"/>
    <xf numFmtId="0" fontId="13" fillId="6" borderId="5" applyNumberFormat="0" applyAlignment="0" applyProtection="0"/>
    <xf numFmtId="0" fontId="13" fillId="6" borderId="5" applyNumberFormat="0" applyAlignment="0" applyProtection="0"/>
    <xf numFmtId="0" fontId="13" fillId="6" borderId="5" applyNumberFormat="0" applyAlignment="0" applyProtection="0"/>
    <xf numFmtId="0" fontId="13" fillId="6" borderId="5" applyNumberFormat="0" applyAlignment="0" applyProtection="0"/>
    <xf numFmtId="0" fontId="13" fillId="6" borderId="5" applyNumberFormat="0" applyAlignment="0" applyProtection="0"/>
    <xf numFmtId="0" fontId="13" fillId="6" borderId="5" applyNumberFormat="0" applyAlignment="0" applyProtection="0"/>
    <xf numFmtId="0" fontId="13" fillId="6" borderId="5" applyNumberFormat="0" applyAlignment="0" applyProtection="0"/>
    <xf numFmtId="0" fontId="13" fillId="6" borderId="5" applyNumberFormat="0" applyAlignment="0" applyProtection="0"/>
    <xf numFmtId="0" fontId="13" fillId="6" borderId="5" applyNumberFormat="0" applyAlignment="0" applyProtection="0"/>
    <xf numFmtId="0" fontId="13" fillId="6" borderId="5" applyNumberFormat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9" borderId="0" applyNumberFormat="0" applyBorder="0" applyAlignment="0" applyProtection="0"/>
    <xf numFmtId="0" fontId="20" fillId="29" borderId="0" applyNumberFormat="0" applyBorder="0" applyAlignment="0" applyProtection="0"/>
    <xf numFmtId="0" fontId="20" fillId="29" borderId="0" applyNumberFormat="0" applyBorder="0" applyAlignment="0" applyProtection="0"/>
    <xf numFmtId="0" fontId="20" fillId="29" borderId="0" applyNumberFormat="0" applyBorder="0" applyAlignment="0" applyProtection="0"/>
    <xf numFmtId="0" fontId="20" fillId="29" borderId="0" applyNumberFormat="0" applyBorder="0" applyAlignment="0" applyProtection="0"/>
    <xf numFmtId="0" fontId="20" fillId="29" borderId="0" applyNumberFormat="0" applyBorder="0" applyAlignment="0" applyProtection="0"/>
    <xf numFmtId="0" fontId="20" fillId="29" borderId="0" applyNumberFormat="0" applyBorder="0" applyAlignment="0" applyProtection="0"/>
    <xf numFmtId="0" fontId="20" fillId="29" borderId="0" applyNumberFormat="0" applyBorder="0" applyAlignment="0" applyProtection="0"/>
    <xf numFmtId="0" fontId="20" fillId="29" borderId="0" applyNumberFormat="0" applyBorder="0" applyAlignment="0" applyProtection="0"/>
    <xf numFmtId="0" fontId="20" fillId="29" borderId="0" applyNumberFormat="0" applyBorder="0" applyAlignment="0" applyProtection="0"/>
    <xf numFmtId="0" fontId="20" fillId="29" borderId="0" applyNumberFormat="0" applyBorder="0" applyAlignment="0" applyProtection="0"/>
    <xf numFmtId="0" fontId="20" fillId="29" borderId="0" applyNumberFormat="0" applyBorder="0" applyAlignment="0" applyProtection="0"/>
    <xf numFmtId="165" fontId="3" fillId="0" borderId="0"/>
    <xf numFmtId="44" fontId="3" fillId="0" borderId="0" applyFont="0" applyFill="0" applyBorder="0" applyAlignment="0" applyProtection="0"/>
    <xf numFmtId="165" fontId="35" fillId="0" borderId="0"/>
    <xf numFmtId="44" fontId="35" fillId="0" borderId="0" applyFont="0" applyFill="0" applyBorder="0" applyAlignment="0" applyProtection="0"/>
    <xf numFmtId="165" fontId="3" fillId="8" borderId="8" applyNumberFormat="0" applyFont="0" applyAlignment="0" applyProtection="0"/>
    <xf numFmtId="165" fontId="33" fillId="0" borderId="0" applyFill="0" applyBorder="0" applyAlignment="0" applyProtection="0">
      <alignment vertical="top"/>
      <protection locked="0"/>
    </xf>
    <xf numFmtId="165" fontId="3" fillId="0" borderId="0"/>
    <xf numFmtId="165" fontId="34" fillId="34" borderId="0" applyNumberFormat="0" applyBorder="0" applyAlignment="0" applyProtection="0"/>
    <xf numFmtId="165" fontId="3" fillId="10" borderId="0" applyNumberFormat="0" applyBorder="0" applyAlignment="0" applyProtection="0"/>
    <xf numFmtId="165" fontId="3" fillId="10" borderId="0" applyNumberFormat="0" applyBorder="0" applyAlignment="0" applyProtection="0"/>
    <xf numFmtId="165" fontId="3" fillId="10" borderId="0" applyNumberFormat="0" applyBorder="0" applyAlignment="0" applyProtection="0"/>
    <xf numFmtId="165" fontId="3" fillId="10" borderId="0" applyNumberFormat="0" applyBorder="0" applyAlignment="0" applyProtection="0"/>
    <xf numFmtId="165" fontId="3" fillId="10" borderId="0" applyNumberFormat="0" applyBorder="0" applyAlignment="0" applyProtection="0"/>
    <xf numFmtId="165" fontId="3" fillId="10" borderId="0" applyNumberFormat="0" applyBorder="0" applyAlignment="0" applyProtection="0"/>
    <xf numFmtId="165" fontId="3" fillId="10" borderId="0" applyNumberFormat="0" applyBorder="0" applyAlignment="0" applyProtection="0"/>
    <xf numFmtId="165" fontId="3" fillId="10" borderId="0" applyNumberFormat="0" applyBorder="0" applyAlignment="0" applyProtection="0"/>
    <xf numFmtId="165" fontId="3" fillId="10" borderId="0" applyNumberFormat="0" applyBorder="0" applyAlignment="0" applyProtection="0"/>
    <xf numFmtId="165" fontId="3" fillId="10" borderId="0" applyNumberFormat="0" applyBorder="0" applyAlignment="0" applyProtection="0"/>
    <xf numFmtId="165" fontId="3" fillId="10" borderId="0" applyNumberFormat="0" applyBorder="0" applyAlignment="0" applyProtection="0"/>
    <xf numFmtId="165" fontId="3" fillId="10" borderId="0" applyNumberFormat="0" applyBorder="0" applyAlignment="0" applyProtection="0"/>
    <xf numFmtId="165" fontId="34" fillId="35" borderId="0" applyNumberFormat="0" applyBorder="0" applyAlignment="0" applyProtection="0"/>
    <xf numFmtId="165" fontId="3" fillId="14" borderId="0" applyNumberFormat="0" applyBorder="0" applyAlignment="0" applyProtection="0"/>
    <xf numFmtId="165" fontId="3" fillId="14" borderId="0" applyNumberFormat="0" applyBorder="0" applyAlignment="0" applyProtection="0"/>
    <xf numFmtId="165" fontId="3" fillId="14" borderId="0" applyNumberFormat="0" applyBorder="0" applyAlignment="0" applyProtection="0"/>
    <xf numFmtId="165" fontId="3" fillId="14" borderId="0" applyNumberFormat="0" applyBorder="0" applyAlignment="0" applyProtection="0"/>
    <xf numFmtId="165" fontId="3" fillId="14" borderId="0" applyNumberFormat="0" applyBorder="0" applyAlignment="0" applyProtection="0"/>
    <xf numFmtId="165" fontId="3" fillId="14" borderId="0" applyNumberFormat="0" applyBorder="0" applyAlignment="0" applyProtection="0"/>
    <xf numFmtId="165" fontId="3" fillId="14" borderId="0" applyNumberFormat="0" applyBorder="0" applyAlignment="0" applyProtection="0"/>
    <xf numFmtId="165" fontId="3" fillId="14" borderId="0" applyNumberFormat="0" applyBorder="0" applyAlignment="0" applyProtection="0"/>
    <xf numFmtId="165" fontId="3" fillId="14" borderId="0" applyNumberFormat="0" applyBorder="0" applyAlignment="0" applyProtection="0"/>
    <xf numFmtId="165" fontId="3" fillId="14" borderId="0" applyNumberFormat="0" applyBorder="0" applyAlignment="0" applyProtection="0"/>
    <xf numFmtId="165" fontId="3" fillId="14" borderId="0" applyNumberFormat="0" applyBorder="0" applyAlignment="0" applyProtection="0"/>
    <xf numFmtId="165" fontId="3" fillId="14" borderId="0" applyNumberFormat="0" applyBorder="0" applyAlignment="0" applyProtection="0"/>
    <xf numFmtId="165" fontId="34" fillId="36" borderId="0" applyNumberFormat="0" applyBorder="0" applyAlignment="0" applyProtection="0"/>
    <xf numFmtId="165" fontId="3" fillId="18" borderId="0" applyNumberFormat="0" applyBorder="0" applyAlignment="0" applyProtection="0"/>
    <xf numFmtId="165" fontId="3" fillId="18" borderId="0" applyNumberFormat="0" applyBorder="0" applyAlignment="0" applyProtection="0"/>
    <xf numFmtId="165" fontId="3" fillId="18" borderId="0" applyNumberFormat="0" applyBorder="0" applyAlignment="0" applyProtection="0"/>
    <xf numFmtId="165" fontId="3" fillId="18" borderId="0" applyNumberFormat="0" applyBorder="0" applyAlignment="0" applyProtection="0"/>
    <xf numFmtId="165" fontId="3" fillId="18" borderId="0" applyNumberFormat="0" applyBorder="0" applyAlignment="0" applyProtection="0"/>
    <xf numFmtId="165" fontId="3" fillId="18" borderId="0" applyNumberFormat="0" applyBorder="0" applyAlignment="0" applyProtection="0"/>
    <xf numFmtId="165" fontId="3" fillId="18" borderId="0" applyNumberFormat="0" applyBorder="0" applyAlignment="0" applyProtection="0"/>
    <xf numFmtId="165" fontId="3" fillId="18" borderId="0" applyNumberFormat="0" applyBorder="0" applyAlignment="0" applyProtection="0"/>
    <xf numFmtId="165" fontId="3" fillId="18" borderId="0" applyNumberFormat="0" applyBorder="0" applyAlignment="0" applyProtection="0"/>
    <xf numFmtId="165" fontId="3" fillId="18" borderId="0" applyNumberFormat="0" applyBorder="0" applyAlignment="0" applyProtection="0"/>
    <xf numFmtId="165" fontId="3" fillId="18" borderId="0" applyNumberFormat="0" applyBorder="0" applyAlignment="0" applyProtection="0"/>
    <xf numFmtId="165" fontId="3" fillId="18" borderId="0" applyNumberFormat="0" applyBorder="0" applyAlignment="0" applyProtection="0"/>
    <xf numFmtId="165" fontId="34" fillId="37" borderId="0" applyNumberFormat="0" applyBorder="0" applyAlignment="0" applyProtection="0"/>
    <xf numFmtId="165" fontId="3" fillId="22" borderId="0" applyNumberFormat="0" applyBorder="0" applyAlignment="0" applyProtection="0"/>
    <xf numFmtId="165" fontId="3" fillId="22" borderId="0" applyNumberFormat="0" applyBorder="0" applyAlignment="0" applyProtection="0"/>
    <xf numFmtId="165" fontId="3" fillId="22" borderId="0" applyNumberFormat="0" applyBorder="0" applyAlignment="0" applyProtection="0"/>
    <xf numFmtId="165" fontId="3" fillId="22" borderId="0" applyNumberFormat="0" applyBorder="0" applyAlignment="0" applyProtection="0"/>
    <xf numFmtId="165" fontId="3" fillId="22" borderId="0" applyNumberFormat="0" applyBorder="0" applyAlignment="0" applyProtection="0"/>
    <xf numFmtId="165" fontId="3" fillId="22" borderId="0" applyNumberFormat="0" applyBorder="0" applyAlignment="0" applyProtection="0"/>
    <xf numFmtId="165" fontId="3" fillId="22" borderId="0" applyNumberFormat="0" applyBorder="0" applyAlignment="0" applyProtection="0"/>
    <xf numFmtId="165" fontId="3" fillId="22" borderId="0" applyNumberFormat="0" applyBorder="0" applyAlignment="0" applyProtection="0"/>
    <xf numFmtId="165" fontId="3" fillId="22" borderId="0" applyNumberFormat="0" applyBorder="0" applyAlignment="0" applyProtection="0"/>
    <xf numFmtId="165" fontId="3" fillId="22" borderId="0" applyNumberFormat="0" applyBorder="0" applyAlignment="0" applyProtection="0"/>
    <xf numFmtId="165" fontId="3" fillId="22" borderId="0" applyNumberFormat="0" applyBorder="0" applyAlignment="0" applyProtection="0"/>
    <xf numFmtId="165" fontId="3" fillId="22" borderId="0" applyNumberFormat="0" applyBorder="0" applyAlignment="0" applyProtection="0"/>
    <xf numFmtId="165" fontId="34" fillId="38" borderId="0" applyNumberFormat="0" applyBorder="0" applyAlignment="0" applyProtection="0"/>
    <xf numFmtId="165" fontId="3" fillId="26" borderId="0" applyNumberFormat="0" applyBorder="0" applyAlignment="0" applyProtection="0"/>
    <xf numFmtId="165" fontId="3" fillId="26" borderId="0" applyNumberFormat="0" applyBorder="0" applyAlignment="0" applyProtection="0"/>
    <xf numFmtId="165" fontId="3" fillId="26" borderId="0" applyNumberFormat="0" applyBorder="0" applyAlignment="0" applyProtection="0"/>
    <xf numFmtId="165" fontId="3" fillId="26" borderId="0" applyNumberFormat="0" applyBorder="0" applyAlignment="0" applyProtection="0"/>
    <xf numFmtId="165" fontId="3" fillId="26" borderId="0" applyNumberFormat="0" applyBorder="0" applyAlignment="0" applyProtection="0"/>
    <xf numFmtId="165" fontId="3" fillId="26" borderId="0" applyNumberFormat="0" applyBorder="0" applyAlignment="0" applyProtection="0"/>
    <xf numFmtId="165" fontId="3" fillId="26" borderId="0" applyNumberFormat="0" applyBorder="0" applyAlignment="0" applyProtection="0"/>
    <xf numFmtId="165" fontId="3" fillId="26" borderId="0" applyNumberFormat="0" applyBorder="0" applyAlignment="0" applyProtection="0"/>
    <xf numFmtId="165" fontId="3" fillId="26" borderId="0" applyNumberFormat="0" applyBorder="0" applyAlignment="0" applyProtection="0"/>
    <xf numFmtId="165" fontId="3" fillId="26" borderId="0" applyNumberFormat="0" applyBorder="0" applyAlignment="0" applyProtection="0"/>
    <xf numFmtId="165" fontId="3" fillId="26" borderId="0" applyNumberFormat="0" applyBorder="0" applyAlignment="0" applyProtection="0"/>
    <xf numFmtId="165" fontId="3" fillId="26" borderId="0" applyNumberFormat="0" applyBorder="0" applyAlignment="0" applyProtection="0"/>
    <xf numFmtId="165" fontId="34" fillId="39" borderId="0" applyNumberFormat="0" applyBorder="0" applyAlignment="0" applyProtection="0"/>
    <xf numFmtId="165" fontId="3" fillId="30" borderId="0" applyNumberFormat="0" applyBorder="0" applyAlignment="0" applyProtection="0"/>
    <xf numFmtId="165" fontId="3" fillId="30" borderId="0" applyNumberFormat="0" applyBorder="0" applyAlignment="0" applyProtection="0"/>
    <xf numFmtId="165" fontId="3" fillId="30" borderId="0" applyNumberFormat="0" applyBorder="0" applyAlignment="0" applyProtection="0"/>
    <xf numFmtId="165" fontId="3" fillId="30" borderId="0" applyNumberFormat="0" applyBorder="0" applyAlignment="0" applyProtection="0"/>
    <xf numFmtId="165" fontId="3" fillId="30" borderId="0" applyNumberFormat="0" applyBorder="0" applyAlignment="0" applyProtection="0"/>
    <xf numFmtId="165" fontId="3" fillId="30" borderId="0" applyNumberFormat="0" applyBorder="0" applyAlignment="0" applyProtection="0"/>
    <xf numFmtId="165" fontId="3" fillId="30" borderId="0" applyNumberFormat="0" applyBorder="0" applyAlignment="0" applyProtection="0"/>
    <xf numFmtId="165" fontId="3" fillId="30" borderId="0" applyNumberFormat="0" applyBorder="0" applyAlignment="0" applyProtection="0"/>
    <xf numFmtId="165" fontId="3" fillId="30" borderId="0" applyNumberFormat="0" applyBorder="0" applyAlignment="0" applyProtection="0"/>
    <xf numFmtId="165" fontId="3" fillId="30" borderId="0" applyNumberFormat="0" applyBorder="0" applyAlignment="0" applyProtection="0"/>
    <xf numFmtId="165" fontId="3" fillId="30" borderId="0" applyNumberFormat="0" applyBorder="0" applyAlignment="0" applyProtection="0"/>
    <xf numFmtId="165" fontId="3" fillId="30" borderId="0" applyNumberFormat="0" applyBorder="0" applyAlignment="0" applyProtection="0"/>
    <xf numFmtId="165" fontId="34" fillId="40" borderId="0" applyNumberFormat="0" applyBorder="0" applyAlignment="0" applyProtection="0"/>
    <xf numFmtId="165" fontId="3" fillId="11" borderId="0" applyNumberFormat="0" applyBorder="0" applyAlignment="0" applyProtection="0"/>
    <xf numFmtId="165" fontId="3" fillId="11" borderId="0" applyNumberFormat="0" applyBorder="0" applyAlignment="0" applyProtection="0"/>
    <xf numFmtId="165" fontId="3" fillId="11" borderId="0" applyNumberFormat="0" applyBorder="0" applyAlignment="0" applyProtection="0"/>
    <xf numFmtId="165" fontId="3" fillId="11" borderId="0" applyNumberFormat="0" applyBorder="0" applyAlignment="0" applyProtection="0"/>
    <xf numFmtId="165" fontId="3" fillId="11" borderId="0" applyNumberFormat="0" applyBorder="0" applyAlignment="0" applyProtection="0"/>
    <xf numFmtId="165" fontId="3" fillId="11" borderId="0" applyNumberFormat="0" applyBorder="0" applyAlignment="0" applyProtection="0"/>
    <xf numFmtId="165" fontId="3" fillId="11" borderId="0" applyNumberFormat="0" applyBorder="0" applyAlignment="0" applyProtection="0"/>
    <xf numFmtId="165" fontId="3" fillId="11" borderId="0" applyNumberFormat="0" applyBorder="0" applyAlignment="0" applyProtection="0"/>
    <xf numFmtId="165" fontId="3" fillId="11" borderId="0" applyNumberFormat="0" applyBorder="0" applyAlignment="0" applyProtection="0"/>
    <xf numFmtId="165" fontId="3" fillId="11" borderId="0" applyNumberFormat="0" applyBorder="0" applyAlignment="0" applyProtection="0"/>
    <xf numFmtId="165" fontId="3" fillId="11" borderId="0" applyNumberFormat="0" applyBorder="0" applyAlignment="0" applyProtection="0"/>
    <xf numFmtId="165" fontId="3" fillId="11" borderId="0" applyNumberFormat="0" applyBorder="0" applyAlignment="0" applyProtection="0"/>
    <xf numFmtId="165" fontId="34" fillId="41" borderId="0" applyNumberFormat="0" applyBorder="0" applyAlignment="0" applyProtection="0"/>
    <xf numFmtId="165" fontId="3" fillId="15" borderId="0" applyNumberFormat="0" applyBorder="0" applyAlignment="0" applyProtection="0"/>
    <xf numFmtId="165" fontId="3" fillId="15" borderId="0" applyNumberFormat="0" applyBorder="0" applyAlignment="0" applyProtection="0"/>
    <xf numFmtId="165" fontId="3" fillId="15" borderId="0" applyNumberFormat="0" applyBorder="0" applyAlignment="0" applyProtection="0"/>
    <xf numFmtId="165" fontId="3" fillId="15" borderId="0" applyNumberFormat="0" applyBorder="0" applyAlignment="0" applyProtection="0"/>
    <xf numFmtId="165" fontId="3" fillId="15" borderId="0" applyNumberFormat="0" applyBorder="0" applyAlignment="0" applyProtection="0"/>
    <xf numFmtId="165" fontId="3" fillId="15" borderId="0" applyNumberFormat="0" applyBorder="0" applyAlignment="0" applyProtection="0"/>
    <xf numFmtId="165" fontId="3" fillId="15" borderId="0" applyNumberFormat="0" applyBorder="0" applyAlignment="0" applyProtection="0"/>
    <xf numFmtId="165" fontId="3" fillId="15" borderId="0" applyNumberFormat="0" applyBorder="0" applyAlignment="0" applyProtection="0"/>
    <xf numFmtId="165" fontId="3" fillId="15" borderId="0" applyNumberFormat="0" applyBorder="0" applyAlignment="0" applyProtection="0"/>
    <xf numFmtId="165" fontId="3" fillId="15" borderId="0" applyNumberFormat="0" applyBorder="0" applyAlignment="0" applyProtection="0"/>
    <xf numFmtId="165" fontId="3" fillId="15" borderId="0" applyNumberFormat="0" applyBorder="0" applyAlignment="0" applyProtection="0"/>
    <xf numFmtId="165" fontId="3" fillId="15" borderId="0" applyNumberFormat="0" applyBorder="0" applyAlignment="0" applyProtection="0"/>
    <xf numFmtId="165" fontId="34" fillId="42" borderId="0" applyNumberFormat="0" applyBorder="0" applyAlignment="0" applyProtection="0"/>
    <xf numFmtId="165" fontId="3" fillId="19" borderId="0" applyNumberFormat="0" applyBorder="0" applyAlignment="0" applyProtection="0"/>
    <xf numFmtId="165" fontId="3" fillId="19" borderId="0" applyNumberFormat="0" applyBorder="0" applyAlignment="0" applyProtection="0"/>
    <xf numFmtId="165" fontId="3" fillId="19" borderId="0" applyNumberFormat="0" applyBorder="0" applyAlignment="0" applyProtection="0"/>
    <xf numFmtId="165" fontId="3" fillId="19" borderId="0" applyNumberFormat="0" applyBorder="0" applyAlignment="0" applyProtection="0"/>
    <xf numFmtId="165" fontId="3" fillId="19" borderId="0" applyNumberFormat="0" applyBorder="0" applyAlignment="0" applyProtection="0"/>
    <xf numFmtId="165" fontId="3" fillId="19" borderId="0" applyNumberFormat="0" applyBorder="0" applyAlignment="0" applyProtection="0"/>
    <xf numFmtId="165" fontId="3" fillId="19" borderId="0" applyNumberFormat="0" applyBorder="0" applyAlignment="0" applyProtection="0"/>
    <xf numFmtId="165" fontId="3" fillId="19" borderId="0" applyNumberFormat="0" applyBorder="0" applyAlignment="0" applyProtection="0"/>
    <xf numFmtId="165" fontId="3" fillId="19" borderId="0" applyNumberFormat="0" applyBorder="0" applyAlignment="0" applyProtection="0"/>
    <xf numFmtId="165" fontId="3" fillId="19" borderId="0" applyNumberFormat="0" applyBorder="0" applyAlignment="0" applyProtection="0"/>
    <xf numFmtId="165" fontId="3" fillId="19" borderId="0" applyNumberFormat="0" applyBorder="0" applyAlignment="0" applyProtection="0"/>
    <xf numFmtId="165" fontId="3" fillId="19" borderId="0" applyNumberFormat="0" applyBorder="0" applyAlignment="0" applyProtection="0"/>
    <xf numFmtId="165" fontId="34" fillId="37" borderId="0" applyNumberFormat="0" applyBorder="0" applyAlignment="0" applyProtection="0"/>
    <xf numFmtId="165" fontId="3" fillId="23" borderId="0" applyNumberFormat="0" applyBorder="0" applyAlignment="0" applyProtection="0"/>
    <xf numFmtId="165" fontId="3" fillId="23" borderId="0" applyNumberFormat="0" applyBorder="0" applyAlignment="0" applyProtection="0"/>
    <xf numFmtId="165" fontId="3" fillId="23" borderId="0" applyNumberFormat="0" applyBorder="0" applyAlignment="0" applyProtection="0"/>
    <xf numFmtId="165" fontId="3" fillId="23" borderId="0" applyNumberFormat="0" applyBorder="0" applyAlignment="0" applyProtection="0"/>
    <xf numFmtId="165" fontId="3" fillId="23" borderId="0" applyNumberFormat="0" applyBorder="0" applyAlignment="0" applyProtection="0"/>
    <xf numFmtId="165" fontId="3" fillId="23" borderId="0" applyNumberFormat="0" applyBorder="0" applyAlignment="0" applyProtection="0"/>
    <xf numFmtId="165" fontId="3" fillId="23" borderId="0" applyNumberFormat="0" applyBorder="0" applyAlignment="0" applyProtection="0"/>
    <xf numFmtId="165" fontId="3" fillId="23" borderId="0" applyNumberFormat="0" applyBorder="0" applyAlignment="0" applyProtection="0"/>
    <xf numFmtId="165" fontId="3" fillId="23" borderId="0" applyNumberFormat="0" applyBorder="0" applyAlignment="0" applyProtection="0"/>
    <xf numFmtId="165" fontId="3" fillId="23" borderId="0" applyNumberFormat="0" applyBorder="0" applyAlignment="0" applyProtection="0"/>
    <xf numFmtId="165" fontId="3" fillId="23" borderId="0" applyNumberFormat="0" applyBorder="0" applyAlignment="0" applyProtection="0"/>
    <xf numFmtId="165" fontId="3" fillId="23" borderId="0" applyNumberFormat="0" applyBorder="0" applyAlignment="0" applyProtection="0"/>
    <xf numFmtId="165" fontId="34" fillId="40" borderId="0" applyNumberFormat="0" applyBorder="0" applyAlignment="0" applyProtection="0"/>
    <xf numFmtId="165" fontId="3" fillId="27" borderId="0" applyNumberFormat="0" applyBorder="0" applyAlignment="0" applyProtection="0"/>
    <xf numFmtId="165" fontId="3" fillId="27" borderId="0" applyNumberFormat="0" applyBorder="0" applyAlignment="0" applyProtection="0"/>
    <xf numFmtId="165" fontId="3" fillId="27" borderId="0" applyNumberFormat="0" applyBorder="0" applyAlignment="0" applyProtection="0"/>
    <xf numFmtId="165" fontId="3" fillId="27" borderId="0" applyNumberFormat="0" applyBorder="0" applyAlignment="0" applyProtection="0"/>
    <xf numFmtId="165" fontId="3" fillId="27" borderId="0" applyNumberFormat="0" applyBorder="0" applyAlignment="0" applyProtection="0"/>
    <xf numFmtId="165" fontId="3" fillId="27" borderId="0" applyNumberFormat="0" applyBorder="0" applyAlignment="0" applyProtection="0"/>
    <xf numFmtId="165" fontId="3" fillId="27" borderId="0" applyNumberFormat="0" applyBorder="0" applyAlignment="0" applyProtection="0"/>
    <xf numFmtId="165" fontId="3" fillId="27" borderId="0" applyNumberFormat="0" applyBorder="0" applyAlignment="0" applyProtection="0"/>
    <xf numFmtId="165" fontId="3" fillId="27" borderId="0" applyNumberFormat="0" applyBorder="0" applyAlignment="0" applyProtection="0"/>
    <xf numFmtId="165" fontId="3" fillId="27" borderId="0" applyNumberFormat="0" applyBorder="0" applyAlignment="0" applyProtection="0"/>
    <xf numFmtId="165" fontId="3" fillId="27" borderId="0" applyNumberFormat="0" applyBorder="0" applyAlignment="0" applyProtection="0"/>
    <xf numFmtId="165" fontId="3" fillId="27" borderId="0" applyNumberFormat="0" applyBorder="0" applyAlignment="0" applyProtection="0"/>
    <xf numFmtId="165" fontId="34" fillId="43" borderId="0" applyNumberFormat="0" applyBorder="0" applyAlignment="0" applyProtection="0"/>
    <xf numFmtId="165" fontId="3" fillId="31" borderId="0" applyNumberFormat="0" applyBorder="0" applyAlignment="0" applyProtection="0"/>
    <xf numFmtId="165" fontId="3" fillId="31" borderId="0" applyNumberFormat="0" applyBorder="0" applyAlignment="0" applyProtection="0"/>
    <xf numFmtId="165" fontId="3" fillId="31" borderId="0" applyNumberFormat="0" applyBorder="0" applyAlignment="0" applyProtection="0"/>
    <xf numFmtId="165" fontId="3" fillId="31" borderId="0" applyNumberFormat="0" applyBorder="0" applyAlignment="0" applyProtection="0"/>
    <xf numFmtId="165" fontId="3" fillId="31" borderId="0" applyNumberFormat="0" applyBorder="0" applyAlignment="0" applyProtection="0"/>
    <xf numFmtId="165" fontId="3" fillId="31" borderId="0" applyNumberFormat="0" applyBorder="0" applyAlignment="0" applyProtection="0"/>
    <xf numFmtId="165" fontId="3" fillId="31" borderId="0" applyNumberFormat="0" applyBorder="0" applyAlignment="0" applyProtection="0"/>
    <xf numFmtId="165" fontId="3" fillId="31" borderId="0" applyNumberFormat="0" applyBorder="0" applyAlignment="0" applyProtection="0"/>
    <xf numFmtId="165" fontId="3" fillId="31" borderId="0" applyNumberFormat="0" applyBorder="0" applyAlignment="0" applyProtection="0"/>
    <xf numFmtId="165" fontId="3" fillId="31" borderId="0" applyNumberFormat="0" applyBorder="0" applyAlignment="0" applyProtection="0"/>
    <xf numFmtId="165" fontId="3" fillId="31" borderId="0" applyNumberFormat="0" applyBorder="0" applyAlignment="0" applyProtection="0"/>
    <xf numFmtId="165" fontId="3" fillId="31" borderId="0" applyNumberFormat="0" applyBorder="0" applyAlignment="0" applyProtection="0"/>
    <xf numFmtId="165" fontId="41" fillId="44" borderId="0" applyNumberFormat="0" applyBorder="0" applyAlignment="0" applyProtection="0"/>
    <xf numFmtId="165" fontId="20" fillId="12" borderId="0" applyNumberFormat="0" applyBorder="0" applyAlignment="0" applyProtection="0"/>
    <xf numFmtId="165" fontId="20" fillId="12" borderId="0" applyNumberFormat="0" applyBorder="0" applyAlignment="0" applyProtection="0"/>
    <xf numFmtId="165" fontId="20" fillId="12" borderId="0" applyNumberFormat="0" applyBorder="0" applyAlignment="0" applyProtection="0"/>
    <xf numFmtId="165" fontId="20" fillId="12" borderId="0" applyNumberFormat="0" applyBorder="0" applyAlignment="0" applyProtection="0"/>
    <xf numFmtId="165" fontId="20" fillId="12" borderId="0" applyNumberFormat="0" applyBorder="0" applyAlignment="0" applyProtection="0"/>
    <xf numFmtId="165" fontId="20" fillId="12" borderId="0" applyNumberFormat="0" applyBorder="0" applyAlignment="0" applyProtection="0"/>
    <xf numFmtId="165" fontId="20" fillId="12" borderId="0" applyNumberFormat="0" applyBorder="0" applyAlignment="0" applyProtection="0"/>
    <xf numFmtId="165" fontId="20" fillId="12" borderId="0" applyNumberFormat="0" applyBorder="0" applyAlignment="0" applyProtection="0"/>
    <xf numFmtId="165" fontId="20" fillId="12" borderId="0" applyNumberFormat="0" applyBorder="0" applyAlignment="0" applyProtection="0"/>
    <xf numFmtId="165" fontId="20" fillId="12" borderId="0" applyNumberFormat="0" applyBorder="0" applyAlignment="0" applyProtection="0"/>
    <xf numFmtId="165" fontId="20" fillId="12" borderId="0" applyNumberFormat="0" applyBorder="0" applyAlignment="0" applyProtection="0"/>
    <xf numFmtId="165" fontId="20" fillId="12" borderId="0" applyNumberFormat="0" applyBorder="0" applyAlignment="0" applyProtection="0"/>
    <xf numFmtId="165" fontId="41" fillId="41" borderId="0" applyNumberFormat="0" applyBorder="0" applyAlignment="0" applyProtection="0"/>
    <xf numFmtId="165" fontId="20" fillId="16" borderId="0" applyNumberFormat="0" applyBorder="0" applyAlignment="0" applyProtection="0"/>
    <xf numFmtId="165" fontId="20" fillId="16" borderId="0" applyNumberFormat="0" applyBorder="0" applyAlignment="0" applyProtection="0"/>
    <xf numFmtId="165" fontId="20" fillId="16" borderId="0" applyNumberFormat="0" applyBorder="0" applyAlignment="0" applyProtection="0"/>
    <xf numFmtId="165" fontId="20" fillId="16" borderId="0" applyNumberFormat="0" applyBorder="0" applyAlignment="0" applyProtection="0"/>
    <xf numFmtId="165" fontId="20" fillId="16" borderId="0" applyNumberFormat="0" applyBorder="0" applyAlignment="0" applyProtection="0"/>
    <xf numFmtId="165" fontId="20" fillId="16" borderId="0" applyNumberFormat="0" applyBorder="0" applyAlignment="0" applyProtection="0"/>
    <xf numFmtId="165" fontId="20" fillId="16" borderId="0" applyNumberFormat="0" applyBorder="0" applyAlignment="0" applyProtection="0"/>
    <xf numFmtId="165" fontId="20" fillId="16" borderId="0" applyNumberFormat="0" applyBorder="0" applyAlignment="0" applyProtection="0"/>
    <xf numFmtId="165" fontId="20" fillId="16" borderId="0" applyNumberFormat="0" applyBorder="0" applyAlignment="0" applyProtection="0"/>
    <xf numFmtId="165" fontId="20" fillId="16" borderId="0" applyNumberFormat="0" applyBorder="0" applyAlignment="0" applyProtection="0"/>
    <xf numFmtId="165" fontId="20" fillId="16" borderId="0" applyNumberFormat="0" applyBorder="0" applyAlignment="0" applyProtection="0"/>
    <xf numFmtId="165" fontId="20" fillId="16" borderId="0" applyNumberFormat="0" applyBorder="0" applyAlignment="0" applyProtection="0"/>
    <xf numFmtId="165" fontId="41" fillId="42" borderId="0" applyNumberFormat="0" applyBorder="0" applyAlignment="0" applyProtection="0"/>
    <xf numFmtId="165" fontId="20" fillId="20" borderId="0" applyNumberFormat="0" applyBorder="0" applyAlignment="0" applyProtection="0"/>
    <xf numFmtId="165" fontId="20" fillId="20" borderId="0" applyNumberFormat="0" applyBorder="0" applyAlignment="0" applyProtection="0"/>
    <xf numFmtId="165" fontId="20" fillId="20" borderId="0" applyNumberFormat="0" applyBorder="0" applyAlignment="0" applyProtection="0"/>
    <xf numFmtId="165" fontId="20" fillId="20" borderId="0" applyNumberFormat="0" applyBorder="0" applyAlignment="0" applyProtection="0"/>
    <xf numFmtId="165" fontId="20" fillId="20" borderId="0" applyNumberFormat="0" applyBorder="0" applyAlignment="0" applyProtection="0"/>
    <xf numFmtId="165" fontId="20" fillId="20" borderId="0" applyNumberFormat="0" applyBorder="0" applyAlignment="0" applyProtection="0"/>
    <xf numFmtId="165" fontId="20" fillId="20" borderId="0" applyNumberFormat="0" applyBorder="0" applyAlignment="0" applyProtection="0"/>
    <xf numFmtId="165" fontId="20" fillId="20" borderId="0" applyNumberFormat="0" applyBorder="0" applyAlignment="0" applyProtection="0"/>
    <xf numFmtId="165" fontId="20" fillId="20" borderId="0" applyNumberFormat="0" applyBorder="0" applyAlignment="0" applyProtection="0"/>
    <xf numFmtId="165" fontId="20" fillId="20" borderId="0" applyNumberFormat="0" applyBorder="0" applyAlignment="0" applyProtection="0"/>
    <xf numFmtId="165" fontId="20" fillId="20" borderId="0" applyNumberFormat="0" applyBorder="0" applyAlignment="0" applyProtection="0"/>
    <xf numFmtId="165" fontId="20" fillId="20" borderId="0" applyNumberFormat="0" applyBorder="0" applyAlignment="0" applyProtection="0"/>
    <xf numFmtId="165" fontId="41" fillId="45" borderId="0" applyNumberFormat="0" applyBorder="0" applyAlignment="0" applyProtection="0"/>
    <xf numFmtId="165" fontId="20" fillId="24" borderId="0" applyNumberFormat="0" applyBorder="0" applyAlignment="0" applyProtection="0"/>
    <xf numFmtId="165" fontId="20" fillId="24" borderId="0" applyNumberFormat="0" applyBorder="0" applyAlignment="0" applyProtection="0"/>
    <xf numFmtId="165" fontId="20" fillId="24" borderId="0" applyNumberFormat="0" applyBorder="0" applyAlignment="0" applyProtection="0"/>
    <xf numFmtId="165" fontId="20" fillId="24" borderId="0" applyNumberFormat="0" applyBorder="0" applyAlignment="0" applyProtection="0"/>
    <xf numFmtId="165" fontId="20" fillId="24" borderId="0" applyNumberFormat="0" applyBorder="0" applyAlignment="0" applyProtection="0"/>
    <xf numFmtId="165" fontId="20" fillId="24" borderId="0" applyNumberFormat="0" applyBorder="0" applyAlignment="0" applyProtection="0"/>
    <xf numFmtId="165" fontId="20" fillId="24" borderId="0" applyNumberFormat="0" applyBorder="0" applyAlignment="0" applyProtection="0"/>
    <xf numFmtId="165" fontId="20" fillId="24" borderId="0" applyNumberFormat="0" applyBorder="0" applyAlignment="0" applyProtection="0"/>
    <xf numFmtId="165" fontId="20" fillId="24" borderId="0" applyNumberFormat="0" applyBorder="0" applyAlignment="0" applyProtection="0"/>
    <xf numFmtId="165" fontId="20" fillId="24" borderId="0" applyNumberFormat="0" applyBorder="0" applyAlignment="0" applyProtection="0"/>
    <xf numFmtId="165" fontId="20" fillId="24" borderId="0" applyNumberFormat="0" applyBorder="0" applyAlignment="0" applyProtection="0"/>
    <xf numFmtId="165" fontId="20" fillId="24" borderId="0" applyNumberFormat="0" applyBorder="0" applyAlignment="0" applyProtection="0"/>
    <xf numFmtId="165" fontId="41" fillId="46" borderId="0" applyNumberFormat="0" applyBorder="0" applyAlignment="0" applyProtection="0"/>
    <xf numFmtId="165" fontId="20" fillId="28" borderId="0" applyNumberFormat="0" applyBorder="0" applyAlignment="0" applyProtection="0"/>
    <xf numFmtId="165" fontId="20" fillId="28" borderId="0" applyNumberFormat="0" applyBorder="0" applyAlignment="0" applyProtection="0"/>
    <xf numFmtId="165" fontId="20" fillId="28" borderId="0" applyNumberFormat="0" applyBorder="0" applyAlignment="0" applyProtection="0"/>
    <xf numFmtId="165" fontId="20" fillId="28" borderId="0" applyNumberFormat="0" applyBorder="0" applyAlignment="0" applyProtection="0"/>
    <xf numFmtId="165" fontId="20" fillId="28" borderId="0" applyNumberFormat="0" applyBorder="0" applyAlignment="0" applyProtection="0"/>
    <xf numFmtId="165" fontId="20" fillId="28" borderId="0" applyNumberFormat="0" applyBorder="0" applyAlignment="0" applyProtection="0"/>
    <xf numFmtId="165" fontId="20" fillId="28" borderId="0" applyNumberFormat="0" applyBorder="0" applyAlignment="0" applyProtection="0"/>
    <xf numFmtId="165" fontId="20" fillId="28" borderId="0" applyNumberFormat="0" applyBorder="0" applyAlignment="0" applyProtection="0"/>
    <xf numFmtId="165" fontId="20" fillId="28" borderId="0" applyNumberFormat="0" applyBorder="0" applyAlignment="0" applyProtection="0"/>
    <xf numFmtId="165" fontId="20" fillId="28" borderId="0" applyNumberFormat="0" applyBorder="0" applyAlignment="0" applyProtection="0"/>
    <xf numFmtId="165" fontId="20" fillId="28" borderId="0" applyNumberFormat="0" applyBorder="0" applyAlignment="0" applyProtection="0"/>
    <xf numFmtId="165" fontId="20" fillId="28" borderId="0" applyNumberFormat="0" applyBorder="0" applyAlignment="0" applyProtection="0"/>
    <xf numFmtId="165" fontId="41" fillId="47" borderId="0" applyNumberFormat="0" applyBorder="0" applyAlignment="0" applyProtection="0"/>
    <xf numFmtId="165" fontId="20" fillId="32" borderId="0" applyNumberFormat="0" applyBorder="0" applyAlignment="0" applyProtection="0"/>
    <xf numFmtId="165" fontId="20" fillId="32" borderId="0" applyNumberFormat="0" applyBorder="0" applyAlignment="0" applyProtection="0"/>
    <xf numFmtId="165" fontId="20" fillId="32" borderId="0" applyNumberFormat="0" applyBorder="0" applyAlignment="0" applyProtection="0"/>
    <xf numFmtId="165" fontId="20" fillId="32" borderId="0" applyNumberFormat="0" applyBorder="0" applyAlignment="0" applyProtection="0"/>
    <xf numFmtId="165" fontId="20" fillId="32" borderId="0" applyNumberFormat="0" applyBorder="0" applyAlignment="0" applyProtection="0"/>
    <xf numFmtId="165" fontId="20" fillId="32" borderId="0" applyNumberFormat="0" applyBorder="0" applyAlignment="0" applyProtection="0"/>
    <xf numFmtId="165" fontId="20" fillId="32" borderId="0" applyNumberFormat="0" applyBorder="0" applyAlignment="0" applyProtection="0"/>
    <xf numFmtId="165" fontId="20" fillId="32" borderId="0" applyNumberFormat="0" applyBorder="0" applyAlignment="0" applyProtection="0"/>
    <xf numFmtId="165" fontId="20" fillId="32" borderId="0" applyNumberFormat="0" applyBorder="0" applyAlignment="0" applyProtection="0"/>
    <xf numFmtId="165" fontId="20" fillId="32" borderId="0" applyNumberFormat="0" applyBorder="0" applyAlignment="0" applyProtection="0"/>
    <xf numFmtId="165" fontId="20" fillId="32" borderId="0" applyNumberFormat="0" applyBorder="0" applyAlignment="0" applyProtection="0"/>
    <xf numFmtId="165" fontId="20" fillId="32" borderId="0" applyNumberFormat="0" applyBorder="0" applyAlignment="0" applyProtection="0"/>
    <xf numFmtId="165" fontId="42" fillId="0" borderId="53" applyNumberFormat="0" applyFill="0" applyAlignment="0" applyProtection="0"/>
    <xf numFmtId="165" fontId="19" fillId="0" borderId="9" applyNumberFormat="0" applyFill="0" applyAlignment="0" applyProtection="0"/>
    <xf numFmtId="165" fontId="19" fillId="0" borderId="9" applyNumberFormat="0" applyFill="0" applyAlignment="0" applyProtection="0"/>
    <xf numFmtId="165" fontId="19" fillId="0" borderId="9" applyNumberFormat="0" applyFill="0" applyAlignment="0" applyProtection="0"/>
    <xf numFmtId="165" fontId="19" fillId="0" borderId="9" applyNumberFormat="0" applyFill="0" applyAlignment="0" applyProtection="0"/>
    <xf numFmtId="165" fontId="19" fillId="0" borderId="9" applyNumberFormat="0" applyFill="0" applyAlignment="0" applyProtection="0"/>
    <xf numFmtId="165" fontId="19" fillId="0" borderId="9" applyNumberFormat="0" applyFill="0" applyAlignment="0" applyProtection="0"/>
    <xf numFmtId="165" fontId="19" fillId="0" borderId="9" applyNumberFormat="0" applyFill="0" applyAlignment="0" applyProtection="0"/>
    <xf numFmtId="165" fontId="19" fillId="0" borderId="9" applyNumberFormat="0" applyFill="0" applyAlignment="0" applyProtection="0"/>
    <xf numFmtId="165" fontId="19" fillId="0" borderId="9" applyNumberFormat="0" applyFill="0" applyAlignment="0" applyProtection="0"/>
    <xf numFmtId="165" fontId="19" fillId="0" borderId="9" applyNumberFormat="0" applyFill="0" applyAlignment="0" applyProtection="0"/>
    <xf numFmtId="165" fontId="19" fillId="0" borderId="9" applyNumberFormat="0" applyFill="0" applyAlignment="0" applyProtection="0"/>
    <xf numFmtId="165" fontId="19" fillId="0" borderId="9" applyNumberFormat="0" applyFill="0" applyAlignment="0" applyProtection="0"/>
    <xf numFmtId="165" fontId="43" fillId="35" borderId="0" applyNumberFormat="0" applyBorder="0" applyAlignment="0" applyProtection="0"/>
    <xf numFmtId="165" fontId="10" fillId="3" borderId="0" applyNumberFormat="0" applyBorder="0" applyAlignment="0" applyProtection="0"/>
    <xf numFmtId="165" fontId="10" fillId="3" borderId="0" applyNumberFormat="0" applyBorder="0" applyAlignment="0" applyProtection="0"/>
    <xf numFmtId="165" fontId="10" fillId="3" borderId="0" applyNumberFormat="0" applyBorder="0" applyAlignment="0" applyProtection="0"/>
    <xf numFmtId="165" fontId="10" fillId="3" borderId="0" applyNumberFormat="0" applyBorder="0" applyAlignment="0" applyProtection="0"/>
    <xf numFmtId="165" fontId="10" fillId="3" borderId="0" applyNumberFormat="0" applyBorder="0" applyAlignment="0" applyProtection="0"/>
    <xf numFmtId="165" fontId="10" fillId="3" borderId="0" applyNumberFormat="0" applyBorder="0" applyAlignment="0" applyProtection="0"/>
    <xf numFmtId="165" fontId="10" fillId="3" borderId="0" applyNumberFormat="0" applyBorder="0" applyAlignment="0" applyProtection="0"/>
    <xf numFmtId="165" fontId="10" fillId="3" borderId="0" applyNumberFormat="0" applyBorder="0" applyAlignment="0" applyProtection="0"/>
    <xf numFmtId="165" fontId="10" fillId="3" borderId="0" applyNumberFormat="0" applyBorder="0" applyAlignment="0" applyProtection="0"/>
    <xf numFmtId="165" fontId="10" fillId="3" borderId="0" applyNumberFormat="0" applyBorder="0" applyAlignment="0" applyProtection="0"/>
    <xf numFmtId="165" fontId="10" fillId="3" borderId="0" applyNumberFormat="0" applyBorder="0" applyAlignment="0" applyProtection="0"/>
    <xf numFmtId="165" fontId="10" fillId="3" borderId="0" applyNumberFormat="0" applyBorder="0" applyAlignment="0" applyProtection="0"/>
    <xf numFmtId="165" fontId="44" fillId="48" borderId="54" applyNumberFormat="0" applyAlignment="0" applyProtection="0"/>
    <xf numFmtId="165" fontId="16" fillId="7" borderId="7" applyNumberFormat="0" applyAlignment="0" applyProtection="0"/>
    <xf numFmtId="165" fontId="16" fillId="7" borderId="7" applyNumberFormat="0" applyAlignment="0" applyProtection="0"/>
    <xf numFmtId="165" fontId="16" fillId="7" borderId="7" applyNumberFormat="0" applyAlignment="0" applyProtection="0"/>
    <xf numFmtId="165" fontId="16" fillId="7" borderId="7" applyNumberFormat="0" applyAlignment="0" applyProtection="0"/>
    <xf numFmtId="165" fontId="16" fillId="7" borderId="7" applyNumberFormat="0" applyAlignment="0" applyProtection="0"/>
    <xf numFmtId="165" fontId="16" fillId="7" borderId="7" applyNumberFormat="0" applyAlignment="0" applyProtection="0"/>
    <xf numFmtId="165" fontId="16" fillId="7" borderId="7" applyNumberFormat="0" applyAlignment="0" applyProtection="0"/>
    <xf numFmtId="165" fontId="16" fillId="7" borderId="7" applyNumberFormat="0" applyAlignment="0" applyProtection="0"/>
    <xf numFmtId="165" fontId="16" fillId="7" borderId="7" applyNumberFormat="0" applyAlignment="0" applyProtection="0"/>
    <xf numFmtId="165" fontId="16" fillId="7" borderId="7" applyNumberFormat="0" applyAlignment="0" applyProtection="0"/>
    <xf numFmtId="165" fontId="16" fillId="7" borderId="7" applyNumberFormat="0" applyAlignment="0" applyProtection="0"/>
    <xf numFmtId="165" fontId="16" fillId="7" borderId="7" applyNumberFormat="0" applyAlignment="0" applyProtection="0"/>
    <xf numFmtId="44" fontId="34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" fillId="0" borderId="0" applyFont="0" applyFill="0" applyBorder="0" applyAlignment="0" applyProtection="0"/>
    <xf numFmtId="165" fontId="45" fillId="0" borderId="55" applyNumberFormat="0" applyFill="0" applyAlignment="0" applyProtection="0"/>
    <xf numFmtId="165" fontId="6" fillId="0" borderId="1" applyNumberFormat="0" applyFill="0" applyAlignment="0" applyProtection="0"/>
    <xf numFmtId="165" fontId="6" fillId="0" borderId="1" applyNumberFormat="0" applyFill="0" applyAlignment="0" applyProtection="0"/>
    <xf numFmtId="165" fontId="6" fillId="0" borderId="1" applyNumberFormat="0" applyFill="0" applyAlignment="0" applyProtection="0"/>
    <xf numFmtId="165" fontId="6" fillId="0" borderId="1" applyNumberFormat="0" applyFill="0" applyAlignment="0" applyProtection="0"/>
    <xf numFmtId="165" fontId="6" fillId="0" borderId="1" applyNumberFormat="0" applyFill="0" applyAlignment="0" applyProtection="0"/>
    <xf numFmtId="165" fontId="6" fillId="0" borderId="1" applyNumberFormat="0" applyFill="0" applyAlignment="0" applyProtection="0"/>
    <xf numFmtId="165" fontId="6" fillId="0" borderId="1" applyNumberFormat="0" applyFill="0" applyAlignment="0" applyProtection="0"/>
    <xf numFmtId="165" fontId="6" fillId="0" borderId="1" applyNumberFormat="0" applyFill="0" applyAlignment="0" applyProtection="0"/>
    <xf numFmtId="165" fontId="6" fillId="0" borderId="1" applyNumberFormat="0" applyFill="0" applyAlignment="0" applyProtection="0"/>
    <xf numFmtId="165" fontId="6" fillId="0" borderId="1" applyNumberFormat="0" applyFill="0" applyAlignment="0" applyProtection="0"/>
    <xf numFmtId="165" fontId="6" fillId="0" borderId="1" applyNumberFormat="0" applyFill="0" applyAlignment="0" applyProtection="0"/>
    <xf numFmtId="165" fontId="6" fillId="0" borderId="1" applyNumberFormat="0" applyFill="0" applyAlignment="0" applyProtection="0"/>
    <xf numFmtId="165" fontId="46" fillId="0" borderId="56" applyNumberFormat="0" applyFill="0" applyAlignment="0" applyProtection="0"/>
    <xf numFmtId="165" fontId="7" fillId="0" borderId="2" applyNumberFormat="0" applyFill="0" applyAlignment="0" applyProtection="0"/>
    <xf numFmtId="165" fontId="7" fillId="0" borderId="2" applyNumberFormat="0" applyFill="0" applyAlignment="0" applyProtection="0"/>
    <xf numFmtId="165" fontId="7" fillId="0" borderId="2" applyNumberFormat="0" applyFill="0" applyAlignment="0" applyProtection="0"/>
    <xf numFmtId="165" fontId="7" fillId="0" borderId="2" applyNumberFormat="0" applyFill="0" applyAlignment="0" applyProtection="0"/>
    <xf numFmtId="165" fontId="7" fillId="0" borderId="2" applyNumberFormat="0" applyFill="0" applyAlignment="0" applyProtection="0"/>
    <xf numFmtId="165" fontId="7" fillId="0" borderId="2" applyNumberFormat="0" applyFill="0" applyAlignment="0" applyProtection="0"/>
    <xf numFmtId="165" fontId="7" fillId="0" borderId="2" applyNumberFormat="0" applyFill="0" applyAlignment="0" applyProtection="0"/>
    <xf numFmtId="165" fontId="7" fillId="0" borderId="2" applyNumberFormat="0" applyFill="0" applyAlignment="0" applyProtection="0"/>
    <xf numFmtId="165" fontId="7" fillId="0" borderId="2" applyNumberFormat="0" applyFill="0" applyAlignment="0" applyProtection="0"/>
    <xf numFmtId="165" fontId="7" fillId="0" borderId="2" applyNumberFormat="0" applyFill="0" applyAlignment="0" applyProtection="0"/>
    <xf numFmtId="165" fontId="7" fillId="0" borderId="2" applyNumberFormat="0" applyFill="0" applyAlignment="0" applyProtection="0"/>
    <xf numFmtId="165" fontId="7" fillId="0" borderId="2" applyNumberFormat="0" applyFill="0" applyAlignment="0" applyProtection="0"/>
    <xf numFmtId="165" fontId="47" fillId="0" borderId="57" applyNumberFormat="0" applyFill="0" applyAlignment="0" applyProtection="0"/>
    <xf numFmtId="165" fontId="8" fillId="0" borderId="3" applyNumberFormat="0" applyFill="0" applyAlignment="0" applyProtection="0"/>
    <xf numFmtId="165" fontId="8" fillId="0" borderId="3" applyNumberFormat="0" applyFill="0" applyAlignment="0" applyProtection="0"/>
    <xf numFmtId="165" fontId="8" fillId="0" borderId="3" applyNumberFormat="0" applyFill="0" applyAlignment="0" applyProtection="0"/>
    <xf numFmtId="165" fontId="8" fillId="0" borderId="3" applyNumberFormat="0" applyFill="0" applyAlignment="0" applyProtection="0"/>
    <xf numFmtId="165" fontId="8" fillId="0" borderId="3" applyNumberFormat="0" applyFill="0" applyAlignment="0" applyProtection="0"/>
    <xf numFmtId="165" fontId="8" fillId="0" borderId="3" applyNumberFormat="0" applyFill="0" applyAlignment="0" applyProtection="0"/>
    <xf numFmtId="165" fontId="8" fillId="0" borderId="3" applyNumberFormat="0" applyFill="0" applyAlignment="0" applyProtection="0"/>
    <xf numFmtId="165" fontId="8" fillId="0" borderId="3" applyNumberFormat="0" applyFill="0" applyAlignment="0" applyProtection="0"/>
    <xf numFmtId="165" fontId="8" fillId="0" borderId="3" applyNumberFormat="0" applyFill="0" applyAlignment="0" applyProtection="0"/>
    <xf numFmtId="165" fontId="8" fillId="0" borderId="3" applyNumberFormat="0" applyFill="0" applyAlignment="0" applyProtection="0"/>
    <xf numFmtId="165" fontId="8" fillId="0" borderId="3" applyNumberFormat="0" applyFill="0" applyAlignment="0" applyProtection="0"/>
    <xf numFmtId="165" fontId="8" fillId="0" borderId="3" applyNumberFormat="0" applyFill="0" applyAlignment="0" applyProtection="0"/>
    <xf numFmtId="165" fontId="47" fillId="0" borderId="0" applyNumberFormat="0" applyFill="0" applyBorder="0" applyAlignment="0" applyProtection="0"/>
    <xf numFmtId="165" fontId="8" fillId="0" borderId="0" applyNumberFormat="0" applyFill="0" applyBorder="0" applyAlignment="0" applyProtection="0"/>
    <xf numFmtId="165" fontId="8" fillId="0" borderId="0" applyNumberFormat="0" applyFill="0" applyBorder="0" applyAlignment="0" applyProtection="0"/>
    <xf numFmtId="165" fontId="8" fillId="0" borderId="0" applyNumberFormat="0" applyFill="0" applyBorder="0" applyAlignment="0" applyProtection="0"/>
    <xf numFmtId="165" fontId="8" fillId="0" borderId="0" applyNumberFormat="0" applyFill="0" applyBorder="0" applyAlignment="0" applyProtection="0"/>
    <xf numFmtId="165" fontId="8" fillId="0" borderId="0" applyNumberFormat="0" applyFill="0" applyBorder="0" applyAlignment="0" applyProtection="0"/>
    <xf numFmtId="165" fontId="8" fillId="0" borderId="0" applyNumberFormat="0" applyFill="0" applyBorder="0" applyAlignment="0" applyProtection="0"/>
    <xf numFmtId="165" fontId="8" fillId="0" borderId="0" applyNumberFormat="0" applyFill="0" applyBorder="0" applyAlignment="0" applyProtection="0"/>
    <xf numFmtId="165" fontId="8" fillId="0" borderId="0" applyNumberFormat="0" applyFill="0" applyBorder="0" applyAlignment="0" applyProtection="0"/>
    <xf numFmtId="165" fontId="8" fillId="0" borderId="0" applyNumberFormat="0" applyFill="0" applyBorder="0" applyAlignment="0" applyProtection="0"/>
    <xf numFmtId="165" fontId="8" fillId="0" borderId="0" applyNumberFormat="0" applyFill="0" applyBorder="0" applyAlignment="0" applyProtection="0"/>
    <xf numFmtId="165" fontId="8" fillId="0" borderId="0" applyNumberFormat="0" applyFill="0" applyBorder="0" applyAlignment="0" applyProtection="0"/>
    <xf numFmtId="165" fontId="8" fillId="0" borderId="0" applyNumberFormat="0" applyFill="0" applyBorder="0" applyAlignment="0" applyProtection="0"/>
    <xf numFmtId="165" fontId="48" fillId="0" borderId="0" applyNumberFormat="0" applyFill="0" applyBorder="0" applyAlignment="0" applyProtection="0"/>
    <xf numFmtId="165" fontId="5" fillId="0" borderId="0" applyNumberFormat="0" applyFill="0" applyBorder="0" applyAlignment="0" applyProtection="0"/>
    <xf numFmtId="165" fontId="5" fillId="0" borderId="0" applyNumberFormat="0" applyFill="0" applyBorder="0" applyAlignment="0" applyProtection="0"/>
    <xf numFmtId="165" fontId="5" fillId="0" borderId="0" applyNumberFormat="0" applyFill="0" applyBorder="0" applyAlignment="0" applyProtection="0"/>
    <xf numFmtId="165" fontId="5" fillId="0" borderId="0" applyNumberFormat="0" applyFill="0" applyBorder="0" applyAlignment="0" applyProtection="0"/>
    <xf numFmtId="165" fontId="5" fillId="0" borderId="0" applyNumberFormat="0" applyFill="0" applyBorder="0" applyAlignment="0" applyProtection="0"/>
    <xf numFmtId="165" fontId="5" fillId="0" borderId="0" applyNumberFormat="0" applyFill="0" applyBorder="0" applyAlignment="0" applyProtection="0"/>
    <xf numFmtId="165" fontId="5" fillId="0" borderId="0" applyNumberFormat="0" applyFill="0" applyBorder="0" applyAlignment="0" applyProtection="0"/>
    <xf numFmtId="165" fontId="5" fillId="0" borderId="0" applyNumberFormat="0" applyFill="0" applyBorder="0" applyAlignment="0" applyProtection="0"/>
    <xf numFmtId="165" fontId="5" fillId="0" borderId="0" applyNumberFormat="0" applyFill="0" applyBorder="0" applyAlignment="0" applyProtection="0"/>
    <xf numFmtId="165" fontId="5" fillId="0" borderId="0" applyNumberFormat="0" applyFill="0" applyBorder="0" applyAlignment="0" applyProtection="0"/>
    <xf numFmtId="165" fontId="5" fillId="0" borderId="0" applyNumberFormat="0" applyFill="0" applyBorder="0" applyAlignment="0" applyProtection="0"/>
    <xf numFmtId="165" fontId="5" fillId="0" borderId="0" applyNumberFormat="0" applyFill="0" applyBorder="0" applyAlignment="0" applyProtection="0"/>
    <xf numFmtId="165" fontId="49" fillId="49" borderId="0" applyNumberFormat="0" applyBorder="0" applyAlignment="0" applyProtection="0"/>
    <xf numFmtId="165" fontId="11" fillId="4" borderId="0" applyNumberFormat="0" applyBorder="0" applyAlignment="0" applyProtection="0"/>
    <xf numFmtId="165" fontId="11" fillId="4" borderId="0" applyNumberFormat="0" applyBorder="0" applyAlignment="0" applyProtection="0"/>
    <xf numFmtId="165" fontId="11" fillId="4" borderId="0" applyNumberFormat="0" applyBorder="0" applyAlignment="0" applyProtection="0"/>
    <xf numFmtId="165" fontId="11" fillId="4" borderId="0" applyNumberFormat="0" applyBorder="0" applyAlignment="0" applyProtection="0"/>
    <xf numFmtId="165" fontId="11" fillId="4" borderId="0" applyNumberFormat="0" applyBorder="0" applyAlignment="0" applyProtection="0"/>
    <xf numFmtId="165" fontId="11" fillId="4" borderId="0" applyNumberFormat="0" applyBorder="0" applyAlignment="0" applyProtection="0"/>
    <xf numFmtId="165" fontId="11" fillId="4" borderId="0" applyNumberFormat="0" applyBorder="0" applyAlignment="0" applyProtection="0"/>
    <xf numFmtId="165" fontId="11" fillId="4" borderId="0" applyNumberFormat="0" applyBorder="0" applyAlignment="0" applyProtection="0"/>
    <xf numFmtId="165" fontId="11" fillId="4" borderId="0" applyNumberFormat="0" applyBorder="0" applyAlignment="0" applyProtection="0"/>
    <xf numFmtId="165" fontId="11" fillId="4" borderId="0" applyNumberFormat="0" applyBorder="0" applyAlignment="0" applyProtection="0"/>
    <xf numFmtId="165" fontId="11" fillId="4" borderId="0" applyNumberFormat="0" applyBorder="0" applyAlignment="0" applyProtection="0"/>
    <xf numFmtId="165" fontId="11" fillId="4" borderId="0" applyNumberFormat="0" applyBorder="0" applyAlignment="0" applyProtection="0"/>
    <xf numFmtId="165" fontId="3" fillId="0" borderId="0"/>
    <xf numFmtId="165" fontId="3" fillId="0" borderId="0"/>
    <xf numFmtId="165" fontId="35" fillId="0" borderId="0"/>
    <xf numFmtId="165" fontId="3" fillId="0" borderId="0"/>
    <xf numFmtId="165" fontId="35" fillId="50" borderId="58" applyNumberFormat="0" applyFont="0" applyAlignment="0" applyProtection="0"/>
    <xf numFmtId="165" fontId="34" fillId="8" borderId="8" applyNumberFormat="0" applyFont="0" applyAlignment="0" applyProtection="0"/>
    <xf numFmtId="165" fontId="3" fillId="8" borderId="8" applyNumberFormat="0" applyFont="0" applyAlignment="0" applyProtection="0"/>
    <xf numFmtId="165" fontId="34" fillId="8" borderId="8" applyNumberFormat="0" applyFont="0" applyAlignment="0" applyProtection="0"/>
    <xf numFmtId="165" fontId="3" fillId="8" borderId="8" applyNumberFormat="0" applyFont="0" applyAlignment="0" applyProtection="0"/>
    <xf numFmtId="165" fontId="34" fillId="8" borderId="8" applyNumberFormat="0" applyFont="0" applyAlignment="0" applyProtection="0"/>
    <xf numFmtId="165" fontId="34" fillId="8" borderId="8" applyNumberFormat="0" applyFont="0" applyAlignment="0" applyProtection="0"/>
    <xf numFmtId="165" fontId="3" fillId="8" borderId="8" applyNumberFormat="0" applyFont="0" applyAlignment="0" applyProtection="0"/>
    <xf numFmtId="165" fontId="3" fillId="8" borderId="8" applyNumberFormat="0" applyFont="0" applyAlignment="0" applyProtection="0"/>
    <xf numFmtId="165" fontId="3" fillId="8" borderId="8" applyNumberFormat="0" applyFont="0" applyAlignment="0" applyProtection="0"/>
    <xf numFmtId="165" fontId="3" fillId="8" borderId="8" applyNumberFormat="0" applyFont="0" applyAlignment="0" applyProtection="0"/>
    <xf numFmtId="165" fontId="34" fillId="8" borderId="8" applyNumberFormat="0" applyFont="0" applyAlignment="0" applyProtection="0"/>
    <xf numFmtId="165" fontId="34" fillId="8" borderId="8" applyNumberFormat="0" applyFont="0" applyAlignment="0" applyProtection="0"/>
    <xf numFmtId="165" fontId="34" fillId="8" borderId="8" applyNumberFormat="0" applyFont="0" applyAlignment="0" applyProtection="0"/>
    <xf numFmtId="165" fontId="34" fillId="8" borderId="8" applyNumberFormat="0" applyFont="0" applyAlignment="0" applyProtection="0"/>
    <xf numFmtId="165" fontId="34" fillId="8" borderId="8" applyNumberFormat="0" applyFont="0" applyAlignment="0" applyProtection="0"/>
    <xf numFmtId="165" fontId="34" fillId="8" borderId="8" applyNumberFormat="0" applyFont="0" applyAlignment="0" applyProtection="0"/>
    <xf numFmtId="165" fontId="34" fillId="8" borderId="8" applyNumberFormat="0" applyFont="0" applyAlignment="0" applyProtection="0"/>
    <xf numFmtId="165" fontId="34" fillId="8" borderId="8" applyNumberFormat="0" applyFont="0" applyAlignment="0" applyProtection="0"/>
    <xf numFmtId="165" fontId="3" fillId="8" borderId="8" applyNumberFormat="0" applyFont="0" applyAlignment="0" applyProtection="0"/>
    <xf numFmtId="165" fontId="3" fillId="8" borderId="8" applyNumberFormat="0" applyFont="0" applyAlignment="0" applyProtection="0"/>
    <xf numFmtId="165" fontId="3" fillId="8" borderId="8" applyNumberFormat="0" applyFont="0" applyAlignment="0" applyProtection="0"/>
    <xf numFmtId="165" fontId="3" fillId="8" borderId="8" applyNumberFormat="0" applyFont="0" applyAlignment="0" applyProtection="0"/>
    <xf numFmtId="165" fontId="3" fillId="8" borderId="8" applyNumberFormat="0" applyFont="0" applyAlignment="0" applyProtection="0"/>
    <xf numFmtId="165" fontId="34" fillId="8" borderId="8" applyNumberFormat="0" applyFont="0" applyAlignment="0" applyProtection="0"/>
    <xf numFmtId="165" fontId="3" fillId="8" borderId="8" applyNumberFormat="0" applyFont="0" applyAlignment="0" applyProtection="0"/>
    <xf numFmtId="165" fontId="3" fillId="8" borderId="8" applyNumberFormat="0" applyFont="0" applyAlignment="0" applyProtection="0"/>
    <xf numFmtId="165" fontId="3" fillId="8" borderId="8" applyNumberFormat="0" applyFont="0" applyAlignment="0" applyProtection="0"/>
    <xf numFmtId="165" fontId="3" fillId="8" borderId="8" applyNumberFormat="0" applyFont="0" applyAlignment="0" applyProtection="0"/>
    <xf numFmtId="165" fontId="3" fillId="8" borderId="8" applyNumberFormat="0" applyFont="0" applyAlignment="0" applyProtection="0"/>
    <xf numFmtId="165" fontId="3" fillId="8" borderId="8" applyNumberFormat="0" applyFont="0" applyAlignment="0" applyProtection="0"/>
    <xf numFmtId="165" fontId="34" fillId="8" borderId="8" applyNumberFormat="0" applyFont="0" applyAlignment="0" applyProtection="0"/>
    <xf numFmtId="165" fontId="3" fillId="8" borderId="8" applyNumberFormat="0" applyFont="0" applyAlignment="0" applyProtection="0"/>
    <xf numFmtId="165" fontId="50" fillId="0" borderId="59" applyNumberFormat="0" applyFill="0" applyAlignment="0" applyProtection="0"/>
    <xf numFmtId="165" fontId="15" fillId="0" borderId="6" applyNumberFormat="0" applyFill="0" applyAlignment="0" applyProtection="0"/>
    <xf numFmtId="165" fontId="15" fillId="0" borderId="6" applyNumberFormat="0" applyFill="0" applyAlignment="0" applyProtection="0"/>
    <xf numFmtId="165" fontId="15" fillId="0" borderId="6" applyNumberFormat="0" applyFill="0" applyAlignment="0" applyProtection="0"/>
    <xf numFmtId="165" fontId="15" fillId="0" borderId="6" applyNumberFormat="0" applyFill="0" applyAlignment="0" applyProtection="0"/>
    <xf numFmtId="165" fontId="15" fillId="0" borderId="6" applyNumberFormat="0" applyFill="0" applyAlignment="0" applyProtection="0"/>
    <xf numFmtId="165" fontId="15" fillId="0" borderId="6" applyNumberFormat="0" applyFill="0" applyAlignment="0" applyProtection="0"/>
    <xf numFmtId="165" fontId="15" fillId="0" borderId="6" applyNumberFormat="0" applyFill="0" applyAlignment="0" applyProtection="0"/>
    <xf numFmtId="165" fontId="15" fillId="0" borderId="6" applyNumberFormat="0" applyFill="0" applyAlignment="0" applyProtection="0"/>
    <xf numFmtId="165" fontId="15" fillId="0" borderId="6" applyNumberFormat="0" applyFill="0" applyAlignment="0" applyProtection="0"/>
    <xf numFmtId="165" fontId="15" fillId="0" borderId="6" applyNumberFormat="0" applyFill="0" applyAlignment="0" applyProtection="0"/>
    <xf numFmtId="165" fontId="15" fillId="0" borderId="6" applyNumberFormat="0" applyFill="0" applyAlignment="0" applyProtection="0"/>
    <xf numFmtId="165" fontId="15" fillId="0" borderId="6" applyNumberFormat="0" applyFill="0" applyAlignment="0" applyProtection="0"/>
    <xf numFmtId="165" fontId="51" fillId="36" borderId="0" applyNumberFormat="0" applyBorder="0" applyAlignment="0" applyProtection="0"/>
    <xf numFmtId="165" fontId="9" fillId="2" borderId="0" applyNumberFormat="0" applyBorder="0" applyAlignment="0" applyProtection="0"/>
    <xf numFmtId="165" fontId="9" fillId="2" borderId="0" applyNumberFormat="0" applyBorder="0" applyAlignment="0" applyProtection="0"/>
    <xf numFmtId="165" fontId="9" fillId="2" borderId="0" applyNumberFormat="0" applyBorder="0" applyAlignment="0" applyProtection="0"/>
    <xf numFmtId="165" fontId="9" fillId="2" borderId="0" applyNumberFormat="0" applyBorder="0" applyAlignment="0" applyProtection="0"/>
    <xf numFmtId="165" fontId="9" fillId="2" borderId="0" applyNumberFormat="0" applyBorder="0" applyAlignment="0" applyProtection="0"/>
    <xf numFmtId="165" fontId="9" fillId="2" borderId="0" applyNumberFormat="0" applyBorder="0" applyAlignment="0" applyProtection="0"/>
    <xf numFmtId="165" fontId="9" fillId="2" borderId="0" applyNumberFormat="0" applyBorder="0" applyAlignment="0" applyProtection="0"/>
    <xf numFmtId="165" fontId="9" fillId="2" borderId="0" applyNumberFormat="0" applyBorder="0" applyAlignment="0" applyProtection="0"/>
    <xf numFmtId="165" fontId="9" fillId="2" borderId="0" applyNumberFormat="0" applyBorder="0" applyAlignment="0" applyProtection="0"/>
    <xf numFmtId="165" fontId="9" fillId="2" borderId="0" applyNumberFormat="0" applyBorder="0" applyAlignment="0" applyProtection="0"/>
    <xf numFmtId="165" fontId="9" fillId="2" borderId="0" applyNumberFormat="0" applyBorder="0" applyAlignment="0" applyProtection="0"/>
    <xf numFmtId="165" fontId="9" fillId="2" borderId="0" applyNumberFormat="0" applyBorder="0" applyAlignment="0" applyProtection="0"/>
    <xf numFmtId="165" fontId="52" fillId="0" borderId="0" applyNumberFormat="0" applyFill="0" applyBorder="0" applyAlignment="0" applyProtection="0"/>
    <xf numFmtId="165" fontId="17" fillId="0" borderId="0" applyNumberFormat="0" applyFill="0" applyBorder="0" applyAlignment="0" applyProtection="0"/>
    <xf numFmtId="165" fontId="17" fillId="0" borderId="0" applyNumberFormat="0" applyFill="0" applyBorder="0" applyAlignment="0" applyProtection="0"/>
    <xf numFmtId="165" fontId="17" fillId="0" borderId="0" applyNumberFormat="0" applyFill="0" applyBorder="0" applyAlignment="0" applyProtection="0"/>
    <xf numFmtId="165" fontId="17" fillId="0" borderId="0" applyNumberFormat="0" applyFill="0" applyBorder="0" applyAlignment="0" applyProtection="0"/>
    <xf numFmtId="165" fontId="17" fillId="0" borderId="0" applyNumberFormat="0" applyFill="0" applyBorder="0" applyAlignment="0" applyProtection="0"/>
    <xf numFmtId="165" fontId="17" fillId="0" borderId="0" applyNumberFormat="0" applyFill="0" applyBorder="0" applyAlignment="0" applyProtection="0"/>
    <xf numFmtId="165" fontId="17" fillId="0" borderId="0" applyNumberFormat="0" applyFill="0" applyBorder="0" applyAlignment="0" applyProtection="0"/>
    <xf numFmtId="165" fontId="17" fillId="0" borderId="0" applyNumberFormat="0" applyFill="0" applyBorder="0" applyAlignment="0" applyProtection="0"/>
    <xf numFmtId="165" fontId="17" fillId="0" borderId="0" applyNumberFormat="0" applyFill="0" applyBorder="0" applyAlignment="0" applyProtection="0"/>
    <xf numFmtId="165" fontId="17" fillId="0" borderId="0" applyNumberFormat="0" applyFill="0" applyBorder="0" applyAlignment="0" applyProtection="0"/>
    <xf numFmtId="165" fontId="17" fillId="0" borderId="0" applyNumberFormat="0" applyFill="0" applyBorder="0" applyAlignment="0" applyProtection="0"/>
    <xf numFmtId="165" fontId="17" fillId="0" borderId="0" applyNumberFormat="0" applyFill="0" applyBorder="0" applyAlignment="0" applyProtection="0"/>
    <xf numFmtId="165" fontId="53" fillId="39" borderId="60" applyNumberFormat="0" applyAlignment="0" applyProtection="0"/>
    <xf numFmtId="165" fontId="12" fillId="5" borderId="4" applyNumberFormat="0" applyAlignment="0" applyProtection="0"/>
    <xf numFmtId="165" fontId="12" fillId="5" borderId="4" applyNumberFormat="0" applyAlignment="0" applyProtection="0"/>
    <xf numFmtId="165" fontId="12" fillId="5" borderId="4" applyNumberFormat="0" applyAlignment="0" applyProtection="0"/>
    <xf numFmtId="165" fontId="12" fillId="5" borderId="4" applyNumberFormat="0" applyAlignment="0" applyProtection="0"/>
    <xf numFmtId="165" fontId="12" fillId="5" borderId="4" applyNumberFormat="0" applyAlignment="0" applyProtection="0"/>
    <xf numFmtId="165" fontId="12" fillId="5" borderId="4" applyNumberFormat="0" applyAlignment="0" applyProtection="0"/>
    <xf numFmtId="165" fontId="12" fillId="5" borderId="4" applyNumberFormat="0" applyAlignment="0" applyProtection="0"/>
    <xf numFmtId="165" fontId="12" fillId="5" borderId="4" applyNumberFormat="0" applyAlignment="0" applyProtection="0"/>
    <xf numFmtId="165" fontId="12" fillId="5" borderId="4" applyNumberFormat="0" applyAlignment="0" applyProtection="0"/>
    <xf numFmtId="165" fontId="12" fillId="5" borderId="4" applyNumberFormat="0" applyAlignment="0" applyProtection="0"/>
    <xf numFmtId="165" fontId="12" fillId="5" borderId="4" applyNumberFormat="0" applyAlignment="0" applyProtection="0"/>
    <xf numFmtId="165" fontId="12" fillId="5" borderId="4" applyNumberFormat="0" applyAlignment="0" applyProtection="0"/>
    <xf numFmtId="165" fontId="54" fillId="51" borderId="60" applyNumberFormat="0" applyAlignment="0" applyProtection="0"/>
    <xf numFmtId="165" fontId="14" fillId="6" borderId="4" applyNumberFormat="0" applyAlignment="0" applyProtection="0"/>
    <xf numFmtId="165" fontId="14" fillId="6" borderId="4" applyNumberFormat="0" applyAlignment="0" applyProtection="0"/>
    <xf numFmtId="165" fontId="14" fillId="6" borderId="4" applyNumberFormat="0" applyAlignment="0" applyProtection="0"/>
    <xf numFmtId="165" fontId="14" fillId="6" borderId="4" applyNumberFormat="0" applyAlignment="0" applyProtection="0"/>
    <xf numFmtId="165" fontId="14" fillId="6" borderId="4" applyNumberFormat="0" applyAlignment="0" applyProtection="0"/>
    <xf numFmtId="165" fontId="14" fillId="6" borderId="4" applyNumberFormat="0" applyAlignment="0" applyProtection="0"/>
    <xf numFmtId="165" fontId="14" fillId="6" borderId="4" applyNumberFormat="0" applyAlignment="0" applyProtection="0"/>
    <xf numFmtId="165" fontId="14" fillId="6" borderId="4" applyNumberFormat="0" applyAlignment="0" applyProtection="0"/>
    <xf numFmtId="165" fontId="14" fillId="6" borderId="4" applyNumberFormat="0" applyAlignment="0" applyProtection="0"/>
    <xf numFmtId="165" fontId="14" fillId="6" borderId="4" applyNumberFormat="0" applyAlignment="0" applyProtection="0"/>
    <xf numFmtId="165" fontId="14" fillId="6" borderId="4" applyNumberFormat="0" applyAlignment="0" applyProtection="0"/>
    <xf numFmtId="165" fontId="14" fillId="6" borderId="4" applyNumberFormat="0" applyAlignment="0" applyProtection="0"/>
    <xf numFmtId="165" fontId="55" fillId="51" borderId="61" applyNumberFormat="0" applyAlignment="0" applyProtection="0"/>
    <xf numFmtId="165" fontId="13" fillId="6" borderId="5" applyNumberFormat="0" applyAlignment="0" applyProtection="0"/>
    <xf numFmtId="165" fontId="13" fillId="6" borderId="5" applyNumberFormat="0" applyAlignment="0" applyProtection="0"/>
    <xf numFmtId="165" fontId="13" fillId="6" borderId="5" applyNumberFormat="0" applyAlignment="0" applyProtection="0"/>
    <xf numFmtId="165" fontId="13" fillId="6" borderId="5" applyNumberFormat="0" applyAlignment="0" applyProtection="0"/>
    <xf numFmtId="165" fontId="13" fillId="6" borderId="5" applyNumberFormat="0" applyAlignment="0" applyProtection="0"/>
    <xf numFmtId="165" fontId="13" fillId="6" borderId="5" applyNumberFormat="0" applyAlignment="0" applyProtection="0"/>
    <xf numFmtId="165" fontId="13" fillId="6" borderId="5" applyNumberFormat="0" applyAlignment="0" applyProtection="0"/>
    <xf numFmtId="165" fontId="13" fillId="6" borderId="5" applyNumberFormat="0" applyAlignment="0" applyProtection="0"/>
    <xf numFmtId="165" fontId="13" fillId="6" borderId="5" applyNumberFormat="0" applyAlignment="0" applyProtection="0"/>
    <xf numFmtId="165" fontId="13" fillId="6" borderId="5" applyNumberFormat="0" applyAlignment="0" applyProtection="0"/>
    <xf numFmtId="165" fontId="13" fillId="6" borderId="5" applyNumberFormat="0" applyAlignment="0" applyProtection="0"/>
    <xf numFmtId="165" fontId="13" fillId="6" borderId="5" applyNumberFormat="0" applyAlignment="0" applyProtection="0"/>
    <xf numFmtId="165" fontId="56" fillId="0" borderId="0" applyNumberFormat="0" applyFill="0" applyBorder="0" applyAlignment="0" applyProtection="0"/>
    <xf numFmtId="165" fontId="18" fillId="0" borderId="0" applyNumberFormat="0" applyFill="0" applyBorder="0" applyAlignment="0" applyProtection="0"/>
    <xf numFmtId="165" fontId="18" fillId="0" borderId="0" applyNumberFormat="0" applyFill="0" applyBorder="0" applyAlignment="0" applyProtection="0"/>
    <xf numFmtId="165" fontId="18" fillId="0" borderId="0" applyNumberFormat="0" applyFill="0" applyBorder="0" applyAlignment="0" applyProtection="0"/>
    <xf numFmtId="165" fontId="18" fillId="0" borderId="0" applyNumberFormat="0" applyFill="0" applyBorder="0" applyAlignment="0" applyProtection="0"/>
    <xf numFmtId="165" fontId="18" fillId="0" borderId="0" applyNumberFormat="0" applyFill="0" applyBorder="0" applyAlignment="0" applyProtection="0"/>
    <xf numFmtId="165" fontId="18" fillId="0" borderId="0" applyNumberFormat="0" applyFill="0" applyBorder="0" applyAlignment="0" applyProtection="0"/>
    <xf numFmtId="165" fontId="18" fillId="0" borderId="0" applyNumberFormat="0" applyFill="0" applyBorder="0" applyAlignment="0" applyProtection="0"/>
    <xf numFmtId="165" fontId="18" fillId="0" borderId="0" applyNumberFormat="0" applyFill="0" applyBorder="0" applyAlignment="0" applyProtection="0"/>
    <xf numFmtId="165" fontId="18" fillId="0" borderId="0" applyNumberFormat="0" applyFill="0" applyBorder="0" applyAlignment="0" applyProtection="0"/>
    <xf numFmtId="165" fontId="18" fillId="0" borderId="0" applyNumberFormat="0" applyFill="0" applyBorder="0" applyAlignment="0" applyProtection="0"/>
    <xf numFmtId="165" fontId="18" fillId="0" borderId="0" applyNumberFormat="0" applyFill="0" applyBorder="0" applyAlignment="0" applyProtection="0"/>
    <xf numFmtId="165" fontId="18" fillId="0" borderId="0" applyNumberFormat="0" applyFill="0" applyBorder="0" applyAlignment="0" applyProtection="0"/>
    <xf numFmtId="165" fontId="41" fillId="52" borderId="0" applyNumberFormat="0" applyBorder="0" applyAlignment="0" applyProtection="0"/>
    <xf numFmtId="165" fontId="20" fillId="9" borderId="0" applyNumberFormat="0" applyBorder="0" applyAlignment="0" applyProtection="0"/>
    <xf numFmtId="165" fontId="20" fillId="9" borderId="0" applyNumberFormat="0" applyBorder="0" applyAlignment="0" applyProtection="0"/>
    <xf numFmtId="165" fontId="20" fillId="9" borderId="0" applyNumberFormat="0" applyBorder="0" applyAlignment="0" applyProtection="0"/>
    <xf numFmtId="165" fontId="20" fillId="9" borderId="0" applyNumberFormat="0" applyBorder="0" applyAlignment="0" applyProtection="0"/>
    <xf numFmtId="165" fontId="20" fillId="9" borderId="0" applyNumberFormat="0" applyBorder="0" applyAlignment="0" applyProtection="0"/>
    <xf numFmtId="165" fontId="20" fillId="9" borderId="0" applyNumberFormat="0" applyBorder="0" applyAlignment="0" applyProtection="0"/>
    <xf numFmtId="165" fontId="20" fillId="9" borderId="0" applyNumberFormat="0" applyBorder="0" applyAlignment="0" applyProtection="0"/>
    <xf numFmtId="165" fontId="20" fillId="9" borderId="0" applyNumberFormat="0" applyBorder="0" applyAlignment="0" applyProtection="0"/>
    <xf numFmtId="165" fontId="20" fillId="9" borderId="0" applyNumberFormat="0" applyBorder="0" applyAlignment="0" applyProtection="0"/>
    <xf numFmtId="165" fontId="20" fillId="9" borderId="0" applyNumberFormat="0" applyBorder="0" applyAlignment="0" applyProtection="0"/>
    <xf numFmtId="165" fontId="20" fillId="9" borderId="0" applyNumberFormat="0" applyBorder="0" applyAlignment="0" applyProtection="0"/>
    <xf numFmtId="165" fontId="20" fillId="9" borderId="0" applyNumberFormat="0" applyBorder="0" applyAlignment="0" applyProtection="0"/>
    <xf numFmtId="165" fontId="41" fillId="53" borderId="0" applyNumberFormat="0" applyBorder="0" applyAlignment="0" applyProtection="0"/>
    <xf numFmtId="165" fontId="20" fillId="13" borderId="0" applyNumberFormat="0" applyBorder="0" applyAlignment="0" applyProtection="0"/>
    <xf numFmtId="165" fontId="20" fillId="13" borderId="0" applyNumberFormat="0" applyBorder="0" applyAlignment="0" applyProtection="0"/>
    <xf numFmtId="165" fontId="20" fillId="13" borderId="0" applyNumberFormat="0" applyBorder="0" applyAlignment="0" applyProtection="0"/>
    <xf numFmtId="165" fontId="20" fillId="13" borderId="0" applyNumberFormat="0" applyBorder="0" applyAlignment="0" applyProtection="0"/>
    <xf numFmtId="165" fontId="20" fillId="13" borderId="0" applyNumberFormat="0" applyBorder="0" applyAlignment="0" applyProtection="0"/>
    <xf numFmtId="165" fontId="20" fillId="13" borderId="0" applyNumberFormat="0" applyBorder="0" applyAlignment="0" applyProtection="0"/>
    <xf numFmtId="165" fontId="20" fillId="13" borderId="0" applyNumberFormat="0" applyBorder="0" applyAlignment="0" applyProtection="0"/>
    <xf numFmtId="165" fontId="20" fillId="13" borderId="0" applyNumberFormat="0" applyBorder="0" applyAlignment="0" applyProtection="0"/>
    <xf numFmtId="165" fontId="20" fillId="13" borderId="0" applyNumberFormat="0" applyBorder="0" applyAlignment="0" applyProtection="0"/>
    <xf numFmtId="165" fontId="20" fillId="13" borderId="0" applyNumberFormat="0" applyBorder="0" applyAlignment="0" applyProtection="0"/>
    <xf numFmtId="165" fontId="20" fillId="13" borderId="0" applyNumberFormat="0" applyBorder="0" applyAlignment="0" applyProtection="0"/>
    <xf numFmtId="165" fontId="20" fillId="13" borderId="0" applyNumberFormat="0" applyBorder="0" applyAlignment="0" applyProtection="0"/>
    <xf numFmtId="165" fontId="41" fillId="54" borderId="0" applyNumberFormat="0" applyBorder="0" applyAlignment="0" applyProtection="0"/>
    <xf numFmtId="165" fontId="20" fillId="17" borderId="0" applyNumberFormat="0" applyBorder="0" applyAlignment="0" applyProtection="0"/>
    <xf numFmtId="165" fontId="20" fillId="17" borderId="0" applyNumberFormat="0" applyBorder="0" applyAlignment="0" applyProtection="0"/>
    <xf numFmtId="165" fontId="20" fillId="17" borderId="0" applyNumberFormat="0" applyBorder="0" applyAlignment="0" applyProtection="0"/>
    <xf numFmtId="165" fontId="20" fillId="17" borderId="0" applyNumberFormat="0" applyBorder="0" applyAlignment="0" applyProtection="0"/>
    <xf numFmtId="165" fontId="20" fillId="17" borderId="0" applyNumberFormat="0" applyBorder="0" applyAlignment="0" applyProtection="0"/>
    <xf numFmtId="165" fontId="20" fillId="17" borderId="0" applyNumberFormat="0" applyBorder="0" applyAlignment="0" applyProtection="0"/>
    <xf numFmtId="165" fontId="20" fillId="17" borderId="0" applyNumberFormat="0" applyBorder="0" applyAlignment="0" applyProtection="0"/>
    <xf numFmtId="165" fontId="20" fillId="17" borderId="0" applyNumberFormat="0" applyBorder="0" applyAlignment="0" applyProtection="0"/>
    <xf numFmtId="165" fontId="20" fillId="17" borderId="0" applyNumberFormat="0" applyBorder="0" applyAlignment="0" applyProtection="0"/>
    <xf numFmtId="165" fontId="20" fillId="17" borderId="0" applyNumberFormat="0" applyBorder="0" applyAlignment="0" applyProtection="0"/>
    <xf numFmtId="165" fontId="20" fillId="17" borderId="0" applyNumberFormat="0" applyBorder="0" applyAlignment="0" applyProtection="0"/>
    <xf numFmtId="165" fontId="20" fillId="17" borderId="0" applyNumberFormat="0" applyBorder="0" applyAlignment="0" applyProtection="0"/>
    <xf numFmtId="165" fontId="41" fillId="45" borderId="0" applyNumberFormat="0" applyBorder="0" applyAlignment="0" applyProtection="0"/>
    <xf numFmtId="165" fontId="20" fillId="21" borderId="0" applyNumberFormat="0" applyBorder="0" applyAlignment="0" applyProtection="0"/>
    <xf numFmtId="165" fontId="20" fillId="21" borderId="0" applyNumberFormat="0" applyBorder="0" applyAlignment="0" applyProtection="0"/>
    <xf numFmtId="165" fontId="20" fillId="21" borderId="0" applyNumberFormat="0" applyBorder="0" applyAlignment="0" applyProtection="0"/>
    <xf numFmtId="165" fontId="20" fillId="21" borderId="0" applyNumberFormat="0" applyBorder="0" applyAlignment="0" applyProtection="0"/>
    <xf numFmtId="165" fontId="20" fillId="21" borderId="0" applyNumberFormat="0" applyBorder="0" applyAlignment="0" applyProtection="0"/>
    <xf numFmtId="165" fontId="20" fillId="21" borderId="0" applyNumberFormat="0" applyBorder="0" applyAlignment="0" applyProtection="0"/>
    <xf numFmtId="165" fontId="20" fillId="21" borderId="0" applyNumberFormat="0" applyBorder="0" applyAlignment="0" applyProtection="0"/>
    <xf numFmtId="165" fontId="20" fillId="21" borderId="0" applyNumberFormat="0" applyBorder="0" applyAlignment="0" applyProtection="0"/>
    <xf numFmtId="165" fontId="20" fillId="21" borderId="0" applyNumberFormat="0" applyBorder="0" applyAlignment="0" applyProtection="0"/>
    <xf numFmtId="165" fontId="20" fillId="21" borderId="0" applyNumberFormat="0" applyBorder="0" applyAlignment="0" applyProtection="0"/>
    <xf numFmtId="165" fontId="20" fillId="21" borderId="0" applyNumberFormat="0" applyBorder="0" applyAlignment="0" applyProtection="0"/>
    <xf numFmtId="165" fontId="20" fillId="21" borderId="0" applyNumberFormat="0" applyBorder="0" applyAlignment="0" applyProtection="0"/>
    <xf numFmtId="165" fontId="41" fillId="46" borderId="0" applyNumberFormat="0" applyBorder="0" applyAlignment="0" applyProtection="0"/>
    <xf numFmtId="165" fontId="20" fillId="25" borderId="0" applyNumberFormat="0" applyBorder="0" applyAlignment="0" applyProtection="0"/>
    <xf numFmtId="165" fontId="20" fillId="25" borderId="0" applyNumberFormat="0" applyBorder="0" applyAlignment="0" applyProtection="0"/>
    <xf numFmtId="165" fontId="20" fillId="25" borderId="0" applyNumberFormat="0" applyBorder="0" applyAlignment="0" applyProtection="0"/>
    <xf numFmtId="165" fontId="20" fillId="25" borderId="0" applyNumberFormat="0" applyBorder="0" applyAlignment="0" applyProtection="0"/>
    <xf numFmtId="165" fontId="20" fillId="25" borderId="0" applyNumberFormat="0" applyBorder="0" applyAlignment="0" applyProtection="0"/>
    <xf numFmtId="165" fontId="20" fillId="25" borderId="0" applyNumberFormat="0" applyBorder="0" applyAlignment="0" applyProtection="0"/>
    <xf numFmtId="165" fontId="20" fillId="25" borderId="0" applyNumberFormat="0" applyBorder="0" applyAlignment="0" applyProtection="0"/>
    <xf numFmtId="165" fontId="20" fillId="25" borderId="0" applyNumberFormat="0" applyBorder="0" applyAlignment="0" applyProtection="0"/>
    <xf numFmtId="165" fontId="20" fillId="25" borderId="0" applyNumberFormat="0" applyBorder="0" applyAlignment="0" applyProtection="0"/>
    <xf numFmtId="165" fontId="20" fillId="25" borderId="0" applyNumberFormat="0" applyBorder="0" applyAlignment="0" applyProtection="0"/>
    <xf numFmtId="165" fontId="20" fillId="25" borderId="0" applyNumberFormat="0" applyBorder="0" applyAlignment="0" applyProtection="0"/>
    <xf numFmtId="165" fontId="20" fillId="25" borderId="0" applyNumberFormat="0" applyBorder="0" applyAlignment="0" applyProtection="0"/>
    <xf numFmtId="165" fontId="41" fillId="55" borderId="0" applyNumberFormat="0" applyBorder="0" applyAlignment="0" applyProtection="0"/>
    <xf numFmtId="165" fontId="20" fillId="29" borderId="0" applyNumberFormat="0" applyBorder="0" applyAlignment="0" applyProtection="0"/>
    <xf numFmtId="165" fontId="20" fillId="29" borderId="0" applyNumberFormat="0" applyBorder="0" applyAlignment="0" applyProtection="0"/>
    <xf numFmtId="165" fontId="20" fillId="29" borderId="0" applyNumberFormat="0" applyBorder="0" applyAlignment="0" applyProtection="0"/>
    <xf numFmtId="165" fontId="20" fillId="29" borderId="0" applyNumberFormat="0" applyBorder="0" applyAlignment="0" applyProtection="0"/>
    <xf numFmtId="165" fontId="20" fillId="29" borderId="0" applyNumberFormat="0" applyBorder="0" applyAlignment="0" applyProtection="0"/>
    <xf numFmtId="165" fontId="20" fillId="29" borderId="0" applyNumberFormat="0" applyBorder="0" applyAlignment="0" applyProtection="0"/>
    <xf numFmtId="165" fontId="20" fillId="29" borderId="0" applyNumberFormat="0" applyBorder="0" applyAlignment="0" applyProtection="0"/>
    <xf numFmtId="165" fontId="20" fillId="29" borderId="0" applyNumberFormat="0" applyBorder="0" applyAlignment="0" applyProtection="0"/>
    <xf numFmtId="165" fontId="20" fillId="29" borderId="0" applyNumberFormat="0" applyBorder="0" applyAlignment="0" applyProtection="0"/>
    <xf numFmtId="165" fontId="20" fillId="29" borderId="0" applyNumberFormat="0" applyBorder="0" applyAlignment="0" applyProtection="0"/>
    <xf numFmtId="165" fontId="20" fillId="29" borderId="0" applyNumberFormat="0" applyBorder="0" applyAlignment="0" applyProtection="0"/>
    <xf numFmtId="165" fontId="20" fillId="29" borderId="0" applyNumberFormat="0" applyBorder="0" applyAlignment="0" applyProtection="0"/>
    <xf numFmtId="165" fontId="3" fillId="10" borderId="0" applyNumberFormat="0" applyBorder="0" applyAlignment="0" applyProtection="0"/>
    <xf numFmtId="165" fontId="3" fillId="14" borderId="0" applyNumberFormat="0" applyBorder="0" applyAlignment="0" applyProtection="0"/>
    <xf numFmtId="165" fontId="3" fillId="18" borderId="0" applyNumberFormat="0" applyBorder="0" applyAlignment="0" applyProtection="0"/>
    <xf numFmtId="165" fontId="3" fillId="22" borderId="0" applyNumberFormat="0" applyBorder="0" applyAlignment="0" applyProtection="0"/>
    <xf numFmtId="165" fontId="3" fillId="26" borderId="0" applyNumberFormat="0" applyBorder="0" applyAlignment="0" applyProtection="0"/>
    <xf numFmtId="165" fontId="3" fillId="30" borderId="0" applyNumberFormat="0" applyBorder="0" applyAlignment="0" applyProtection="0"/>
    <xf numFmtId="165" fontId="3" fillId="11" borderId="0" applyNumberFormat="0" applyBorder="0" applyAlignment="0" applyProtection="0"/>
    <xf numFmtId="165" fontId="3" fillId="15" borderId="0" applyNumberFormat="0" applyBorder="0" applyAlignment="0" applyProtection="0"/>
    <xf numFmtId="165" fontId="3" fillId="19" borderId="0" applyNumberFormat="0" applyBorder="0" applyAlignment="0" applyProtection="0"/>
    <xf numFmtId="165" fontId="3" fillId="23" borderId="0" applyNumberFormat="0" applyBorder="0" applyAlignment="0" applyProtection="0"/>
    <xf numFmtId="165" fontId="3" fillId="27" borderId="0" applyNumberFormat="0" applyBorder="0" applyAlignment="0" applyProtection="0"/>
    <xf numFmtId="165" fontId="3" fillId="31" borderId="0" applyNumberFormat="0" applyBorder="0" applyAlignment="0" applyProtection="0"/>
    <xf numFmtId="165" fontId="3" fillId="8" borderId="8" applyNumberFormat="0" applyFont="0" applyAlignment="0" applyProtection="0"/>
    <xf numFmtId="165" fontId="3" fillId="8" borderId="8" applyNumberFormat="0" applyFont="0" applyAlignment="0" applyProtection="0"/>
    <xf numFmtId="165" fontId="3" fillId="8" borderId="8" applyNumberFormat="0" applyFont="0" applyAlignment="0" applyProtection="0"/>
    <xf numFmtId="165" fontId="3" fillId="8" borderId="8" applyNumberFormat="0" applyFont="0" applyAlignment="0" applyProtection="0"/>
    <xf numFmtId="165" fontId="3" fillId="8" borderId="8" applyNumberFormat="0" applyFont="0" applyAlignment="0" applyProtection="0"/>
    <xf numFmtId="165" fontId="3" fillId="8" borderId="8" applyNumberFormat="0" applyFont="0" applyAlignment="0" applyProtection="0"/>
    <xf numFmtId="165" fontId="3" fillId="8" borderId="8" applyNumberFormat="0" applyFont="0" applyAlignment="0" applyProtection="0"/>
    <xf numFmtId="165" fontId="3" fillId="8" borderId="8" applyNumberFormat="0" applyFont="0" applyAlignment="0" applyProtection="0"/>
    <xf numFmtId="165" fontId="3" fillId="8" borderId="8" applyNumberFormat="0" applyFont="0" applyAlignment="0" applyProtection="0"/>
    <xf numFmtId="165" fontId="3" fillId="0" borderId="0"/>
    <xf numFmtId="44" fontId="3" fillId="0" borderId="0" applyFont="0" applyFill="0" applyBorder="0" applyAlignment="0" applyProtection="0"/>
    <xf numFmtId="165" fontId="3" fillId="8" borderId="8" applyNumberFormat="0" applyFont="0" applyAlignment="0" applyProtection="0"/>
    <xf numFmtId="165" fontId="3" fillId="0" borderId="0"/>
    <xf numFmtId="44" fontId="3" fillId="0" borderId="0" applyFont="0" applyFill="0" applyBorder="0" applyAlignment="0" applyProtection="0"/>
    <xf numFmtId="165" fontId="3" fillId="8" borderId="8" applyNumberFormat="0" applyFont="0" applyAlignment="0" applyProtection="0"/>
    <xf numFmtId="165" fontId="3" fillId="0" borderId="0"/>
    <xf numFmtId="165" fontId="3" fillId="0" borderId="0"/>
    <xf numFmtId="165" fontId="5" fillId="0" borderId="0" applyNumberFormat="0" applyFill="0" applyBorder="0" applyAlignment="0" applyProtection="0"/>
    <xf numFmtId="165" fontId="6" fillId="0" borderId="1" applyNumberFormat="0" applyFill="0" applyAlignment="0" applyProtection="0"/>
    <xf numFmtId="165" fontId="7" fillId="0" borderId="2" applyNumberFormat="0" applyFill="0" applyAlignment="0" applyProtection="0"/>
    <xf numFmtId="165" fontId="8" fillId="0" borderId="3" applyNumberFormat="0" applyFill="0" applyAlignment="0" applyProtection="0"/>
    <xf numFmtId="165" fontId="8" fillId="0" borderId="0" applyNumberFormat="0" applyFill="0" applyBorder="0" applyAlignment="0" applyProtection="0"/>
    <xf numFmtId="165" fontId="9" fillId="2" borderId="0" applyNumberFormat="0" applyBorder="0" applyAlignment="0" applyProtection="0"/>
    <xf numFmtId="165" fontId="10" fillId="3" borderId="0" applyNumberFormat="0" applyBorder="0" applyAlignment="0" applyProtection="0"/>
    <xf numFmtId="165" fontId="11" fillId="4" borderId="0" applyNumberFormat="0" applyBorder="0" applyAlignment="0" applyProtection="0"/>
    <xf numFmtId="165" fontId="12" fillId="5" borderId="4" applyNumberFormat="0" applyAlignment="0" applyProtection="0"/>
    <xf numFmtId="165" fontId="13" fillId="6" borderId="5" applyNumberFormat="0" applyAlignment="0" applyProtection="0"/>
    <xf numFmtId="165" fontId="14" fillId="6" borderId="4" applyNumberFormat="0" applyAlignment="0" applyProtection="0"/>
    <xf numFmtId="165" fontId="15" fillId="0" borderId="6" applyNumberFormat="0" applyFill="0" applyAlignment="0" applyProtection="0"/>
    <xf numFmtId="165" fontId="16" fillId="7" borderId="7" applyNumberFormat="0" applyAlignment="0" applyProtection="0"/>
    <xf numFmtId="165" fontId="17" fillId="0" borderId="0" applyNumberFormat="0" applyFill="0" applyBorder="0" applyAlignment="0" applyProtection="0"/>
    <xf numFmtId="165" fontId="3" fillId="8" borderId="8" applyNumberFormat="0" applyFont="0" applyAlignment="0" applyProtection="0"/>
    <xf numFmtId="165" fontId="18" fillId="0" borderId="0" applyNumberFormat="0" applyFill="0" applyBorder="0" applyAlignment="0" applyProtection="0"/>
    <xf numFmtId="165" fontId="19" fillId="0" borderId="9" applyNumberFormat="0" applyFill="0" applyAlignment="0" applyProtection="0"/>
    <xf numFmtId="165" fontId="20" fillId="9" borderId="0" applyNumberFormat="0" applyBorder="0" applyAlignment="0" applyProtection="0"/>
    <xf numFmtId="165" fontId="3" fillId="10" borderId="0" applyNumberFormat="0" applyBorder="0" applyAlignment="0" applyProtection="0"/>
    <xf numFmtId="165" fontId="3" fillId="11" borderId="0" applyNumberFormat="0" applyBorder="0" applyAlignment="0" applyProtection="0"/>
    <xf numFmtId="165" fontId="20" fillId="12" borderId="0" applyNumberFormat="0" applyBorder="0" applyAlignment="0" applyProtection="0"/>
    <xf numFmtId="165" fontId="20" fillId="13" borderId="0" applyNumberFormat="0" applyBorder="0" applyAlignment="0" applyProtection="0"/>
    <xf numFmtId="165" fontId="3" fillId="14" borderId="0" applyNumberFormat="0" applyBorder="0" applyAlignment="0" applyProtection="0"/>
    <xf numFmtId="165" fontId="3" fillId="15" borderId="0" applyNumberFormat="0" applyBorder="0" applyAlignment="0" applyProtection="0"/>
    <xf numFmtId="165" fontId="20" fillId="16" borderId="0" applyNumberFormat="0" applyBorder="0" applyAlignment="0" applyProtection="0"/>
    <xf numFmtId="165" fontId="20" fillId="17" borderId="0" applyNumberFormat="0" applyBorder="0" applyAlignment="0" applyProtection="0"/>
    <xf numFmtId="165" fontId="3" fillId="18" borderId="0" applyNumberFormat="0" applyBorder="0" applyAlignment="0" applyProtection="0"/>
    <xf numFmtId="165" fontId="3" fillId="19" borderId="0" applyNumberFormat="0" applyBorder="0" applyAlignment="0" applyProtection="0"/>
    <xf numFmtId="165" fontId="20" fillId="20" borderId="0" applyNumberFormat="0" applyBorder="0" applyAlignment="0" applyProtection="0"/>
    <xf numFmtId="165" fontId="20" fillId="21" borderId="0" applyNumberFormat="0" applyBorder="0" applyAlignment="0" applyProtection="0"/>
    <xf numFmtId="165" fontId="3" fillId="22" borderId="0" applyNumberFormat="0" applyBorder="0" applyAlignment="0" applyProtection="0"/>
    <xf numFmtId="165" fontId="3" fillId="23" borderId="0" applyNumberFormat="0" applyBorder="0" applyAlignment="0" applyProtection="0"/>
    <xf numFmtId="165" fontId="20" fillId="24" borderId="0" applyNumberFormat="0" applyBorder="0" applyAlignment="0" applyProtection="0"/>
    <xf numFmtId="165" fontId="20" fillId="25" borderId="0" applyNumberFormat="0" applyBorder="0" applyAlignment="0" applyProtection="0"/>
    <xf numFmtId="165" fontId="3" fillId="26" borderId="0" applyNumberFormat="0" applyBorder="0" applyAlignment="0" applyProtection="0"/>
    <xf numFmtId="165" fontId="3" fillId="27" borderId="0" applyNumberFormat="0" applyBorder="0" applyAlignment="0" applyProtection="0"/>
    <xf numFmtId="165" fontId="20" fillId="28" borderId="0" applyNumberFormat="0" applyBorder="0" applyAlignment="0" applyProtection="0"/>
    <xf numFmtId="165" fontId="20" fillId="29" borderId="0" applyNumberFormat="0" applyBorder="0" applyAlignment="0" applyProtection="0"/>
    <xf numFmtId="165" fontId="3" fillId="30" borderId="0" applyNumberFormat="0" applyBorder="0" applyAlignment="0" applyProtection="0"/>
    <xf numFmtId="165" fontId="3" fillId="31" borderId="0" applyNumberFormat="0" applyBorder="0" applyAlignment="0" applyProtection="0"/>
    <xf numFmtId="165" fontId="20" fillId="32" borderId="0" applyNumberFormat="0" applyBorder="0" applyAlignment="0" applyProtection="0"/>
    <xf numFmtId="165" fontId="3" fillId="0" borderId="0"/>
    <xf numFmtId="165" fontId="3" fillId="10" borderId="0" applyNumberFormat="0" applyBorder="0" applyAlignment="0" applyProtection="0"/>
    <xf numFmtId="165" fontId="3" fillId="14" borderId="0" applyNumberFormat="0" applyBorder="0" applyAlignment="0" applyProtection="0"/>
    <xf numFmtId="165" fontId="3" fillId="18" borderId="0" applyNumberFormat="0" applyBorder="0" applyAlignment="0" applyProtection="0"/>
    <xf numFmtId="165" fontId="3" fillId="22" borderId="0" applyNumberFormat="0" applyBorder="0" applyAlignment="0" applyProtection="0"/>
    <xf numFmtId="165" fontId="3" fillId="26" borderId="0" applyNumberFormat="0" applyBorder="0" applyAlignment="0" applyProtection="0"/>
    <xf numFmtId="165" fontId="3" fillId="30" borderId="0" applyNumberFormat="0" applyBorder="0" applyAlignment="0" applyProtection="0"/>
    <xf numFmtId="165" fontId="3" fillId="11" borderId="0" applyNumberFormat="0" applyBorder="0" applyAlignment="0" applyProtection="0"/>
    <xf numFmtId="165" fontId="3" fillId="15" borderId="0" applyNumberFormat="0" applyBorder="0" applyAlignment="0" applyProtection="0"/>
    <xf numFmtId="165" fontId="3" fillId="19" borderId="0" applyNumberFormat="0" applyBorder="0" applyAlignment="0" applyProtection="0"/>
    <xf numFmtId="165" fontId="3" fillId="23" borderId="0" applyNumberFormat="0" applyBorder="0" applyAlignment="0" applyProtection="0"/>
    <xf numFmtId="165" fontId="3" fillId="27" borderId="0" applyNumberFormat="0" applyBorder="0" applyAlignment="0" applyProtection="0"/>
    <xf numFmtId="165" fontId="3" fillId="31" borderId="0" applyNumberFormat="0" applyBorder="0" applyAlignment="0" applyProtection="0"/>
    <xf numFmtId="165" fontId="34" fillId="8" borderId="8" applyNumberFormat="0" applyFont="0" applyAlignment="0" applyProtection="0"/>
    <xf numFmtId="165" fontId="34" fillId="8" borderId="8" applyNumberFormat="0" applyFont="0" applyAlignment="0" applyProtection="0"/>
    <xf numFmtId="165" fontId="3" fillId="8" borderId="8" applyNumberFormat="0" applyFont="0" applyAlignment="0" applyProtection="0"/>
    <xf numFmtId="165" fontId="3" fillId="8" borderId="8" applyNumberFormat="0" applyFont="0" applyAlignment="0" applyProtection="0"/>
    <xf numFmtId="165" fontId="3" fillId="8" borderId="8" applyNumberFormat="0" applyFont="0" applyAlignment="0" applyProtection="0"/>
    <xf numFmtId="165" fontId="3" fillId="8" borderId="8" applyNumberFormat="0" applyFont="0" applyAlignment="0" applyProtection="0"/>
    <xf numFmtId="165" fontId="3" fillId="8" borderId="8" applyNumberFormat="0" applyFont="0" applyAlignment="0" applyProtection="0"/>
    <xf numFmtId="165" fontId="3" fillId="8" borderId="8" applyNumberFormat="0" applyFont="0" applyAlignment="0" applyProtection="0"/>
    <xf numFmtId="165" fontId="3" fillId="8" borderId="8" applyNumberFormat="0" applyFont="0" applyAlignment="0" applyProtection="0"/>
    <xf numFmtId="165" fontId="3" fillId="8" borderId="8" applyNumberFormat="0" applyFont="0" applyAlignment="0" applyProtection="0"/>
    <xf numFmtId="165" fontId="3" fillId="8" borderId="8" applyNumberFormat="0" applyFont="0" applyAlignment="0" applyProtection="0"/>
    <xf numFmtId="165" fontId="3" fillId="0" borderId="0"/>
    <xf numFmtId="165" fontId="3" fillId="10" borderId="0" applyNumberFormat="0" applyBorder="0" applyAlignment="0" applyProtection="0"/>
    <xf numFmtId="165" fontId="3" fillId="14" borderId="0" applyNumberFormat="0" applyBorder="0" applyAlignment="0" applyProtection="0"/>
    <xf numFmtId="165" fontId="3" fillId="18" borderId="0" applyNumberFormat="0" applyBorder="0" applyAlignment="0" applyProtection="0"/>
    <xf numFmtId="165" fontId="3" fillId="22" borderId="0" applyNumberFormat="0" applyBorder="0" applyAlignment="0" applyProtection="0"/>
    <xf numFmtId="165" fontId="3" fillId="26" borderId="0" applyNumberFormat="0" applyBorder="0" applyAlignment="0" applyProtection="0"/>
    <xf numFmtId="165" fontId="3" fillId="30" borderId="0" applyNumberFormat="0" applyBorder="0" applyAlignment="0" applyProtection="0"/>
    <xf numFmtId="165" fontId="3" fillId="11" borderId="0" applyNumberFormat="0" applyBorder="0" applyAlignment="0" applyProtection="0"/>
    <xf numFmtId="165" fontId="3" fillId="15" borderId="0" applyNumberFormat="0" applyBorder="0" applyAlignment="0" applyProtection="0"/>
    <xf numFmtId="165" fontId="3" fillId="19" borderId="0" applyNumberFormat="0" applyBorder="0" applyAlignment="0" applyProtection="0"/>
    <xf numFmtId="165" fontId="3" fillId="23" borderId="0" applyNumberFormat="0" applyBorder="0" applyAlignment="0" applyProtection="0"/>
    <xf numFmtId="165" fontId="3" fillId="27" borderId="0" applyNumberFormat="0" applyBorder="0" applyAlignment="0" applyProtection="0"/>
    <xf numFmtId="165" fontId="3" fillId="31" borderId="0" applyNumberFormat="0" applyBorder="0" applyAlignment="0" applyProtection="0"/>
    <xf numFmtId="165" fontId="3" fillId="8" borderId="8" applyNumberFormat="0" applyFont="0" applyAlignment="0" applyProtection="0"/>
    <xf numFmtId="165" fontId="3" fillId="8" borderId="8" applyNumberFormat="0" applyFont="0" applyAlignment="0" applyProtection="0"/>
    <xf numFmtId="165" fontId="3" fillId="8" borderId="8" applyNumberFormat="0" applyFont="0" applyAlignment="0" applyProtection="0"/>
    <xf numFmtId="165" fontId="3" fillId="8" borderId="8" applyNumberFormat="0" applyFont="0" applyAlignment="0" applyProtection="0"/>
    <xf numFmtId="165" fontId="3" fillId="8" borderId="8" applyNumberFormat="0" applyFont="0" applyAlignment="0" applyProtection="0"/>
    <xf numFmtId="165" fontId="3" fillId="8" borderId="8" applyNumberFormat="0" applyFont="0" applyAlignment="0" applyProtection="0"/>
    <xf numFmtId="165" fontId="3" fillId="8" borderId="8" applyNumberFormat="0" applyFont="0" applyAlignment="0" applyProtection="0"/>
    <xf numFmtId="165" fontId="3" fillId="8" borderId="8" applyNumberFormat="0" applyFont="0" applyAlignment="0" applyProtection="0"/>
    <xf numFmtId="165" fontId="3" fillId="8" borderId="8" applyNumberFormat="0" applyFont="0" applyAlignment="0" applyProtection="0"/>
    <xf numFmtId="0" fontId="3" fillId="0" borderId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2" borderId="0" applyNumberFormat="0" applyBorder="0" applyAlignment="0" applyProtection="0"/>
    <xf numFmtId="0" fontId="10" fillId="3" borderId="0" applyNumberFormat="0" applyBorder="0" applyAlignment="0" applyProtection="0"/>
    <xf numFmtId="0" fontId="11" fillId="4" borderId="0" applyNumberFormat="0" applyBorder="0" applyAlignment="0" applyProtection="0"/>
    <xf numFmtId="0" fontId="12" fillId="5" borderId="4" applyNumberFormat="0" applyAlignment="0" applyProtection="0"/>
    <xf numFmtId="0" fontId="13" fillId="6" borderId="5" applyNumberFormat="0" applyAlignment="0" applyProtection="0"/>
    <xf numFmtId="0" fontId="14" fillId="6" borderId="4" applyNumberFormat="0" applyAlignment="0" applyProtection="0"/>
    <xf numFmtId="0" fontId="15" fillId="0" borderId="6" applyNumberFormat="0" applyFill="0" applyAlignment="0" applyProtection="0"/>
    <xf numFmtId="0" fontId="16" fillId="7" borderId="7" applyNumberFormat="0" applyAlignment="0" applyProtection="0"/>
    <xf numFmtId="0" fontId="17" fillId="0" borderId="0" applyNumberFormat="0" applyFill="0" applyBorder="0" applyAlignment="0" applyProtection="0"/>
    <xf numFmtId="0" fontId="3" fillId="8" borderId="8" applyNumberFormat="0" applyFon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20" fillId="24" borderId="0" applyNumberFormat="0" applyBorder="0" applyAlignment="0" applyProtection="0"/>
    <xf numFmtId="0" fontId="20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20" fillId="28" borderId="0" applyNumberFormat="0" applyBorder="0" applyAlignment="0" applyProtection="0"/>
    <xf numFmtId="0" fontId="20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20" fillId="32" borderId="0" applyNumberFormat="0" applyBorder="0" applyAlignment="0" applyProtection="0"/>
    <xf numFmtId="165" fontId="3" fillId="0" borderId="0"/>
    <xf numFmtId="44" fontId="3" fillId="0" borderId="0" applyFont="0" applyFill="0" applyBorder="0" applyAlignment="0" applyProtection="0"/>
    <xf numFmtId="165" fontId="3" fillId="8" borderId="8" applyNumberFormat="0" applyFont="0" applyAlignment="0" applyProtection="0"/>
    <xf numFmtId="165" fontId="3" fillId="0" borderId="0"/>
    <xf numFmtId="0" fontId="3" fillId="0" borderId="0"/>
    <xf numFmtId="0" fontId="3" fillId="8" borderId="8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8" borderId="8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44" fontId="2" fillId="0" borderId="0" applyFont="0" applyFill="0" applyBorder="0" applyAlignment="0" applyProtection="0"/>
    <xf numFmtId="44" fontId="31" fillId="0" borderId="0" applyFill="0" applyBorder="0" applyAlignment="0" applyProtection="0"/>
    <xf numFmtId="165" fontId="1" fillId="0" borderId="0"/>
  </cellStyleXfs>
  <cellXfs count="699">
    <xf numFmtId="0" fontId="0" fillId="0" borderId="0" xfId="0"/>
    <xf numFmtId="164" fontId="22" fillId="33" borderId="0" xfId="0" applyNumberFormat="1" applyFont="1" applyFill="1"/>
    <xf numFmtId="4" fontId="22" fillId="33" borderId="0" xfId="0" applyNumberFormat="1" applyFont="1" applyFill="1"/>
    <xf numFmtId="14" fontId="23" fillId="33" borderId="10" xfId="0" applyNumberFormat="1" applyFont="1" applyFill="1" applyBorder="1" applyAlignment="1">
      <alignment horizontal="right"/>
    </xf>
    <xf numFmtId="4" fontId="23" fillId="33" borderId="10" xfId="0" applyNumberFormat="1" applyFont="1" applyFill="1" applyBorder="1" applyAlignment="1">
      <alignment horizontal="center"/>
    </xf>
    <xf numFmtId="4" fontId="24" fillId="33" borderId="10" xfId="0" applyNumberFormat="1" applyFont="1" applyFill="1" applyBorder="1" applyAlignment="1">
      <alignment horizontal="center"/>
    </xf>
    <xf numFmtId="1" fontId="23" fillId="33" borderId="12" xfId="0" applyNumberFormat="1" applyFont="1" applyFill="1" applyBorder="1" applyAlignment="1">
      <alignment horizontal="center"/>
    </xf>
    <xf numFmtId="4" fontId="22" fillId="33" borderId="0" xfId="0" applyNumberFormat="1" applyFont="1" applyFill="1" applyBorder="1"/>
    <xf numFmtId="14" fontId="23" fillId="33" borderId="13" xfId="0" applyNumberFormat="1" applyFont="1" applyFill="1" applyBorder="1" applyAlignment="1">
      <alignment horizontal="center"/>
    </xf>
    <xf numFmtId="4" fontId="23" fillId="33" borderId="13" xfId="0" applyNumberFormat="1" applyFont="1" applyFill="1" applyBorder="1" applyAlignment="1">
      <alignment horizontal="center"/>
    </xf>
    <xf numFmtId="4" fontId="24" fillId="33" borderId="13" xfId="0" applyNumberFormat="1" applyFont="1" applyFill="1" applyBorder="1" applyAlignment="1">
      <alignment horizontal="center"/>
    </xf>
    <xf numFmtId="1" fontId="23" fillId="33" borderId="15" xfId="0" applyNumberFormat="1" applyFont="1" applyFill="1" applyBorder="1" applyAlignment="1">
      <alignment horizontal="center"/>
    </xf>
    <xf numFmtId="14" fontId="22" fillId="33" borderId="16" xfId="0" applyNumberFormat="1" applyFont="1" applyFill="1" applyBorder="1" applyAlignment="1">
      <alignment horizontal="right"/>
    </xf>
    <xf numFmtId="4" fontId="25" fillId="33" borderId="17" xfId="0" applyNumberFormat="1" applyFont="1" applyFill="1" applyBorder="1" applyAlignment="1">
      <alignment vertical="center"/>
    </xf>
    <xf numFmtId="4" fontId="25" fillId="33" borderId="18" xfId="0" applyNumberFormat="1" applyFont="1" applyFill="1" applyBorder="1" applyAlignment="1">
      <alignment vertical="center"/>
    </xf>
    <xf numFmtId="4" fontId="26" fillId="33" borderId="18" xfId="0" applyNumberFormat="1" applyFont="1" applyFill="1" applyBorder="1" applyAlignment="1">
      <alignment vertical="center"/>
    </xf>
    <xf numFmtId="1" fontId="23" fillId="33" borderId="19" xfId="0" applyNumberFormat="1" applyFont="1" applyFill="1" applyBorder="1" applyAlignment="1">
      <alignment horizontal="right"/>
    </xf>
    <xf numFmtId="1" fontId="23" fillId="33" borderId="16" xfId="0" applyNumberFormat="1" applyFont="1" applyFill="1" applyBorder="1" applyAlignment="1">
      <alignment horizontal="right"/>
    </xf>
    <xf numFmtId="4" fontId="23" fillId="33" borderId="0" xfId="0" applyNumberFormat="1" applyFont="1" applyFill="1"/>
    <xf numFmtId="4" fontId="22" fillId="33" borderId="17" xfId="0" applyNumberFormat="1" applyFont="1" applyFill="1" applyBorder="1" applyAlignment="1">
      <alignment vertical="center"/>
    </xf>
    <xf numFmtId="4" fontId="22" fillId="33" borderId="16" xfId="0" applyNumberFormat="1" applyFont="1" applyFill="1" applyBorder="1" applyAlignment="1">
      <alignment vertical="center"/>
    </xf>
    <xf numFmtId="4" fontId="27" fillId="33" borderId="16" xfId="0" applyNumberFormat="1" applyFont="1" applyFill="1" applyBorder="1" applyAlignment="1">
      <alignment vertical="center"/>
    </xf>
    <xf numFmtId="1" fontId="22" fillId="33" borderId="16" xfId="0" applyNumberFormat="1" applyFont="1" applyFill="1" applyBorder="1"/>
    <xf numFmtId="4" fontId="22" fillId="33" borderId="20" xfId="0" applyNumberFormat="1" applyFont="1" applyFill="1" applyBorder="1" applyAlignment="1">
      <alignment vertical="center"/>
    </xf>
    <xf numFmtId="4" fontId="22" fillId="33" borderId="20" xfId="0" applyNumberFormat="1" applyFont="1" applyFill="1" applyBorder="1"/>
    <xf numFmtId="14" fontId="22" fillId="33" borderId="19" xfId="0" applyNumberFormat="1" applyFont="1" applyFill="1" applyBorder="1" applyAlignment="1">
      <alignment horizontal="right"/>
    </xf>
    <xf numFmtId="4" fontId="25" fillId="33" borderId="19" xfId="0" applyNumberFormat="1" applyFont="1" applyFill="1" applyBorder="1"/>
    <xf numFmtId="4" fontId="26" fillId="33" borderId="19" xfId="0" applyNumberFormat="1" applyFont="1" applyFill="1" applyBorder="1"/>
    <xf numFmtId="1" fontId="22" fillId="33" borderId="19" xfId="0" applyNumberFormat="1" applyFont="1" applyFill="1" applyBorder="1"/>
    <xf numFmtId="1" fontId="22" fillId="33" borderId="19" xfId="0" applyNumberFormat="1" applyFont="1" applyFill="1" applyBorder="1" applyAlignment="1">
      <alignment horizontal="right"/>
    </xf>
    <xf numFmtId="4" fontId="25" fillId="33" borderId="19" xfId="0" applyNumberFormat="1" applyFont="1" applyFill="1" applyBorder="1" applyAlignment="1">
      <alignment vertical="center"/>
    </xf>
    <xf numFmtId="4" fontId="26" fillId="33" borderId="19" xfId="0" applyNumberFormat="1" applyFont="1" applyFill="1" applyBorder="1" applyAlignment="1">
      <alignment vertical="center"/>
    </xf>
    <xf numFmtId="0" fontId="28" fillId="33" borderId="20" xfId="0" applyFont="1" applyFill="1" applyBorder="1" applyAlignment="1"/>
    <xf numFmtId="1" fontId="23" fillId="33" borderId="21" xfId="0" applyNumberFormat="1" applyFont="1" applyFill="1" applyBorder="1" applyAlignment="1">
      <alignment horizontal="right"/>
    </xf>
    <xf numFmtId="1" fontId="22" fillId="33" borderId="23" xfId="0" applyNumberFormat="1" applyFont="1" applyFill="1" applyBorder="1" applyAlignment="1">
      <alignment horizontal="right"/>
    </xf>
    <xf numFmtId="1" fontId="22" fillId="33" borderId="23" xfId="0" applyNumberFormat="1" applyFont="1" applyFill="1" applyBorder="1" applyAlignment="1">
      <alignment horizontal="right" vertical="center"/>
    </xf>
    <xf numFmtId="1" fontId="22" fillId="33" borderId="24" xfId="0" applyNumberFormat="1" applyFont="1" applyFill="1" applyBorder="1" applyAlignment="1">
      <alignment horizontal="right"/>
    </xf>
    <xf numFmtId="4" fontId="22" fillId="33" borderId="22" xfId="0" applyNumberFormat="1" applyFont="1" applyFill="1" applyBorder="1" applyAlignment="1">
      <alignment vertical="center"/>
    </xf>
    <xf numFmtId="4" fontId="25" fillId="33" borderId="20" xfId="0" applyNumberFormat="1" applyFont="1" applyFill="1" applyBorder="1"/>
    <xf numFmtId="4" fontId="25" fillId="33" borderId="16" xfId="0" applyNumberFormat="1" applyFont="1" applyFill="1" applyBorder="1" applyAlignment="1">
      <alignment vertical="center"/>
    </xf>
    <xf numFmtId="4" fontId="26" fillId="33" borderId="16" xfId="0" applyNumberFormat="1" applyFont="1" applyFill="1" applyBorder="1" applyAlignment="1">
      <alignment vertical="center"/>
    </xf>
    <xf numFmtId="1" fontId="22" fillId="33" borderId="16" xfId="0" applyNumberFormat="1" applyFont="1" applyFill="1" applyBorder="1" applyAlignment="1">
      <alignment horizontal="right" vertical="center"/>
    </xf>
    <xf numFmtId="4" fontId="29" fillId="33" borderId="0" xfId="0" applyNumberFormat="1" applyFont="1" applyFill="1"/>
    <xf numFmtId="14" fontId="27" fillId="33" borderId="19" xfId="0" applyNumberFormat="1" applyFont="1" applyFill="1" applyBorder="1" applyAlignment="1">
      <alignment horizontal="right"/>
    </xf>
    <xf numFmtId="4" fontId="27" fillId="33" borderId="20" xfId="0" applyNumberFormat="1" applyFont="1" applyFill="1" applyBorder="1" applyAlignment="1">
      <alignment vertical="center"/>
    </xf>
    <xf numFmtId="4" fontId="27" fillId="33" borderId="0" xfId="0" applyNumberFormat="1" applyFont="1" applyFill="1"/>
    <xf numFmtId="4" fontId="22" fillId="33" borderId="19" xfId="0" applyNumberFormat="1" applyFont="1" applyFill="1" applyBorder="1" applyAlignment="1">
      <alignment vertical="center"/>
    </xf>
    <xf numFmtId="4" fontId="27" fillId="33" borderId="19" xfId="0" applyNumberFormat="1" applyFont="1" applyFill="1" applyBorder="1" applyAlignment="1">
      <alignment vertical="center"/>
    </xf>
    <xf numFmtId="1" fontId="22" fillId="33" borderId="16" xfId="0" applyNumberFormat="1" applyFont="1" applyFill="1" applyBorder="1" applyAlignment="1">
      <alignment horizontal="right"/>
    </xf>
    <xf numFmtId="14" fontId="22" fillId="33" borderId="24" xfId="0" applyNumberFormat="1" applyFont="1" applyFill="1" applyBorder="1" applyAlignment="1">
      <alignment horizontal="right"/>
    </xf>
    <xf numFmtId="14" fontId="29" fillId="33" borderId="19" xfId="0" applyNumberFormat="1" applyFont="1" applyFill="1" applyBorder="1" applyAlignment="1">
      <alignment horizontal="right"/>
    </xf>
    <xf numFmtId="1" fontId="29" fillId="33" borderId="19" xfId="0" applyNumberFormat="1" applyFont="1" applyFill="1" applyBorder="1" applyAlignment="1">
      <alignment horizontal="right"/>
    </xf>
    <xf numFmtId="4" fontId="22" fillId="33" borderId="16" xfId="0" applyNumberFormat="1" applyFont="1" applyFill="1" applyBorder="1"/>
    <xf numFmtId="4" fontId="27" fillId="33" borderId="16" xfId="0" applyNumberFormat="1" applyFont="1" applyFill="1" applyBorder="1"/>
    <xf numFmtId="0" fontId="22" fillId="33" borderId="27" xfId="0" applyFont="1" applyFill="1" applyBorder="1" applyAlignment="1"/>
    <xf numFmtId="4" fontId="27" fillId="33" borderId="28" xfId="0" applyNumberFormat="1" applyFont="1" applyFill="1" applyBorder="1"/>
    <xf numFmtId="4" fontId="27" fillId="33" borderId="19" xfId="0" applyNumberFormat="1" applyFont="1" applyFill="1" applyBorder="1"/>
    <xf numFmtId="4" fontId="22" fillId="33" borderId="25" xfId="0" applyNumberFormat="1" applyFont="1" applyFill="1" applyBorder="1" applyAlignment="1">
      <alignment vertical="center"/>
    </xf>
    <xf numFmtId="0" fontId="30" fillId="33" borderId="20" xfId="0" applyFont="1" applyFill="1" applyBorder="1"/>
    <xf numFmtId="4" fontId="29" fillId="33" borderId="19" xfId="0" applyNumberFormat="1" applyFont="1" applyFill="1" applyBorder="1" applyAlignment="1">
      <alignment vertical="center"/>
    </xf>
    <xf numFmtId="1" fontId="29" fillId="33" borderId="19" xfId="0" applyNumberFormat="1" applyFont="1" applyFill="1" applyBorder="1"/>
    <xf numFmtId="4" fontId="29" fillId="33" borderId="17" xfId="0" applyNumberFormat="1" applyFont="1" applyFill="1" applyBorder="1" applyAlignment="1">
      <alignment vertical="center"/>
    </xf>
    <xf numFmtId="1" fontId="22" fillId="33" borderId="24" xfId="0" applyNumberFormat="1" applyFont="1" applyFill="1" applyBorder="1"/>
    <xf numFmtId="1" fontId="29" fillId="33" borderId="16" xfId="0" applyNumberFormat="1" applyFont="1" applyFill="1" applyBorder="1" applyAlignment="1">
      <alignment horizontal="right"/>
    </xf>
    <xf numFmtId="4" fontId="29" fillId="33" borderId="25" xfId="0" applyNumberFormat="1" applyFont="1" applyFill="1" applyBorder="1"/>
    <xf numFmtId="4" fontId="29" fillId="33" borderId="19" xfId="0" applyNumberFormat="1" applyFont="1" applyFill="1" applyBorder="1"/>
    <xf numFmtId="4" fontId="25" fillId="33" borderId="25" xfId="0" applyNumberFormat="1" applyFont="1" applyFill="1" applyBorder="1" applyAlignment="1">
      <alignment vertical="center"/>
    </xf>
    <xf numFmtId="1" fontId="27" fillId="33" borderId="19" xfId="0" applyNumberFormat="1" applyFont="1" applyFill="1" applyBorder="1"/>
    <xf numFmtId="1" fontId="27" fillId="33" borderId="16" xfId="0" applyNumberFormat="1" applyFont="1" applyFill="1" applyBorder="1" applyAlignment="1">
      <alignment horizontal="right"/>
    </xf>
    <xf numFmtId="4" fontId="25" fillId="33" borderId="20" xfId="0" applyNumberFormat="1" applyFont="1" applyFill="1" applyBorder="1" applyAlignment="1">
      <alignment vertical="center"/>
    </xf>
    <xf numFmtId="4" fontId="25" fillId="33" borderId="17" xfId="0" applyNumberFormat="1" applyFont="1" applyFill="1" applyBorder="1"/>
    <xf numFmtId="1" fontId="25" fillId="33" borderId="19" xfId="0" applyNumberFormat="1" applyFont="1" applyFill="1" applyBorder="1"/>
    <xf numFmtId="14" fontId="22" fillId="33" borderId="29" xfId="0" applyNumberFormat="1" applyFont="1" applyFill="1" applyBorder="1" applyAlignment="1">
      <alignment horizontal="right"/>
    </xf>
    <xf numFmtId="4" fontId="22" fillId="33" borderId="30" xfId="0" applyNumberFormat="1" applyFont="1" applyFill="1" applyBorder="1"/>
    <xf numFmtId="4" fontId="22" fillId="33" borderId="29" xfId="0" applyNumberFormat="1" applyFont="1" applyFill="1" applyBorder="1"/>
    <xf numFmtId="4" fontId="27" fillId="33" borderId="29" xfId="0" applyNumberFormat="1" applyFont="1" applyFill="1" applyBorder="1"/>
    <xf numFmtId="1" fontId="22" fillId="33" borderId="29" xfId="0" applyNumberFormat="1" applyFont="1" applyFill="1" applyBorder="1"/>
    <xf numFmtId="1" fontId="22" fillId="33" borderId="29" xfId="0" applyNumberFormat="1" applyFont="1" applyFill="1" applyBorder="1" applyAlignment="1">
      <alignment horizontal="right"/>
    </xf>
    <xf numFmtId="14" fontId="22" fillId="33" borderId="0" xfId="0" applyNumberFormat="1" applyFont="1" applyFill="1" applyBorder="1" applyAlignment="1">
      <alignment horizontal="right"/>
    </xf>
    <xf numFmtId="4" fontId="27" fillId="33" borderId="0" xfId="0" applyNumberFormat="1" applyFont="1" applyFill="1" applyBorder="1"/>
    <xf numFmtId="1" fontId="22" fillId="33" borderId="0" xfId="0" applyNumberFormat="1" applyFont="1" applyFill="1" applyBorder="1"/>
    <xf numFmtId="1" fontId="23" fillId="33" borderId="10" xfId="0" applyNumberFormat="1" applyFont="1" applyFill="1" applyBorder="1" applyAlignment="1">
      <alignment horizontal="center"/>
    </xf>
    <xf numFmtId="1" fontId="23" fillId="33" borderId="13" xfId="0" applyNumberFormat="1" applyFont="1" applyFill="1" applyBorder="1" applyAlignment="1">
      <alignment horizontal="center"/>
    </xf>
    <xf numFmtId="0" fontId="28" fillId="33" borderId="20" xfId="0" applyFont="1" applyFill="1" applyBorder="1" applyAlignment="1">
      <alignment horizontal="left"/>
    </xf>
    <xf numFmtId="4" fontId="29" fillId="33" borderId="16" xfId="0" applyNumberFormat="1" applyFont="1" applyFill="1" applyBorder="1"/>
    <xf numFmtId="1" fontId="29" fillId="33" borderId="16" xfId="0" applyNumberFormat="1" applyFont="1" applyFill="1" applyBorder="1"/>
    <xf numFmtId="4" fontId="27" fillId="33" borderId="16" xfId="0" applyNumberFormat="1" applyFont="1" applyFill="1" applyBorder="1" applyAlignment="1">
      <alignment horizontal="right"/>
    </xf>
    <xf numFmtId="14" fontId="22" fillId="33" borderId="0" xfId="0" applyNumberFormat="1" applyFont="1" applyFill="1" applyAlignment="1">
      <alignment horizontal="right"/>
    </xf>
    <xf numFmtId="1" fontId="22" fillId="33" borderId="0" xfId="0" applyNumberFormat="1" applyFont="1" applyFill="1"/>
    <xf numFmtId="14" fontId="23" fillId="33" borderId="0" xfId="0" applyNumberFormat="1" applyFont="1" applyFill="1" applyBorder="1" applyAlignment="1">
      <alignment horizontal="right"/>
    </xf>
    <xf numFmtId="4" fontId="22" fillId="33" borderId="31" xfId="0" applyNumberFormat="1" applyFont="1" applyFill="1" applyBorder="1"/>
    <xf numFmtId="4" fontId="27" fillId="33" borderId="31" xfId="0" applyNumberFormat="1" applyFont="1" applyFill="1" applyBorder="1"/>
    <xf numFmtId="1" fontId="22" fillId="33" borderId="0" xfId="0" applyNumberFormat="1" applyFont="1" applyFill="1" applyBorder="1" applyAlignment="1">
      <alignment horizontal="right"/>
    </xf>
    <xf numFmtId="14" fontId="23" fillId="33" borderId="32" xfId="0" applyNumberFormat="1" applyFont="1" applyFill="1" applyBorder="1" applyAlignment="1">
      <alignment horizontal="right"/>
    </xf>
    <xf numFmtId="4" fontId="23" fillId="33" borderId="33" xfId="0" applyNumberFormat="1" applyFont="1" applyFill="1" applyBorder="1" applyAlignment="1">
      <alignment horizontal="center"/>
    </xf>
    <xf numFmtId="1" fontId="23" fillId="33" borderId="34" xfId="0" applyNumberFormat="1" applyFont="1" applyFill="1" applyBorder="1" applyAlignment="1">
      <alignment horizontal="center"/>
    </xf>
    <xf numFmtId="4" fontId="23" fillId="33" borderId="32" xfId="0" applyNumberFormat="1" applyFont="1" applyFill="1" applyBorder="1" applyAlignment="1">
      <alignment horizontal="center"/>
    </xf>
    <xf numFmtId="4" fontId="24" fillId="33" borderId="26" xfId="0" applyNumberFormat="1" applyFont="1" applyFill="1" applyBorder="1" applyAlignment="1">
      <alignment horizontal="center"/>
    </xf>
    <xf numFmtId="14" fontId="22" fillId="33" borderId="32" xfId="0" applyNumberFormat="1" applyFont="1" applyFill="1" applyBorder="1" applyAlignment="1">
      <alignment horizontal="right"/>
    </xf>
    <xf numFmtId="4" fontId="22" fillId="33" borderId="21" xfId="0" applyNumberFormat="1" applyFont="1" applyFill="1" applyBorder="1"/>
    <xf numFmtId="1" fontId="22" fillId="33" borderId="34" xfId="0" applyNumberFormat="1" applyFont="1" applyFill="1" applyBorder="1"/>
    <xf numFmtId="1" fontId="22" fillId="33" borderId="34" xfId="0" applyNumberFormat="1" applyFont="1" applyFill="1" applyBorder="1" applyAlignment="1">
      <alignment horizontal="right"/>
    </xf>
    <xf numFmtId="4" fontId="25" fillId="33" borderId="35" xfId="0" applyNumberFormat="1" applyFont="1" applyFill="1" applyBorder="1"/>
    <xf numFmtId="4" fontId="22" fillId="33" borderId="36" xfId="0" applyNumberFormat="1" applyFont="1" applyFill="1" applyBorder="1"/>
    <xf numFmtId="14" fontId="29" fillId="33" borderId="0" xfId="0" applyNumberFormat="1" applyFont="1" applyFill="1" applyAlignment="1">
      <alignment horizontal="right"/>
    </xf>
    <xf numFmtId="1" fontId="29" fillId="33" borderId="0" xfId="0" applyNumberFormat="1" applyFont="1" applyFill="1"/>
    <xf numFmtId="164" fontId="29" fillId="33" borderId="0" xfId="0" applyNumberFormat="1" applyFont="1" applyFill="1"/>
    <xf numFmtId="4" fontId="27" fillId="33" borderId="17" xfId="0" applyNumberFormat="1" applyFont="1" applyFill="1" applyBorder="1" applyAlignment="1">
      <alignment vertical="center"/>
    </xf>
    <xf numFmtId="1" fontId="27" fillId="33" borderId="23" xfId="0" applyNumberFormat="1" applyFont="1" applyFill="1" applyBorder="1" applyAlignment="1">
      <alignment horizontal="right"/>
    </xf>
    <xf numFmtId="4" fontId="22" fillId="33" borderId="0" xfId="0" applyNumberFormat="1" applyFont="1" applyFill="1" applyAlignment="1">
      <alignment horizontal="right"/>
    </xf>
    <xf numFmtId="0" fontId="36" fillId="33" borderId="0" xfId="0" applyNumberFormat="1" applyFont="1" applyFill="1" applyBorder="1" applyAlignment="1" applyProtection="1">
      <alignment vertical="top"/>
    </xf>
    <xf numFmtId="49" fontId="32" fillId="33" borderId="0" xfId="0" applyNumberFormat="1" applyFont="1" applyFill="1" applyBorder="1" applyAlignment="1" applyProtection="1">
      <alignment horizontal="left"/>
      <protection locked="0"/>
    </xf>
    <xf numFmtId="14" fontId="32" fillId="33" borderId="0" xfId="0" applyNumberFormat="1" applyFont="1" applyFill="1" applyBorder="1" applyProtection="1">
      <protection locked="0"/>
    </xf>
    <xf numFmtId="49" fontId="32" fillId="33" borderId="0" xfId="0" applyNumberFormat="1" applyFont="1" applyFill="1" applyBorder="1" applyAlignment="1" applyProtection="1">
      <alignment horizontal="right"/>
      <protection locked="0"/>
    </xf>
    <xf numFmtId="4" fontId="27" fillId="33" borderId="26" xfId="0" applyNumberFormat="1" applyFont="1" applyFill="1" applyBorder="1"/>
    <xf numFmtId="4" fontId="38" fillId="33" borderId="16" xfId="0" applyNumberFormat="1" applyFont="1" applyFill="1" applyBorder="1" applyAlignment="1">
      <alignment vertical="center"/>
    </xf>
    <xf numFmtId="4" fontId="38" fillId="33" borderId="19" xfId="0" applyNumberFormat="1" applyFont="1" applyFill="1" applyBorder="1" applyAlignment="1">
      <alignment vertical="center"/>
    </xf>
    <xf numFmtId="4" fontId="24" fillId="33" borderId="11" xfId="0" applyNumberFormat="1" applyFont="1" applyFill="1" applyBorder="1" applyAlignment="1">
      <alignment horizontal="center"/>
    </xf>
    <xf numFmtId="4" fontId="24" fillId="33" borderId="14" xfId="0" applyNumberFormat="1" applyFont="1" applyFill="1" applyBorder="1" applyAlignment="1">
      <alignment horizontal="center"/>
    </xf>
    <xf numFmtId="165" fontId="32" fillId="33" borderId="0" xfId="0" applyNumberFormat="1" applyFont="1" applyFill="1" applyBorder="1"/>
    <xf numFmtId="4" fontId="22" fillId="33" borderId="0" xfId="0" applyNumberFormat="1" applyFont="1" applyFill="1" applyBorder="1" applyAlignment="1">
      <alignment horizontal="center"/>
    </xf>
    <xf numFmtId="4" fontId="39" fillId="33" borderId="0" xfId="0" applyNumberFormat="1" applyFont="1" applyFill="1" applyBorder="1" applyAlignment="1">
      <alignment horizontal="center"/>
    </xf>
    <xf numFmtId="4" fontId="27" fillId="33" borderId="21" xfId="0" applyNumberFormat="1" applyFont="1" applyFill="1" applyBorder="1"/>
    <xf numFmtId="0" fontId="0" fillId="0" borderId="38" xfId="0" applyBorder="1"/>
    <xf numFmtId="4" fontId="0" fillId="0" borderId="40" xfId="0" applyNumberFormat="1" applyBorder="1"/>
    <xf numFmtId="0" fontId="0" fillId="0" borderId="42" xfId="0" applyBorder="1"/>
    <xf numFmtId="4" fontId="0" fillId="0" borderId="43" xfId="0" applyNumberFormat="1" applyBorder="1"/>
    <xf numFmtId="0" fontId="40" fillId="0" borderId="44" xfId="0" applyFont="1" applyBorder="1"/>
    <xf numFmtId="4" fontId="40" fillId="0" borderId="45" xfId="0" applyNumberFormat="1" applyFont="1" applyBorder="1"/>
    <xf numFmtId="4" fontId="40" fillId="0" borderId="46" xfId="0" applyNumberFormat="1" applyFont="1" applyBorder="1"/>
    <xf numFmtId="1" fontId="28" fillId="33" borderId="0" xfId="0" applyNumberFormat="1" applyFont="1" applyFill="1" applyBorder="1" applyAlignment="1">
      <alignment horizontal="center"/>
    </xf>
    <xf numFmtId="167" fontId="28" fillId="33" borderId="0" xfId="0" applyNumberFormat="1" applyFont="1" applyFill="1" applyBorder="1"/>
    <xf numFmtId="1" fontId="28" fillId="33" borderId="38" xfId="0" applyNumberFormat="1" applyFont="1" applyFill="1" applyBorder="1" applyAlignment="1">
      <alignment horizontal="center"/>
    </xf>
    <xf numFmtId="1" fontId="28" fillId="33" borderId="39" xfId="0" applyNumberFormat="1" applyFont="1" applyFill="1" applyBorder="1" applyAlignment="1">
      <alignment horizontal="center"/>
    </xf>
    <xf numFmtId="1" fontId="29" fillId="33" borderId="40" xfId="0" applyNumberFormat="1" applyFont="1" applyFill="1" applyBorder="1"/>
    <xf numFmtId="164" fontId="29" fillId="33" borderId="40" xfId="0" applyNumberFormat="1" applyFont="1" applyFill="1" applyBorder="1"/>
    <xf numFmtId="4" fontId="22" fillId="33" borderId="41" xfId="0" applyNumberFormat="1" applyFont="1" applyFill="1" applyBorder="1"/>
    <xf numFmtId="14" fontId="27" fillId="33" borderId="45" xfId="0" applyNumberFormat="1" applyFont="1" applyFill="1" applyBorder="1" applyAlignment="1">
      <alignment horizontal="right"/>
    </xf>
    <xf numFmtId="164" fontId="22" fillId="33" borderId="45" xfId="0" applyNumberFormat="1" applyFont="1" applyFill="1" applyBorder="1"/>
    <xf numFmtId="164" fontId="22" fillId="33" borderId="46" xfId="0" applyNumberFormat="1" applyFont="1" applyFill="1" applyBorder="1"/>
    <xf numFmtId="14" fontId="22" fillId="33" borderId="45" xfId="0" applyNumberFormat="1" applyFont="1" applyFill="1" applyBorder="1" applyAlignment="1">
      <alignment horizontal="right"/>
    </xf>
    <xf numFmtId="4" fontId="22" fillId="33" borderId="43" xfId="0" applyNumberFormat="1" applyFont="1" applyFill="1" applyBorder="1" applyAlignment="1">
      <alignment horizontal="right"/>
    </xf>
    <xf numFmtId="4" fontId="22" fillId="33" borderId="37" xfId="0" applyNumberFormat="1" applyFont="1" applyFill="1" applyBorder="1" applyAlignment="1">
      <alignment horizontal="right"/>
    </xf>
    <xf numFmtId="167" fontId="22" fillId="33" borderId="43" xfId="0" applyNumberFormat="1" applyFont="1" applyFill="1" applyBorder="1"/>
    <xf numFmtId="167" fontId="22" fillId="33" borderId="37" xfId="0" applyNumberFormat="1" applyFont="1" applyFill="1" applyBorder="1"/>
    <xf numFmtId="167" fontId="22" fillId="33" borderId="40" xfId="0" applyNumberFormat="1" applyFont="1" applyFill="1" applyBorder="1"/>
    <xf numFmtId="4" fontId="40" fillId="0" borderId="49" xfId="0" applyNumberFormat="1" applyFont="1" applyBorder="1"/>
    <xf numFmtId="0" fontId="40" fillId="0" borderId="0" xfId="0" applyFont="1"/>
    <xf numFmtId="0" fontId="0" fillId="0" borderId="50" xfId="0" applyBorder="1"/>
    <xf numFmtId="4" fontId="0" fillId="0" borderId="51" xfId="0" applyNumberFormat="1" applyBorder="1"/>
    <xf numFmtId="4" fontId="0" fillId="0" borderId="52" xfId="0" applyNumberFormat="1" applyBorder="1"/>
    <xf numFmtId="4" fontId="40" fillId="0" borderId="48" xfId="0" applyNumberFormat="1" applyFont="1" applyBorder="1"/>
    <xf numFmtId="4" fontId="40" fillId="0" borderId="45" xfId="0" applyNumberFormat="1" applyFont="1" applyBorder="1" applyAlignment="1">
      <alignment horizontal="center"/>
    </xf>
    <xf numFmtId="4" fontId="40" fillId="0" borderId="46" xfId="0" applyNumberFormat="1" applyFont="1" applyBorder="1" applyAlignment="1">
      <alignment horizontal="center"/>
    </xf>
    <xf numFmtId="167" fontId="30" fillId="33" borderId="0" xfId="0" applyNumberFormat="1" applyFont="1" applyFill="1" applyBorder="1"/>
    <xf numFmtId="4" fontId="27" fillId="33" borderId="43" xfId="0" applyNumberFormat="1" applyFont="1" applyFill="1" applyBorder="1"/>
    <xf numFmtId="167" fontId="27" fillId="33" borderId="37" xfId="0" applyNumberFormat="1" applyFont="1" applyFill="1" applyBorder="1"/>
    <xf numFmtId="167" fontId="27" fillId="33" borderId="40" xfId="0" applyNumberFormat="1" applyFont="1" applyFill="1" applyBorder="1"/>
    <xf numFmtId="0" fontId="0" fillId="33" borderId="42" xfId="0" applyFill="1" applyBorder="1"/>
    <xf numFmtId="0" fontId="0" fillId="33" borderId="38" xfId="0" applyFill="1" applyBorder="1"/>
    <xf numFmtId="4" fontId="38" fillId="33" borderId="0" xfId="0" applyNumberFormat="1" applyFont="1" applyFill="1"/>
    <xf numFmtId="1" fontId="22" fillId="33" borderId="23" xfId="0" applyNumberFormat="1" applyFont="1" applyFill="1" applyBorder="1"/>
    <xf numFmtId="4" fontId="28" fillId="33" borderId="0" xfId="0" applyNumberFormat="1" applyFont="1" applyFill="1" applyBorder="1" applyAlignment="1">
      <alignment horizontal="center"/>
    </xf>
    <xf numFmtId="4" fontId="27" fillId="33" borderId="24" xfId="0" applyNumberFormat="1" applyFont="1" applyFill="1" applyBorder="1" applyAlignment="1">
      <alignment vertical="center"/>
    </xf>
    <xf numFmtId="4" fontId="27" fillId="33" borderId="62" xfId="0" applyNumberFormat="1" applyFont="1" applyFill="1" applyBorder="1"/>
    <xf numFmtId="1" fontId="23" fillId="33" borderId="0" xfId="0" applyNumberFormat="1" applyFont="1" applyFill="1" applyBorder="1" applyAlignment="1">
      <alignment horizontal="center"/>
    </xf>
    <xf numFmtId="49" fontId="32" fillId="33" borderId="0" xfId="0" applyNumberFormat="1" applyFont="1" applyFill="1" applyBorder="1" applyProtection="1">
      <protection locked="0"/>
    </xf>
    <xf numFmtId="168" fontId="32" fillId="33" borderId="0" xfId="0" applyNumberFormat="1" applyFont="1" applyFill="1" applyBorder="1" applyAlignment="1" applyProtection="1">
      <alignment horizontal="right"/>
      <protection locked="0"/>
    </xf>
    <xf numFmtId="169" fontId="37" fillId="33" borderId="0" xfId="1" applyNumberFormat="1" applyFont="1" applyFill="1" applyBorder="1" applyProtection="1">
      <protection locked="0"/>
    </xf>
    <xf numFmtId="4" fontId="21" fillId="33" borderId="0" xfId="0" applyNumberFormat="1" applyFont="1" applyFill="1" applyBorder="1" applyAlignment="1">
      <alignment horizontal="center"/>
    </xf>
    <xf numFmtId="4" fontId="22" fillId="33" borderId="44" xfId="0" applyNumberFormat="1" applyFont="1" applyFill="1" applyBorder="1"/>
    <xf numFmtId="0" fontId="0" fillId="33" borderId="63" xfId="0" applyFill="1" applyBorder="1"/>
    <xf numFmtId="0" fontId="0" fillId="33" borderId="64" xfId="0" applyFill="1" applyBorder="1"/>
    <xf numFmtId="0" fontId="0" fillId="33" borderId="65" xfId="0" applyFill="1" applyBorder="1"/>
    <xf numFmtId="4" fontId="22" fillId="56" borderId="16" xfId="0" applyNumberFormat="1" applyFont="1" applyFill="1" applyBorder="1" applyAlignment="1">
      <alignment vertical="center"/>
    </xf>
    <xf numFmtId="4" fontId="22" fillId="56" borderId="16" xfId="0" applyNumberFormat="1" applyFont="1" applyFill="1" applyBorder="1"/>
    <xf numFmtId="4" fontId="27" fillId="56" borderId="16" xfId="0" applyNumberFormat="1" applyFont="1" applyFill="1" applyBorder="1"/>
    <xf numFmtId="4" fontId="29" fillId="56" borderId="0" xfId="0" applyNumberFormat="1" applyFont="1" applyFill="1"/>
    <xf numFmtId="4" fontId="0" fillId="0" borderId="0" xfId="0" applyNumberFormat="1"/>
    <xf numFmtId="4" fontId="22" fillId="56" borderId="19" xfId="0" applyNumberFormat="1" applyFont="1" applyFill="1" applyBorder="1" applyAlignment="1">
      <alignment vertical="center"/>
    </xf>
    <xf numFmtId="14" fontId="22" fillId="33" borderId="0" xfId="0" applyNumberFormat="1" applyFont="1" applyFill="1" applyAlignment="1">
      <alignment horizontal="left"/>
    </xf>
    <xf numFmtId="4" fontId="22" fillId="56" borderId="22" xfId="0" applyNumberFormat="1" applyFont="1" applyFill="1" applyBorder="1" applyAlignment="1">
      <alignment vertical="center"/>
    </xf>
    <xf numFmtId="4" fontId="21" fillId="33" borderId="0" xfId="0" applyNumberFormat="1" applyFont="1" applyFill="1" applyBorder="1" applyAlignment="1">
      <alignment horizontal="center"/>
    </xf>
    <xf numFmtId="0" fontId="57" fillId="33" borderId="0" xfId="0" applyNumberFormat="1" applyFont="1" applyFill="1" applyBorder="1" applyAlignment="1" applyProtection="1">
      <alignment vertical="top"/>
    </xf>
    <xf numFmtId="0" fontId="28" fillId="33" borderId="42" xfId="0" applyFont="1" applyFill="1" applyBorder="1"/>
    <xf numFmtId="165" fontId="28" fillId="33" borderId="0" xfId="0" applyNumberFormat="1" applyFont="1" applyFill="1" applyBorder="1"/>
    <xf numFmtId="0" fontId="28" fillId="33" borderId="38" xfId="0" applyFont="1" applyFill="1" applyBorder="1"/>
    <xf numFmtId="0" fontId="28" fillId="0" borderId="0" xfId="0" applyFont="1"/>
    <xf numFmtId="4" fontId="28" fillId="0" borderId="0" xfId="0" applyNumberFormat="1" applyFont="1"/>
    <xf numFmtId="49" fontId="28" fillId="33" borderId="0" xfId="0" applyNumberFormat="1" applyFont="1" applyFill="1" applyBorder="1" applyProtection="1">
      <protection locked="0"/>
    </xf>
    <xf numFmtId="49" fontId="28" fillId="33" borderId="0" xfId="0" applyNumberFormat="1" applyFont="1" applyFill="1" applyBorder="1" applyAlignment="1" applyProtection="1">
      <alignment horizontal="left"/>
      <protection locked="0"/>
    </xf>
    <xf numFmtId="168" fontId="28" fillId="33" borderId="0" xfId="0" applyNumberFormat="1" applyFont="1" applyFill="1" applyBorder="1" applyAlignment="1" applyProtection="1">
      <alignment horizontal="right"/>
      <protection locked="0"/>
    </xf>
    <xf numFmtId="14" fontId="28" fillId="33" borderId="0" xfId="0" applyNumberFormat="1" applyFont="1" applyFill="1" applyBorder="1" applyProtection="1">
      <protection locked="0"/>
    </xf>
    <xf numFmtId="49" fontId="28" fillId="33" borderId="0" xfId="0" applyNumberFormat="1" applyFont="1" applyFill="1" applyBorder="1" applyAlignment="1" applyProtection="1">
      <alignment horizontal="right"/>
      <protection locked="0"/>
    </xf>
    <xf numFmtId="169" fontId="30" fillId="33" borderId="0" xfId="1" applyNumberFormat="1" applyFont="1" applyFill="1" applyBorder="1" applyProtection="1">
      <protection locked="0"/>
    </xf>
    <xf numFmtId="4" fontId="21" fillId="33" borderId="0" xfId="0" applyNumberFormat="1" applyFont="1" applyFill="1" applyBorder="1" applyAlignment="1">
      <alignment horizontal="center"/>
    </xf>
    <xf numFmtId="4" fontId="21" fillId="33" borderId="0" xfId="0" applyNumberFormat="1" applyFont="1" applyFill="1" applyBorder="1" applyAlignment="1">
      <alignment horizontal="center"/>
    </xf>
    <xf numFmtId="4" fontId="27" fillId="56" borderId="28" xfId="0" applyNumberFormat="1" applyFont="1" applyFill="1" applyBorder="1"/>
    <xf numFmtId="4" fontId="22" fillId="56" borderId="0" xfId="0" applyNumberFormat="1" applyFont="1" applyFill="1"/>
    <xf numFmtId="4" fontId="21" fillId="33" borderId="0" xfId="0" applyNumberFormat="1" applyFont="1" applyFill="1" applyBorder="1" applyAlignment="1">
      <alignment horizontal="center"/>
    </xf>
    <xf numFmtId="0" fontId="0" fillId="0" borderId="0" xfId="0" pivotButton="1"/>
    <xf numFmtId="0" fontId="0" fillId="0" borderId="0" xfId="0" applyAlignment="1">
      <alignment horizontal="left"/>
    </xf>
    <xf numFmtId="1" fontId="23" fillId="33" borderId="66" xfId="0" applyNumberFormat="1" applyFont="1" applyFill="1" applyBorder="1" applyAlignment="1">
      <alignment horizontal="center"/>
    </xf>
    <xf numFmtId="1" fontId="22" fillId="33" borderId="68" xfId="0" applyNumberFormat="1" applyFont="1" applyFill="1" applyBorder="1"/>
    <xf numFmtId="1" fontId="22" fillId="33" borderId="68" xfId="0" applyNumberFormat="1" applyFont="1" applyFill="1" applyBorder="1" applyAlignment="1">
      <alignment horizontal="right"/>
    </xf>
    <xf numFmtId="1" fontId="22" fillId="33" borderId="70" xfId="0" applyNumberFormat="1" applyFont="1" applyFill="1" applyBorder="1" applyAlignment="1">
      <alignment horizontal="right"/>
    </xf>
    <xf numFmtId="4" fontId="22" fillId="33" borderId="71" xfId="0" applyNumberFormat="1" applyFont="1" applyFill="1" applyBorder="1" applyAlignment="1">
      <alignment vertical="center"/>
    </xf>
    <xf numFmtId="1" fontId="22" fillId="33" borderId="72" xfId="0" applyNumberFormat="1" applyFont="1" applyFill="1" applyBorder="1" applyAlignment="1">
      <alignment horizontal="right"/>
    </xf>
    <xf numFmtId="4" fontId="22" fillId="33" borderId="73" xfId="0" applyNumberFormat="1" applyFont="1" applyFill="1" applyBorder="1"/>
    <xf numFmtId="0" fontId="28" fillId="33" borderId="73" xfId="0" applyFont="1" applyFill="1" applyBorder="1" applyAlignment="1"/>
    <xf numFmtId="1" fontId="22" fillId="33" borderId="74" xfId="0" applyNumberFormat="1" applyFont="1" applyFill="1" applyBorder="1"/>
    <xf numFmtId="1" fontId="23" fillId="33" borderId="72" xfId="0" applyNumberFormat="1" applyFont="1" applyFill="1" applyBorder="1" applyAlignment="1">
      <alignment horizontal="right"/>
    </xf>
    <xf numFmtId="4" fontId="27" fillId="33" borderId="71" xfId="0" applyNumberFormat="1" applyFont="1" applyFill="1" applyBorder="1" applyAlignment="1">
      <alignment vertical="center"/>
    </xf>
    <xf numFmtId="1" fontId="22" fillId="33" borderId="75" xfId="0" applyNumberFormat="1" applyFont="1" applyFill="1" applyBorder="1" applyAlignment="1">
      <alignment horizontal="right"/>
    </xf>
    <xf numFmtId="4" fontId="22" fillId="33" borderId="73" xfId="0" applyNumberFormat="1" applyFont="1" applyFill="1" applyBorder="1" applyAlignment="1">
      <alignment vertical="center"/>
    </xf>
    <xf numFmtId="1" fontId="29" fillId="33" borderId="72" xfId="0" applyNumberFormat="1" applyFont="1" applyFill="1" applyBorder="1" applyAlignment="1">
      <alignment horizontal="right"/>
    </xf>
    <xf numFmtId="0" fontId="22" fillId="33" borderId="76" xfId="0" applyFont="1" applyFill="1" applyBorder="1" applyAlignment="1"/>
    <xf numFmtId="0" fontId="30" fillId="33" borderId="73" xfId="0" applyFont="1" applyFill="1" applyBorder="1"/>
    <xf numFmtId="4" fontId="29" fillId="33" borderId="71" xfId="0" applyNumberFormat="1" applyFont="1" applyFill="1" applyBorder="1" applyAlignment="1">
      <alignment vertical="center"/>
    </xf>
    <xf numFmtId="1" fontId="22" fillId="33" borderId="74" xfId="0" applyNumberFormat="1" applyFont="1" applyFill="1" applyBorder="1" applyAlignment="1">
      <alignment horizontal="right"/>
    </xf>
    <xf numFmtId="4" fontId="27" fillId="33" borderId="73" xfId="0" applyNumberFormat="1" applyFont="1" applyFill="1" applyBorder="1" applyAlignment="1">
      <alignment vertical="center"/>
    </xf>
    <xf numFmtId="4" fontId="22" fillId="33" borderId="78" xfId="0" applyNumberFormat="1" applyFont="1" applyFill="1" applyBorder="1" applyAlignment="1">
      <alignment vertical="center"/>
    </xf>
    <xf numFmtId="4" fontId="27" fillId="33" borderId="79" xfId="0" applyNumberFormat="1" applyFont="1" applyFill="1" applyBorder="1" applyAlignment="1">
      <alignment vertical="center"/>
    </xf>
    <xf numFmtId="1" fontId="22" fillId="33" borderId="79" xfId="0" applyNumberFormat="1" applyFont="1" applyFill="1" applyBorder="1"/>
    <xf numFmtId="1" fontId="22" fillId="33" borderId="80" xfId="0" applyNumberFormat="1" applyFont="1" applyFill="1" applyBorder="1" applyAlignment="1">
      <alignment horizontal="right"/>
    </xf>
    <xf numFmtId="4" fontId="22" fillId="33" borderId="81" xfId="0" applyNumberFormat="1" applyFont="1" applyFill="1" applyBorder="1" applyAlignment="1">
      <alignment vertical="center"/>
    </xf>
    <xf numFmtId="1" fontId="22" fillId="33" borderId="82" xfId="0" applyNumberFormat="1" applyFont="1" applyFill="1" applyBorder="1" applyAlignment="1">
      <alignment horizontal="right"/>
    </xf>
    <xf numFmtId="4" fontId="22" fillId="33" borderId="67" xfId="0" applyNumberFormat="1" applyFont="1" applyFill="1" applyBorder="1" applyAlignment="1">
      <alignment vertical="center"/>
    </xf>
    <xf numFmtId="4" fontId="27" fillId="33" borderId="68" xfId="0" applyNumberFormat="1" applyFont="1" applyFill="1" applyBorder="1"/>
    <xf numFmtId="4" fontId="22" fillId="33" borderId="77" xfId="0" applyNumberFormat="1" applyFont="1" applyFill="1" applyBorder="1" applyAlignment="1">
      <alignment vertical="center"/>
    </xf>
    <xf numFmtId="4" fontId="22" fillId="33" borderId="69" xfId="0" applyNumberFormat="1" applyFont="1" applyFill="1" applyBorder="1" applyAlignment="1">
      <alignment vertical="center"/>
    </xf>
    <xf numFmtId="1" fontId="23" fillId="33" borderId="83" xfId="0" applyNumberFormat="1" applyFont="1" applyFill="1" applyBorder="1" applyAlignment="1">
      <alignment horizontal="center"/>
    </xf>
    <xf numFmtId="1" fontId="23" fillId="33" borderId="84" xfId="0" applyNumberFormat="1" applyFont="1" applyFill="1" applyBorder="1" applyAlignment="1">
      <alignment horizontal="center"/>
    </xf>
    <xf numFmtId="1" fontId="22" fillId="33" borderId="85" xfId="0" applyNumberFormat="1" applyFont="1" applyFill="1" applyBorder="1"/>
    <xf numFmtId="1" fontId="22" fillId="33" borderId="21" xfId="0" applyNumberFormat="1" applyFont="1" applyFill="1" applyBorder="1" applyAlignment="1">
      <alignment horizontal="right"/>
    </xf>
    <xf numFmtId="1" fontId="22" fillId="33" borderId="35" xfId="0" applyNumberFormat="1" applyFont="1" applyFill="1" applyBorder="1" applyAlignment="1">
      <alignment horizontal="right"/>
    </xf>
    <xf numFmtId="1" fontId="29" fillId="33" borderId="21" xfId="0" applyNumberFormat="1" applyFont="1" applyFill="1" applyBorder="1" applyAlignment="1">
      <alignment horizontal="right"/>
    </xf>
    <xf numFmtId="1" fontId="22" fillId="33" borderId="21" xfId="0" applyNumberFormat="1" applyFont="1" applyFill="1" applyBorder="1"/>
    <xf numFmtId="1" fontId="29" fillId="33" borderId="21" xfId="0" applyNumberFormat="1" applyFont="1" applyFill="1" applyBorder="1"/>
    <xf numFmtId="4" fontId="22" fillId="33" borderId="86" xfId="0" applyNumberFormat="1" applyFont="1" applyFill="1" applyBorder="1" applyAlignment="1">
      <alignment vertical="center"/>
    </xf>
    <xf numFmtId="4" fontId="27" fillId="33" borderId="80" xfId="0" applyNumberFormat="1" applyFont="1" applyFill="1" applyBorder="1" applyAlignment="1">
      <alignment vertical="center"/>
    </xf>
    <xf numFmtId="1" fontId="22" fillId="33" borderId="80" xfId="0" applyNumberFormat="1" applyFont="1" applyFill="1" applyBorder="1"/>
    <xf numFmtId="4" fontId="22" fillId="33" borderId="87" xfId="0" applyNumberFormat="1" applyFont="1" applyFill="1" applyBorder="1" applyAlignment="1">
      <alignment vertical="center"/>
    </xf>
    <xf numFmtId="4" fontId="23" fillId="33" borderId="88" xfId="0" applyNumberFormat="1" applyFont="1" applyFill="1" applyBorder="1" applyAlignment="1">
      <alignment horizontal="center"/>
    </xf>
    <xf numFmtId="4" fontId="23" fillId="33" borderId="92" xfId="0" applyNumberFormat="1" applyFont="1" applyFill="1" applyBorder="1" applyAlignment="1">
      <alignment horizontal="center"/>
    </xf>
    <xf numFmtId="4" fontId="27" fillId="33" borderId="70" xfId="0" applyNumberFormat="1" applyFont="1" applyFill="1" applyBorder="1"/>
    <xf numFmtId="4" fontId="27" fillId="33" borderId="74" xfId="0" applyNumberFormat="1" applyFont="1" applyFill="1" applyBorder="1" applyAlignment="1">
      <alignment vertical="center"/>
    </xf>
    <xf numFmtId="4" fontId="22" fillId="33" borderId="72" xfId="0" applyNumberFormat="1" applyFont="1" applyFill="1" applyBorder="1" applyAlignment="1">
      <alignment vertical="center"/>
    </xf>
    <xf numFmtId="4" fontId="27" fillId="33" borderId="72" xfId="0" applyNumberFormat="1" applyFont="1" applyFill="1" applyBorder="1" applyAlignment="1">
      <alignment vertical="center"/>
    </xf>
    <xf numFmtId="4" fontId="27" fillId="33" borderId="75" xfId="0" applyNumberFormat="1" applyFont="1" applyFill="1" applyBorder="1" applyAlignment="1">
      <alignment vertical="center"/>
    </xf>
    <xf numFmtId="4" fontId="22" fillId="33" borderId="74" xfId="0" applyNumberFormat="1" applyFont="1" applyFill="1" applyBorder="1" applyAlignment="1">
      <alignment vertical="center"/>
    </xf>
    <xf numFmtId="4" fontId="27" fillId="33" borderId="74" xfId="0" applyNumberFormat="1" applyFont="1" applyFill="1" applyBorder="1"/>
    <xf numFmtId="4" fontId="27" fillId="33" borderId="94" xfId="0" applyNumberFormat="1" applyFont="1" applyFill="1" applyBorder="1"/>
    <xf numFmtId="4" fontId="27" fillId="33" borderId="93" xfId="0" applyNumberFormat="1" applyFont="1" applyFill="1" applyBorder="1"/>
    <xf numFmtId="4" fontId="27" fillId="33" borderId="72" xfId="0" applyNumberFormat="1" applyFont="1" applyFill="1" applyBorder="1"/>
    <xf numFmtId="4" fontId="27" fillId="33" borderId="95" xfId="0" applyNumberFormat="1" applyFont="1" applyFill="1" applyBorder="1" applyAlignment="1">
      <alignment vertical="center"/>
    </xf>
    <xf numFmtId="4" fontId="27" fillId="33" borderId="89" xfId="0" applyNumberFormat="1" applyFont="1" applyFill="1" applyBorder="1" applyAlignment="1">
      <alignment horizontal="center"/>
    </xf>
    <xf numFmtId="1" fontId="22" fillId="33" borderId="12" xfId="0" applyNumberFormat="1" applyFont="1" applyFill="1" applyBorder="1" applyAlignment="1">
      <alignment horizontal="center"/>
    </xf>
    <xf numFmtId="4" fontId="22" fillId="33" borderId="90" xfId="0" applyNumberFormat="1" applyFont="1" applyFill="1" applyBorder="1" applyAlignment="1">
      <alignment horizontal="center"/>
    </xf>
    <xf numFmtId="4" fontId="27" fillId="33" borderId="91" xfId="0" applyNumberFormat="1" applyFont="1" applyFill="1" applyBorder="1" applyAlignment="1">
      <alignment horizontal="center"/>
    </xf>
    <xf numFmtId="4" fontId="27" fillId="33" borderId="34" xfId="0" applyNumberFormat="1" applyFont="1" applyFill="1" applyBorder="1" applyAlignment="1">
      <alignment horizontal="center"/>
    </xf>
    <xf numFmtId="1" fontId="22" fillId="33" borderId="66" xfId="0" applyNumberFormat="1" applyFont="1" applyFill="1" applyBorder="1" applyAlignment="1">
      <alignment horizontal="center"/>
    </xf>
    <xf numFmtId="4" fontId="22" fillId="33" borderId="26" xfId="0" applyNumberFormat="1" applyFont="1" applyFill="1" applyBorder="1" applyAlignment="1">
      <alignment horizontal="center"/>
    </xf>
    <xf numFmtId="4" fontId="27" fillId="33" borderId="93" xfId="0" applyNumberFormat="1" applyFont="1" applyFill="1" applyBorder="1" applyAlignment="1">
      <alignment horizontal="center"/>
    </xf>
    <xf numFmtId="4" fontId="27" fillId="33" borderId="0" xfId="0" applyNumberFormat="1" applyFont="1" applyFill="1" applyBorder="1" applyAlignment="1">
      <alignment horizontal="right"/>
    </xf>
    <xf numFmtId="1" fontId="29" fillId="33" borderId="0" xfId="0" applyNumberFormat="1" applyFont="1" applyFill="1" applyAlignment="1">
      <alignment horizontal="right"/>
    </xf>
    <xf numFmtId="1" fontId="24" fillId="33" borderId="12" xfId="0" applyNumberFormat="1" applyFont="1" applyFill="1" applyBorder="1" applyAlignment="1">
      <alignment horizontal="center"/>
    </xf>
    <xf numFmtId="1" fontId="24" fillId="33" borderId="15" xfId="0" applyNumberFormat="1" applyFont="1" applyFill="1" applyBorder="1" applyAlignment="1">
      <alignment horizontal="center"/>
    </xf>
    <xf numFmtId="1" fontId="27" fillId="33" borderId="16" xfId="0" applyNumberFormat="1" applyFont="1" applyFill="1" applyBorder="1"/>
    <xf numFmtId="164" fontId="27" fillId="33" borderId="0" xfId="0" applyNumberFormat="1" applyFont="1" applyFill="1"/>
    <xf numFmtId="14" fontId="27" fillId="33" borderId="0" xfId="0" applyNumberFormat="1" applyFont="1" applyFill="1" applyBorder="1" applyAlignment="1">
      <alignment horizontal="center"/>
    </xf>
    <xf numFmtId="4" fontId="30" fillId="33" borderId="0" xfId="0" applyNumberFormat="1" applyFont="1" applyFill="1" applyBorder="1" applyAlignment="1">
      <alignment horizontal="center"/>
    </xf>
    <xf numFmtId="14" fontId="27" fillId="33" borderId="16" xfId="0" applyNumberFormat="1" applyFont="1" applyFill="1" applyBorder="1" applyAlignment="1">
      <alignment horizontal="right"/>
    </xf>
    <xf numFmtId="4" fontId="26" fillId="33" borderId="17" xfId="0" applyNumberFormat="1" applyFont="1" applyFill="1" applyBorder="1" applyAlignment="1">
      <alignment vertical="center"/>
    </xf>
    <xf numFmtId="1" fontId="24" fillId="33" borderId="16" xfId="0" applyNumberFormat="1" applyFont="1" applyFill="1" applyBorder="1" applyAlignment="1">
      <alignment horizontal="right"/>
    </xf>
    <xf numFmtId="4" fontId="24" fillId="33" borderId="0" xfId="0" applyNumberFormat="1" applyFont="1" applyFill="1"/>
    <xf numFmtId="4" fontId="27" fillId="33" borderId="20" xfId="0" applyNumberFormat="1" applyFont="1" applyFill="1" applyBorder="1"/>
    <xf numFmtId="1" fontId="27" fillId="33" borderId="19" xfId="0" applyNumberFormat="1" applyFont="1" applyFill="1" applyBorder="1" applyAlignment="1">
      <alignment horizontal="right"/>
    </xf>
    <xf numFmtId="0" fontId="30" fillId="33" borderId="20" xfId="0" applyFont="1" applyFill="1" applyBorder="1" applyAlignment="1"/>
    <xf numFmtId="1" fontId="27" fillId="33" borderId="23" xfId="0" applyNumberFormat="1" applyFont="1" applyFill="1" applyBorder="1"/>
    <xf numFmtId="1" fontId="24" fillId="33" borderId="21" xfId="0" applyNumberFormat="1" applyFont="1" applyFill="1" applyBorder="1" applyAlignment="1">
      <alignment horizontal="right"/>
    </xf>
    <xf numFmtId="1" fontId="24" fillId="33" borderId="19" xfId="0" applyNumberFormat="1" applyFont="1" applyFill="1" applyBorder="1" applyAlignment="1">
      <alignment horizontal="right"/>
    </xf>
    <xf numFmtId="4" fontId="27" fillId="33" borderId="22" xfId="0" applyNumberFormat="1" applyFont="1" applyFill="1" applyBorder="1" applyAlignment="1">
      <alignment vertical="center"/>
    </xf>
    <xf numFmtId="1" fontId="27" fillId="33" borderId="23" xfId="0" applyNumberFormat="1" applyFont="1" applyFill="1" applyBorder="1" applyAlignment="1">
      <alignment horizontal="right" vertical="center"/>
    </xf>
    <xf numFmtId="1" fontId="27" fillId="33" borderId="24" xfId="0" applyNumberFormat="1" applyFont="1" applyFill="1" applyBorder="1" applyAlignment="1">
      <alignment horizontal="right"/>
    </xf>
    <xf numFmtId="4" fontId="26" fillId="33" borderId="20" xfId="0" applyNumberFormat="1" applyFont="1" applyFill="1" applyBorder="1"/>
    <xf numFmtId="1" fontId="27" fillId="33" borderId="16" xfId="0" applyNumberFormat="1" applyFont="1" applyFill="1" applyBorder="1" applyAlignment="1">
      <alignment horizontal="right" vertical="center"/>
    </xf>
    <xf numFmtId="14" fontId="27" fillId="33" borderId="24" xfId="0" applyNumberFormat="1" applyFont="1" applyFill="1" applyBorder="1" applyAlignment="1">
      <alignment horizontal="right"/>
    </xf>
    <xf numFmtId="0" fontId="27" fillId="33" borderId="27" xfId="0" applyFont="1" applyFill="1" applyBorder="1" applyAlignment="1"/>
    <xf numFmtId="4" fontId="27" fillId="33" borderId="25" xfId="0" applyNumberFormat="1" applyFont="1" applyFill="1" applyBorder="1" applyAlignment="1">
      <alignment vertical="center"/>
    </xf>
    <xf numFmtId="1" fontId="27" fillId="33" borderId="24" xfId="0" applyNumberFormat="1" applyFont="1" applyFill="1" applyBorder="1"/>
    <xf numFmtId="4" fontId="27" fillId="33" borderId="25" xfId="0" applyNumberFormat="1" applyFont="1" applyFill="1" applyBorder="1"/>
    <xf numFmtId="4" fontId="26" fillId="33" borderId="25" xfId="0" applyNumberFormat="1" applyFont="1" applyFill="1" applyBorder="1" applyAlignment="1">
      <alignment vertical="center"/>
    </xf>
    <xf numFmtId="4" fontId="26" fillId="33" borderId="20" xfId="0" applyNumberFormat="1" applyFont="1" applyFill="1" applyBorder="1" applyAlignment="1">
      <alignment vertical="center"/>
    </xf>
    <xf numFmtId="4" fontId="26" fillId="33" borderId="17" xfId="0" applyNumberFormat="1" applyFont="1" applyFill="1" applyBorder="1"/>
    <xf numFmtId="1" fontId="26" fillId="33" borderId="19" xfId="0" applyNumberFormat="1" applyFont="1" applyFill="1" applyBorder="1"/>
    <xf numFmtId="14" fontId="27" fillId="33" borderId="29" xfId="0" applyNumberFormat="1" applyFont="1" applyFill="1" applyBorder="1" applyAlignment="1">
      <alignment horizontal="right"/>
    </xf>
    <xf numFmtId="4" fontId="27" fillId="33" borderId="30" xfId="0" applyNumberFormat="1" applyFont="1" applyFill="1" applyBorder="1"/>
    <xf numFmtId="1" fontId="27" fillId="33" borderId="29" xfId="0" applyNumberFormat="1" applyFont="1" applyFill="1" applyBorder="1"/>
    <xf numFmtId="1" fontId="27" fillId="33" borderId="29" xfId="0" applyNumberFormat="1" applyFont="1" applyFill="1" applyBorder="1" applyAlignment="1">
      <alignment horizontal="right"/>
    </xf>
    <xf numFmtId="14" fontId="27" fillId="33" borderId="0" xfId="0" applyNumberFormat="1" applyFont="1" applyFill="1" applyBorder="1" applyAlignment="1">
      <alignment horizontal="right"/>
    </xf>
    <xf numFmtId="1" fontId="27" fillId="33" borderId="0" xfId="0" applyNumberFormat="1" applyFont="1" applyFill="1" applyBorder="1"/>
    <xf numFmtId="1" fontId="24" fillId="33" borderId="10" xfId="0" applyNumberFormat="1" applyFont="1" applyFill="1" applyBorder="1" applyAlignment="1">
      <alignment horizontal="center"/>
    </xf>
    <xf numFmtId="1" fontId="24" fillId="33" borderId="13" xfId="0" applyNumberFormat="1" applyFont="1" applyFill="1" applyBorder="1" applyAlignment="1">
      <alignment horizontal="center"/>
    </xf>
    <xf numFmtId="0" fontId="30" fillId="33" borderId="20" xfId="0" applyFont="1" applyFill="1" applyBorder="1" applyAlignment="1">
      <alignment horizontal="left"/>
    </xf>
    <xf numFmtId="14" fontId="27" fillId="33" borderId="0" xfId="0" applyNumberFormat="1" applyFont="1" applyFill="1" applyAlignment="1">
      <alignment horizontal="right"/>
    </xf>
    <xf numFmtId="1" fontId="27" fillId="33" borderId="0" xfId="0" applyNumberFormat="1" applyFont="1" applyFill="1"/>
    <xf numFmtId="14" fontId="24" fillId="33" borderId="0" xfId="0" applyNumberFormat="1" applyFont="1" applyFill="1" applyBorder="1" applyAlignment="1">
      <alignment horizontal="right"/>
    </xf>
    <xf numFmtId="1" fontId="27" fillId="33" borderId="0" xfId="0" applyNumberFormat="1" applyFont="1" applyFill="1" applyBorder="1" applyAlignment="1">
      <alignment horizontal="right"/>
    </xf>
    <xf numFmtId="14" fontId="24" fillId="33" borderId="32" xfId="0" applyNumberFormat="1" applyFont="1" applyFill="1" applyBorder="1" applyAlignment="1">
      <alignment horizontal="right"/>
    </xf>
    <xf numFmtId="4" fontId="24" fillId="33" borderId="33" xfId="0" applyNumberFormat="1" applyFont="1" applyFill="1" applyBorder="1" applyAlignment="1">
      <alignment horizontal="center"/>
    </xf>
    <xf numFmtId="1" fontId="24" fillId="33" borderId="34" xfId="0" applyNumberFormat="1" applyFont="1" applyFill="1" applyBorder="1" applyAlignment="1">
      <alignment horizontal="center"/>
    </xf>
    <xf numFmtId="1" fontId="24" fillId="33" borderId="0" xfId="0" applyNumberFormat="1" applyFont="1" applyFill="1" applyBorder="1" applyAlignment="1">
      <alignment horizontal="center"/>
    </xf>
    <xf numFmtId="4" fontId="24" fillId="33" borderId="32" xfId="0" applyNumberFormat="1" applyFont="1" applyFill="1" applyBorder="1" applyAlignment="1">
      <alignment horizontal="center"/>
    </xf>
    <xf numFmtId="14" fontId="27" fillId="33" borderId="32" xfId="0" applyNumberFormat="1" applyFont="1" applyFill="1" applyBorder="1" applyAlignment="1">
      <alignment horizontal="right"/>
    </xf>
    <xf numFmtId="1" fontId="27" fillId="33" borderId="34" xfId="0" applyNumberFormat="1" applyFont="1" applyFill="1" applyBorder="1"/>
    <xf numFmtId="1" fontId="27" fillId="33" borderId="34" xfId="0" applyNumberFormat="1" applyFont="1" applyFill="1" applyBorder="1" applyAlignment="1">
      <alignment horizontal="right"/>
    </xf>
    <xf numFmtId="4" fontId="26" fillId="33" borderId="35" xfId="0" applyNumberFormat="1" applyFont="1" applyFill="1" applyBorder="1"/>
    <xf numFmtId="4" fontId="27" fillId="33" borderId="36" xfId="0" applyNumberFormat="1" applyFont="1" applyFill="1" applyBorder="1"/>
    <xf numFmtId="4" fontId="27" fillId="33" borderId="0" xfId="0" applyNumberFormat="1" applyFont="1" applyFill="1" applyAlignment="1">
      <alignment horizontal="right"/>
    </xf>
    <xf numFmtId="14" fontId="27" fillId="33" borderId="0" xfId="0" applyNumberFormat="1" applyFont="1" applyFill="1" applyAlignment="1">
      <alignment horizontal="left"/>
    </xf>
    <xf numFmtId="1" fontId="30" fillId="33" borderId="0" xfId="0" applyNumberFormat="1" applyFont="1" applyFill="1" applyBorder="1" applyAlignment="1">
      <alignment horizontal="center"/>
    </xf>
    <xf numFmtId="4" fontId="27" fillId="33" borderId="44" xfId="0" applyNumberFormat="1" applyFont="1" applyFill="1" applyBorder="1"/>
    <xf numFmtId="164" fontId="27" fillId="33" borderId="45" xfId="0" applyNumberFormat="1" applyFont="1" applyFill="1" applyBorder="1"/>
    <xf numFmtId="164" fontId="27" fillId="33" borderId="46" xfId="0" applyNumberFormat="1" applyFont="1" applyFill="1" applyBorder="1"/>
    <xf numFmtId="0" fontId="30" fillId="33" borderId="0" xfId="0" applyNumberFormat="1" applyFont="1" applyFill="1" applyBorder="1" applyAlignment="1" applyProtection="1">
      <alignment vertical="top"/>
    </xf>
    <xf numFmtId="0" fontId="30" fillId="33" borderId="42" xfId="0" applyFont="1" applyFill="1" applyBorder="1"/>
    <xf numFmtId="167" fontId="27" fillId="33" borderId="43" xfId="0" applyNumberFormat="1" applyFont="1" applyFill="1" applyBorder="1"/>
    <xf numFmtId="4" fontId="27" fillId="33" borderId="43" xfId="0" applyNumberFormat="1" applyFont="1" applyFill="1" applyBorder="1" applyAlignment="1">
      <alignment horizontal="right"/>
    </xf>
    <xf numFmtId="165" fontId="30" fillId="33" borderId="0" xfId="0" applyNumberFormat="1" applyFont="1" applyFill="1" applyBorder="1"/>
    <xf numFmtId="0" fontId="30" fillId="33" borderId="38" xfId="0" applyFont="1" applyFill="1" applyBorder="1"/>
    <xf numFmtId="4" fontId="27" fillId="33" borderId="37" xfId="0" applyNumberFormat="1" applyFont="1" applyFill="1" applyBorder="1" applyAlignment="1">
      <alignment horizontal="right"/>
    </xf>
    <xf numFmtId="1" fontId="30" fillId="33" borderId="38" xfId="0" applyNumberFormat="1" applyFont="1" applyFill="1" applyBorder="1" applyAlignment="1">
      <alignment horizontal="center"/>
    </xf>
    <xf numFmtId="1" fontId="30" fillId="33" borderId="39" xfId="0" applyNumberFormat="1" applyFont="1" applyFill="1" applyBorder="1" applyAlignment="1">
      <alignment horizontal="center"/>
    </xf>
    <xf numFmtId="1" fontId="27" fillId="33" borderId="40" xfId="0" applyNumberFormat="1" applyFont="1" applyFill="1" applyBorder="1"/>
    <xf numFmtId="164" fontId="27" fillId="33" borderId="40" xfId="0" applyNumberFormat="1" applyFont="1" applyFill="1" applyBorder="1"/>
    <xf numFmtId="4" fontId="27" fillId="33" borderId="41" xfId="0" applyNumberFormat="1" applyFont="1" applyFill="1" applyBorder="1"/>
    <xf numFmtId="0" fontId="30" fillId="33" borderId="0" xfId="0" applyFont="1" applyFill="1"/>
    <xf numFmtId="4" fontId="30" fillId="33" borderId="0" xfId="0" applyNumberFormat="1" applyFont="1" applyFill="1"/>
    <xf numFmtId="49" fontId="30" fillId="33" borderId="0" xfId="0" applyNumberFormat="1" applyFont="1" applyFill="1" applyBorder="1" applyProtection="1">
      <protection locked="0"/>
    </xf>
    <xf numFmtId="49" fontId="30" fillId="33" borderId="0" xfId="0" applyNumberFormat="1" applyFont="1" applyFill="1" applyBorder="1" applyAlignment="1" applyProtection="1">
      <alignment horizontal="left"/>
      <protection locked="0"/>
    </xf>
    <xf numFmtId="168" fontId="30" fillId="33" borderId="0" xfId="0" applyNumberFormat="1" applyFont="1" applyFill="1" applyBorder="1" applyAlignment="1" applyProtection="1">
      <alignment horizontal="right"/>
      <protection locked="0"/>
    </xf>
    <xf numFmtId="14" fontId="30" fillId="33" borderId="0" xfId="0" applyNumberFormat="1" applyFont="1" applyFill="1" applyBorder="1" applyProtection="1">
      <protection locked="0"/>
    </xf>
    <xf numFmtId="49" fontId="30" fillId="33" borderId="0" xfId="0" applyNumberFormat="1" applyFont="1" applyFill="1" applyBorder="1" applyAlignment="1" applyProtection="1">
      <alignment horizontal="right"/>
      <protection locked="0"/>
    </xf>
    <xf numFmtId="0" fontId="30" fillId="33" borderId="0" xfId="0" quotePrefix="1" applyFont="1" applyFill="1"/>
    <xf numFmtId="4" fontId="39" fillId="33" borderId="0" xfId="0" applyNumberFormat="1" applyFont="1" applyFill="1" applyBorder="1" applyAlignment="1">
      <alignment horizontal="center"/>
    </xf>
    <xf numFmtId="4" fontId="39" fillId="33" borderId="0" xfId="0" applyNumberFormat="1" applyFont="1" applyFill="1" applyBorder="1" applyAlignment="1">
      <alignment horizontal="center"/>
    </xf>
    <xf numFmtId="4" fontId="27" fillId="56" borderId="16" xfId="0" applyNumberFormat="1" applyFont="1" applyFill="1" applyBorder="1" applyAlignment="1">
      <alignment vertical="center"/>
    </xf>
    <xf numFmtId="4" fontId="38" fillId="56" borderId="16" xfId="0" applyNumberFormat="1" applyFont="1" applyFill="1" applyBorder="1" applyAlignment="1">
      <alignment vertical="center"/>
    </xf>
    <xf numFmtId="4" fontId="27" fillId="56" borderId="19" xfId="0" applyNumberFormat="1" applyFont="1" applyFill="1" applyBorder="1" applyAlignment="1">
      <alignment vertical="center"/>
    </xf>
    <xf numFmtId="4" fontId="22" fillId="33" borderId="28" xfId="0" applyNumberFormat="1" applyFont="1" applyFill="1" applyBorder="1"/>
    <xf numFmtId="4" fontId="22" fillId="33" borderId="26" xfId="0" applyNumberFormat="1" applyFont="1" applyFill="1" applyBorder="1"/>
    <xf numFmtId="4" fontId="0" fillId="0" borderId="39" xfId="0" applyNumberFormat="1" applyBorder="1" applyAlignment="1"/>
    <xf numFmtId="4" fontId="0" fillId="0" borderId="40" xfId="0" applyNumberFormat="1" applyBorder="1" applyAlignment="1"/>
    <xf numFmtId="4" fontId="39" fillId="33" borderId="0" xfId="0" applyNumberFormat="1" applyFont="1" applyFill="1" applyBorder="1" applyAlignment="1">
      <alignment horizontal="center"/>
    </xf>
    <xf numFmtId="4" fontId="27" fillId="56" borderId="0" xfId="0" applyNumberFormat="1" applyFont="1" applyFill="1"/>
    <xf numFmtId="4" fontId="26" fillId="33" borderId="0" xfId="0" applyNumberFormat="1" applyFont="1" applyFill="1" applyBorder="1"/>
    <xf numFmtId="14" fontId="27" fillId="56" borderId="19" xfId="0" applyNumberFormat="1" applyFont="1" applyFill="1" applyBorder="1" applyAlignment="1">
      <alignment horizontal="right"/>
    </xf>
    <xf numFmtId="4" fontId="22" fillId="33" borderId="19" xfId="0" applyNumberFormat="1" applyFont="1" applyFill="1" applyBorder="1"/>
    <xf numFmtId="4" fontId="23" fillId="33" borderId="11" xfId="0" applyNumberFormat="1" applyFont="1" applyFill="1" applyBorder="1" applyAlignment="1">
      <alignment horizontal="center"/>
    </xf>
    <xf numFmtId="4" fontId="23" fillId="33" borderId="14" xfId="0" applyNumberFormat="1" applyFont="1" applyFill="1" applyBorder="1" applyAlignment="1">
      <alignment horizontal="center"/>
    </xf>
    <xf numFmtId="4" fontId="23" fillId="33" borderId="26" xfId="0" applyNumberFormat="1" applyFont="1" applyFill="1" applyBorder="1" applyAlignment="1">
      <alignment horizontal="center"/>
    </xf>
    <xf numFmtId="4" fontId="25" fillId="33" borderId="0" xfId="0" applyNumberFormat="1" applyFont="1" applyFill="1" applyBorder="1"/>
    <xf numFmtId="4" fontId="22" fillId="33" borderId="43" xfId="0" applyNumberFormat="1" applyFont="1" applyFill="1" applyBorder="1"/>
    <xf numFmtId="4" fontId="28" fillId="33" borderId="0" xfId="0" applyNumberFormat="1" applyFont="1" applyFill="1"/>
    <xf numFmtId="0" fontId="28" fillId="33" borderId="0" xfId="0" applyFont="1" applyFill="1"/>
    <xf numFmtId="4" fontId="21" fillId="33" borderId="0" xfId="0" applyNumberFormat="1" applyFont="1" applyFill="1" applyBorder="1" applyAlignment="1">
      <alignment horizontal="center"/>
    </xf>
    <xf numFmtId="4" fontId="61" fillId="33" borderId="0" xfId="0" applyNumberFormat="1" applyFont="1" applyFill="1"/>
    <xf numFmtId="4" fontId="62" fillId="33" borderId="0" xfId="0" applyNumberFormat="1" applyFont="1" applyFill="1" applyBorder="1" applyAlignment="1">
      <alignment horizontal="center"/>
    </xf>
    <xf numFmtId="4" fontId="64" fillId="33" borderId="19" xfId="0" applyNumberFormat="1" applyFont="1" applyFill="1" applyBorder="1"/>
    <xf numFmtId="4" fontId="64" fillId="33" borderId="19" xfId="0" applyNumberFormat="1" applyFont="1" applyFill="1" applyBorder="1" applyAlignment="1">
      <alignment vertical="center"/>
    </xf>
    <xf numFmtId="4" fontId="38" fillId="33" borderId="24" xfId="0" applyNumberFormat="1" applyFont="1" applyFill="1" applyBorder="1" applyAlignment="1">
      <alignment vertical="center"/>
    </xf>
    <xf numFmtId="4" fontId="64" fillId="33" borderId="16" xfId="0" applyNumberFormat="1" applyFont="1" applyFill="1" applyBorder="1" applyAlignment="1">
      <alignment vertical="center"/>
    </xf>
    <xf numFmtId="4" fontId="38" fillId="33" borderId="16" xfId="0" applyNumberFormat="1" applyFont="1" applyFill="1" applyBorder="1"/>
    <xf numFmtId="4" fontId="38" fillId="33" borderId="28" xfId="0" applyNumberFormat="1" applyFont="1" applyFill="1" applyBorder="1"/>
    <xf numFmtId="4" fontId="38" fillId="33" borderId="19" xfId="0" applyNumberFormat="1" applyFont="1" applyFill="1" applyBorder="1"/>
    <xf numFmtId="4" fontId="38" fillId="33" borderId="29" xfId="0" applyNumberFormat="1" applyFont="1" applyFill="1" applyBorder="1"/>
    <xf numFmtId="4" fontId="38" fillId="33" borderId="0" xfId="0" applyNumberFormat="1" applyFont="1" applyFill="1" applyBorder="1"/>
    <xf numFmtId="4" fontId="63" fillId="33" borderId="10" xfId="0" applyNumberFormat="1" applyFont="1" applyFill="1" applyBorder="1" applyAlignment="1">
      <alignment horizontal="center"/>
    </xf>
    <xf numFmtId="4" fontId="38" fillId="33" borderId="16" xfId="0" applyNumberFormat="1" applyFont="1" applyFill="1" applyBorder="1" applyAlignment="1">
      <alignment horizontal="right"/>
    </xf>
    <xf numFmtId="4" fontId="38" fillId="33" borderId="31" xfId="0" applyNumberFormat="1" applyFont="1" applyFill="1" applyBorder="1"/>
    <xf numFmtId="0" fontId="65" fillId="33" borderId="0" xfId="0" applyFont="1" applyFill="1"/>
    <xf numFmtId="168" fontId="65" fillId="33" borderId="0" xfId="0" applyNumberFormat="1" applyFont="1" applyFill="1" applyBorder="1" applyAlignment="1" applyProtection="1">
      <alignment horizontal="right"/>
      <protection locked="0"/>
    </xf>
    <xf numFmtId="14" fontId="22" fillId="33" borderId="0" xfId="0" applyNumberFormat="1" applyFont="1" applyFill="1" applyBorder="1" applyAlignment="1">
      <alignment horizontal="center"/>
    </xf>
    <xf numFmtId="4" fontId="63" fillId="33" borderId="0" xfId="0" applyNumberFormat="1" applyFont="1" applyFill="1"/>
    <xf numFmtId="4" fontId="65" fillId="33" borderId="0" xfId="0" applyNumberFormat="1" applyFont="1" applyFill="1" applyBorder="1" applyAlignment="1">
      <alignment horizontal="center"/>
    </xf>
    <xf numFmtId="49" fontId="65" fillId="33" borderId="0" xfId="0" applyNumberFormat="1" applyFont="1" applyFill="1" applyBorder="1" applyAlignment="1" applyProtection="1">
      <alignment horizontal="left"/>
      <protection locked="0"/>
    </xf>
    <xf numFmtId="4" fontId="27" fillId="33" borderId="37" xfId="0" applyNumberFormat="1" applyFont="1" applyFill="1" applyBorder="1"/>
    <xf numFmtId="4" fontId="24" fillId="33" borderId="37" xfId="0" applyNumberFormat="1" applyFont="1" applyFill="1" applyBorder="1"/>
    <xf numFmtId="4" fontId="27" fillId="33" borderId="37" xfId="0" applyNumberFormat="1" applyFont="1" applyFill="1" applyBorder="1" applyAlignment="1">
      <alignment vertical="center"/>
    </xf>
    <xf numFmtId="4" fontId="27" fillId="33" borderId="38" xfId="0" applyNumberFormat="1" applyFont="1" applyFill="1" applyBorder="1"/>
    <xf numFmtId="4" fontId="27" fillId="33" borderId="96" xfId="0" applyNumberFormat="1" applyFont="1" applyFill="1" applyBorder="1"/>
    <xf numFmtId="4" fontId="24" fillId="33" borderId="38" xfId="0" applyNumberFormat="1" applyFont="1" applyFill="1" applyBorder="1"/>
    <xf numFmtId="4" fontId="24" fillId="33" borderId="96" xfId="0" applyNumberFormat="1" applyFont="1" applyFill="1" applyBorder="1"/>
    <xf numFmtId="4" fontId="63" fillId="33" borderId="38" xfId="0" applyNumberFormat="1" applyFont="1" applyFill="1" applyBorder="1"/>
    <xf numFmtId="4" fontId="22" fillId="33" borderId="96" xfId="0" applyNumberFormat="1" applyFont="1" applyFill="1" applyBorder="1"/>
    <xf numFmtId="4" fontId="38" fillId="33" borderId="96" xfId="0" applyNumberFormat="1" applyFont="1" applyFill="1" applyBorder="1"/>
    <xf numFmtId="4" fontId="27" fillId="33" borderId="42" xfId="0" applyNumberFormat="1" applyFont="1" applyFill="1" applyBorder="1"/>
    <xf numFmtId="4" fontId="27" fillId="33" borderId="97" xfId="0" applyNumberFormat="1" applyFont="1" applyFill="1" applyBorder="1"/>
    <xf numFmtId="4" fontId="24" fillId="33" borderId="44" xfId="0" applyNumberFormat="1" applyFont="1" applyFill="1" applyBorder="1"/>
    <xf numFmtId="4" fontId="24" fillId="33" borderId="45" xfId="0" applyNumberFormat="1" applyFont="1" applyFill="1" applyBorder="1"/>
    <xf numFmtId="4" fontId="24" fillId="33" borderId="46" xfId="0" applyNumberFormat="1" applyFont="1" applyFill="1" applyBorder="1"/>
    <xf numFmtId="4" fontId="22" fillId="33" borderId="37" xfId="0" applyNumberFormat="1" applyFont="1" applyFill="1" applyBorder="1" applyAlignment="1">
      <alignment vertical="center"/>
    </xf>
    <xf numFmtId="4" fontId="22" fillId="33" borderId="38" xfId="0" applyNumberFormat="1" applyFont="1" applyFill="1" applyBorder="1" applyAlignment="1">
      <alignment vertical="center"/>
    </xf>
    <xf numFmtId="4" fontId="27" fillId="33" borderId="38" xfId="0" applyNumberFormat="1" applyFont="1" applyFill="1" applyBorder="1" applyAlignment="1">
      <alignment vertical="center"/>
    </xf>
    <xf numFmtId="4" fontId="27" fillId="33" borderId="50" xfId="0" applyNumberFormat="1" applyFont="1" applyFill="1" applyBorder="1"/>
    <xf numFmtId="4" fontId="27" fillId="33" borderId="51" xfId="0" applyNumberFormat="1" applyFont="1" applyFill="1" applyBorder="1"/>
    <xf numFmtId="4" fontId="27" fillId="33" borderId="52" xfId="0" applyNumberFormat="1" applyFont="1" applyFill="1" applyBorder="1"/>
    <xf numFmtId="4" fontId="23" fillId="33" borderId="44" xfId="0" applyNumberFormat="1" applyFont="1" applyFill="1" applyBorder="1"/>
    <xf numFmtId="4" fontId="23" fillId="33" borderId="45" xfId="0" applyNumberFormat="1" applyFont="1" applyFill="1" applyBorder="1"/>
    <xf numFmtId="167" fontId="30" fillId="33" borderId="98" xfId="0" applyNumberFormat="1" applyFont="1" applyFill="1" applyBorder="1" applyAlignment="1">
      <alignment horizontal="right"/>
    </xf>
    <xf numFmtId="4" fontId="28" fillId="33" borderId="98" xfId="0" applyNumberFormat="1" applyFont="1" applyFill="1" applyBorder="1" applyAlignment="1" applyProtection="1">
      <alignment horizontal="right"/>
    </xf>
    <xf numFmtId="1" fontId="30" fillId="33" borderId="98" xfId="0" applyNumberFormat="1" applyFont="1" applyFill="1" applyBorder="1" applyAlignment="1">
      <alignment horizontal="right"/>
    </xf>
    <xf numFmtId="4" fontId="39" fillId="33" borderId="0" xfId="0" applyNumberFormat="1" applyFont="1" applyFill="1" applyBorder="1" applyAlignment="1">
      <alignment horizontal="center"/>
    </xf>
    <xf numFmtId="0" fontId="66" fillId="0" borderId="0" xfId="0" applyFont="1"/>
    <xf numFmtId="4" fontId="27" fillId="56" borderId="26" xfId="0" applyNumberFormat="1" applyFont="1" applyFill="1" applyBorder="1"/>
    <xf numFmtId="4" fontId="30" fillId="33" borderId="98" xfId="0" applyNumberFormat="1" applyFont="1" applyFill="1" applyBorder="1" applyAlignment="1" applyProtection="1">
      <alignment horizontal="right"/>
    </xf>
    <xf numFmtId="1" fontId="30" fillId="33" borderId="98" xfId="0" applyNumberFormat="1" applyFont="1" applyFill="1" applyBorder="1" applyAlignment="1">
      <alignment horizontal="center"/>
    </xf>
    <xf numFmtId="170" fontId="28" fillId="33" borderId="98" xfId="0" applyNumberFormat="1" applyFont="1" applyFill="1" applyBorder="1" applyAlignment="1" applyProtection="1">
      <alignment horizontal="right"/>
    </xf>
    <xf numFmtId="1" fontId="30" fillId="33" borderId="0" xfId="0" applyNumberFormat="1" applyFont="1" applyFill="1" applyBorder="1"/>
    <xf numFmtId="4" fontId="21" fillId="33" borderId="0" xfId="0" applyNumberFormat="1" applyFont="1" applyFill="1" applyBorder="1" applyAlignment="1">
      <alignment horizontal="center"/>
    </xf>
    <xf numFmtId="14" fontId="22" fillId="33" borderId="0" xfId="0" applyNumberFormat="1" applyFont="1" applyFill="1"/>
    <xf numFmtId="4" fontId="22" fillId="33" borderId="24" xfId="0" applyNumberFormat="1" applyFont="1" applyFill="1" applyBorder="1" applyAlignment="1">
      <alignment vertical="center"/>
    </xf>
    <xf numFmtId="4" fontId="22" fillId="56" borderId="28" xfId="0" applyNumberFormat="1" applyFont="1" applyFill="1" applyBorder="1"/>
    <xf numFmtId="4" fontId="22" fillId="33" borderId="16" xfId="0" applyNumberFormat="1" applyFont="1" applyFill="1" applyBorder="1" applyAlignment="1">
      <alignment horizontal="right"/>
    </xf>
    <xf numFmtId="167" fontId="28" fillId="33" borderId="98" xfId="0" applyNumberFormat="1" applyFont="1" applyFill="1" applyBorder="1" applyAlignment="1">
      <alignment horizontal="right"/>
    </xf>
    <xf numFmtId="1" fontId="22" fillId="33" borderId="40" xfId="0" applyNumberFormat="1" applyFont="1" applyFill="1" applyBorder="1"/>
    <xf numFmtId="4" fontId="22" fillId="33" borderId="99" xfId="0" applyNumberFormat="1" applyFont="1" applyFill="1" applyBorder="1"/>
    <xf numFmtId="1" fontId="22" fillId="33" borderId="26" xfId="0" applyNumberFormat="1" applyFont="1" applyFill="1" applyBorder="1" applyAlignment="1">
      <alignment horizontal="right"/>
    </xf>
    <xf numFmtId="4" fontId="22" fillId="33" borderId="100" xfId="0" applyNumberFormat="1" applyFont="1" applyFill="1" applyBorder="1"/>
    <xf numFmtId="4" fontId="27" fillId="33" borderId="101" xfId="0" applyNumberFormat="1" applyFont="1" applyFill="1" applyBorder="1" applyAlignment="1">
      <alignment vertical="center"/>
    </xf>
    <xf numFmtId="4" fontId="22" fillId="33" borderId="26" xfId="0" applyNumberFormat="1" applyFont="1" applyFill="1" applyBorder="1" applyAlignment="1">
      <alignment vertical="center"/>
    </xf>
    <xf numFmtId="4" fontId="26" fillId="33" borderId="24" xfId="0" applyNumberFormat="1" applyFont="1" applyFill="1" applyBorder="1" applyAlignment="1">
      <alignment vertical="center"/>
    </xf>
    <xf numFmtId="4" fontId="25" fillId="33" borderId="24" xfId="0" applyNumberFormat="1" applyFont="1" applyFill="1" applyBorder="1" applyAlignment="1">
      <alignment vertical="center"/>
    </xf>
    <xf numFmtId="4" fontId="21" fillId="33" borderId="0" xfId="0" applyNumberFormat="1" applyFont="1" applyFill="1" applyBorder="1" applyAlignment="1">
      <alignment horizontal="center"/>
    </xf>
    <xf numFmtId="4" fontId="39" fillId="33" borderId="0" xfId="0" applyNumberFormat="1" applyFont="1" applyFill="1" applyBorder="1" applyAlignment="1">
      <alignment horizontal="center"/>
    </xf>
    <xf numFmtId="14" fontId="24" fillId="33" borderId="10" xfId="0" applyNumberFormat="1" applyFont="1" applyFill="1" applyBorder="1" applyAlignment="1">
      <alignment horizontal="center" wrapText="1"/>
    </xf>
    <xf numFmtId="14" fontId="24" fillId="33" borderId="13" xfId="0" applyNumberFormat="1" applyFont="1" applyFill="1" applyBorder="1" applyAlignment="1">
      <alignment horizontal="center" wrapText="1"/>
    </xf>
    <xf numFmtId="4" fontId="28" fillId="33" borderId="0" xfId="0" applyNumberFormat="1" applyFont="1" applyFill="1" applyBorder="1" applyAlignment="1" applyProtection="1">
      <alignment horizontal="left"/>
      <protection locked="0"/>
    </xf>
    <xf numFmtId="4" fontId="67" fillId="33" borderId="0" xfId="533" applyNumberFormat="1" applyFont="1" applyFill="1"/>
    <xf numFmtId="0" fontId="0" fillId="33" borderId="0" xfId="0" applyFill="1"/>
    <xf numFmtId="167" fontId="0" fillId="0" borderId="0" xfId="0" applyNumberFormat="1"/>
    <xf numFmtId="0" fontId="40" fillId="0" borderId="102" xfId="0" applyFont="1" applyBorder="1"/>
    <xf numFmtId="4" fontId="40" fillId="0" borderId="103" xfId="0" applyNumberFormat="1" applyFont="1" applyBorder="1" applyAlignment="1">
      <alignment horizontal="center"/>
    </xf>
    <xf numFmtId="4" fontId="40" fillId="0" borderId="104" xfId="0" applyNumberFormat="1" applyFont="1" applyBorder="1" applyAlignment="1">
      <alignment horizontal="center"/>
    </xf>
    <xf numFmtId="0" fontId="40" fillId="0" borderId="105" xfId="0" applyFont="1" applyBorder="1"/>
    <xf numFmtId="4" fontId="40" fillId="0" borderId="106" xfId="0" applyNumberFormat="1" applyFont="1" applyBorder="1"/>
    <xf numFmtId="4" fontId="40" fillId="0" borderId="107" xfId="0" applyNumberFormat="1" applyFont="1" applyBorder="1"/>
    <xf numFmtId="0" fontId="0" fillId="0" borderId="108" xfId="0" applyBorder="1"/>
    <xf numFmtId="4" fontId="0" fillId="0" borderId="109" xfId="0" applyNumberFormat="1" applyBorder="1"/>
    <xf numFmtId="4" fontId="0" fillId="0" borderId="110" xfId="0" applyNumberFormat="1" applyBorder="1"/>
    <xf numFmtId="0" fontId="0" fillId="0" borderId="111" xfId="0" applyBorder="1"/>
    <xf numFmtId="4" fontId="0" fillId="0" borderId="112" xfId="0" applyNumberFormat="1" applyBorder="1"/>
    <xf numFmtId="4" fontId="0" fillId="0" borderId="113" xfId="0" applyNumberFormat="1" applyBorder="1"/>
    <xf numFmtId="0" fontId="0" fillId="0" borderId="114" xfId="0" applyBorder="1"/>
    <xf numFmtId="4" fontId="0" fillId="0" borderId="115" xfId="0" applyNumberFormat="1" applyBorder="1"/>
    <xf numFmtId="4" fontId="0" fillId="0" borderId="116" xfId="0" applyNumberFormat="1" applyBorder="1"/>
    <xf numFmtId="0" fontId="28" fillId="0" borderId="20" xfId="0" applyFont="1" applyFill="1" applyBorder="1" applyAlignment="1">
      <alignment horizontal="left"/>
    </xf>
    <xf numFmtId="170" fontId="65" fillId="0" borderId="117" xfId="0" applyNumberFormat="1" applyFont="1" applyFill="1" applyBorder="1" applyProtection="1"/>
    <xf numFmtId="4" fontId="21" fillId="33" borderId="0" xfId="0" applyNumberFormat="1" applyFont="1" applyFill="1" applyBorder="1" applyAlignment="1">
      <alignment horizontal="center"/>
    </xf>
    <xf numFmtId="4" fontId="39" fillId="33" borderId="0" xfId="0" applyNumberFormat="1" applyFont="1" applyFill="1" applyBorder="1" applyAlignment="1">
      <alignment horizontal="center"/>
    </xf>
    <xf numFmtId="0" fontId="22" fillId="33" borderId="20" xfId="0" applyFont="1" applyFill="1" applyBorder="1"/>
    <xf numFmtId="4" fontId="22" fillId="59" borderId="0" xfId="0" applyNumberFormat="1" applyFont="1" applyFill="1"/>
    <xf numFmtId="4" fontId="21" fillId="33" borderId="0" xfId="0" applyNumberFormat="1" applyFont="1" applyFill="1" applyBorder="1" applyAlignment="1">
      <alignment horizontal="center"/>
    </xf>
    <xf numFmtId="4" fontId="39" fillId="33" borderId="0" xfId="0" applyNumberFormat="1" applyFont="1" applyFill="1" applyBorder="1" applyAlignment="1">
      <alignment horizontal="center"/>
    </xf>
    <xf numFmtId="4" fontId="27" fillId="60" borderId="17" xfId="0" applyNumberFormat="1" applyFont="1" applyFill="1" applyBorder="1" applyAlignment="1">
      <alignment vertical="center"/>
    </xf>
    <xf numFmtId="0" fontId="68" fillId="33" borderId="96" xfId="0" applyFont="1" applyFill="1" applyBorder="1"/>
    <xf numFmtId="1" fontId="30" fillId="33" borderId="73" xfId="0" applyNumberFormat="1" applyFont="1" applyFill="1" applyBorder="1" applyAlignment="1">
      <alignment horizontal="right"/>
    </xf>
    <xf numFmtId="4" fontId="27" fillId="33" borderId="97" xfId="0" applyNumberFormat="1" applyFont="1" applyFill="1" applyBorder="1" applyAlignment="1">
      <alignment horizontal="right"/>
    </xf>
    <xf numFmtId="0" fontId="0" fillId="0" borderId="0" xfId="0"/>
    <xf numFmtId="164" fontId="27" fillId="33" borderId="0" xfId="0" applyNumberFormat="1" applyFont="1" applyFill="1"/>
    <xf numFmtId="4" fontId="27" fillId="33" borderId="0" xfId="0" applyNumberFormat="1" applyFont="1" applyFill="1"/>
    <xf numFmtId="4" fontId="39" fillId="33" borderId="0" xfId="0" applyNumberFormat="1" applyFont="1" applyFill="1" applyBorder="1" applyAlignment="1">
      <alignment horizontal="center"/>
    </xf>
    <xf numFmtId="14" fontId="27" fillId="33" borderId="0" xfId="0" applyNumberFormat="1" applyFont="1" applyFill="1" applyBorder="1" applyAlignment="1">
      <alignment horizontal="center"/>
    </xf>
    <xf numFmtId="4" fontId="28" fillId="33" borderId="0" xfId="0" applyNumberFormat="1" applyFont="1" applyFill="1" applyBorder="1" applyAlignment="1">
      <alignment horizontal="center"/>
    </xf>
    <xf numFmtId="4" fontId="21" fillId="33" borderId="0" xfId="0" applyNumberFormat="1" applyFont="1" applyFill="1" applyBorder="1" applyAlignment="1">
      <alignment horizontal="center"/>
    </xf>
    <xf numFmtId="4" fontId="39" fillId="57" borderId="0" xfId="0" applyNumberFormat="1" applyFont="1" applyFill="1" applyBorder="1" applyAlignment="1">
      <alignment horizontal="center"/>
    </xf>
    <xf numFmtId="14" fontId="22" fillId="33" borderId="0" xfId="0" applyNumberFormat="1" applyFont="1" applyFill="1"/>
    <xf numFmtId="164" fontId="22" fillId="33" borderId="0" xfId="0" applyNumberFormat="1" applyFont="1" applyFill="1"/>
    <xf numFmtId="4" fontId="24" fillId="33" borderId="10" xfId="0" applyNumberFormat="1" applyFont="1" applyFill="1" applyBorder="1" applyAlignment="1">
      <alignment horizontal="center"/>
    </xf>
    <xf numFmtId="4" fontId="23" fillId="33" borderId="10" xfId="0" applyNumberFormat="1" applyFont="1" applyFill="1" applyBorder="1" applyAlignment="1">
      <alignment horizontal="center"/>
    </xf>
    <xf numFmtId="4" fontId="23" fillId="33" borderId="11" xfId="0" applyNumberFormat="1" applyFont="1" applyFill="1" applyBorder="1" applyAlignment="1">
      <alignment horizontal="center"/>
    </xf>
    <xf numFmtId="1" fontId="23" fillId="33" borderId="12" xfId="0" applyNumberFormat="1" applyFont="1" applyFill="1" applyBorder="1" applyAlignment="1">
      <alignment horizontal="center"/>
    </xf>
    <xf numFmtId="4" fontId="27" fillId="33" borderId="0" xfId="0" applyNumberFormat="1" applyFont="1" applyFill="1" applyBorder="1"/>
    <xf numFmtId="4" fontId="24" fillId="33" borderId="13" xfId="0" applyNumberFormat="1" applyFont="1" applyFill="1" applyBorder="1" applyAlignment="1">
      <alignment horizontal="center"/>
    </xf>
    <xf numFmtId="4" fontId="23" fillId="33" borderId="13" xfId="0" applyNumberFormat="1" applyFont="1" applyFill="1" applyBorder="1" applyAlignment="1">
      <alignment horizontal="center"/>
    </xf>
    <xf numFmtId="4" fontId="23" fillId="33" borderId="14" xfId="0" applyNumberFormat="1" applyFont="1" applyFill="1" applyBorder="1" applyAlignment="1">
      <alignment horizontal="center"/>
    </xf>
    <xf numFmtId="1" fontId="23" fillId="33" borderId="15" xfId="0" applyNumberFormat="1" applyFont="1" applyFill="1" applyBorder="1" applyAlignment="1">
      <alignment horizontal="center"/>
    </xf>
    <xf numFmtId="4" fontId="24" fillId="33" borderId="44" xfId="0" applyNumberFormat="1" applyFont="1" applyFill="1" applyBorder="1"/>
    <xf numFmtId="4" fontId="24" fillId="33" borderId="45" xfId="0" applyNumberFormat="1" applyFont="1" applyFill="1" applyBorder="1"/>
    <xf numFmtId="4" fontId="24" fillId="33" borderId="46" xfId="0" applyNumberFormat="1" applyFont="1" applyFill="1" applyBorder="1"/>
    <xf numFmtId="14" fontId="27" fillId="33" borderId="19" xfId="0" applyNumberFormat="1" applyFont="1" applyFill="1" applyBorder="1" applyAlignment="1">
      <alignment horizontal="right"/>
    </xf>
    <xf numFmtId="4" fontId="26" fillId="33" borderId="17" xfId="0" applyNumberFormat="1" applyFont="1" applyFill="1" applyBorder="1" applyAlignment="1">
      <alignment vertical="center"/>
    </xf>
    <xf numFmtId="4" fontId="25" fillId="33" borderId="19" xfId="0" applyNumberFormat="1" applyFont="1" applyFill="1" applyBorder="1"/>
    <xf numFmtId="1" fontId="22" fillId="33" borderId="19" xfId="0" applyNumberFormat="1" applyFont="1" applyFill="1" applyBorder="1"/>
    <xf numFmtId="1" fontId="22" fillId="33" borderId="19" xfId="0" applyNumberFormat="1" applyFont="1" applyFill="1" applyBorder="1" applyAlignment="1">
      <alignment horizontal="right"/>
    </xf>
    <xf numFmtId="4" fontId="27" fillId="33" borderId="38" xfId="0" applyNumberFormat="1" applyFont="1" applyFill="1" applyBorder="1"/>
    <xf numFmtId="4" fontId="27" fillId="33" borderId="37" xfId="0" applyNumberFormat="1" applyFont="1" applyFill="1" applyBorder="1"/>
    <xf numFmtId="4" fontId="27" fillId="33" borderId="96" xfId="0" applyNumberFormat="1" applyFont="1" applyFill="1" applyBorder="1"/>
    <xf numFmtId="4" fontId="27" fillId="33" borderId="17" xfId="0" applyNumberFormat="1" applyFont="1" applyFill="1" applyBorder="1" applyAlignment="1">
      <alignment vertical="center"/>
    </xf>
    <xf numFmtId="4" fontId="22" fillId="56" borderId="16" xfId="0" applyNumberFormat="1" applyFont="1" applyFill="1" applyBorder="1" applyAlignment="1">
      <alignment vertical="center"/>
    </xf>
    <xf numFmtId="1" fontId="22" fillId="33" borderId="16" xfId="0" applyNumberFormat="1" applyFont="1" applyFill="1" applyBorder="1"/>
    <xf numFmtId="4" fontId="27" fillId="33" borderId="37" xfId="0" applyNumberFormat="1" applyFont="1" applyFill="1" applyBorder="1" applyAlignment="1">
      <alignment vertical="center"/>
    </xf>
    <xf numFmtId="4" fontId="63" fillId="33" borderId="0" xfId="0" applyNumberFormat="1" applyFont="1" applyFill="1"/>
    <xf numFmtId="14" fontId="27" fillId="33" borderId="16" xfId="0" applyNumberFormat="1" applyFont="1" applyFill="1" applyBorder="1" applyAlignment="1">
      <alignment horizontal="right"/>
    </xf>
    <xf numFmtId="4" fontId="22" fillId="33" borderId="16" xfId="0" applyNumberFormat="1" applyFont="1" applyFill="1" applyBorder="1" applyAlignment="1">
      <alignment vertical="center"/>
    </xf>
    <xf numFmtId="4" fontId="25" fillId="33" borderId="19" xfId="0" applyNumberFormat="1" applyFont="1" applyFill="1" applyBorder="1" applyAlignment="1">
      <alignment vertical="center"/>
    </xf>
    <xf numFmtId="4" fontId="27" fillId="56" borderId="16" xfId="0" applyNumberFormat="1" applyFont="1" applyFill="1" applyBorder="1" applyAlignment="1">
      <alignment vertical="center"/>
    </xf>
    <xf numFmtId="4" fontId="27" fillId="57" borderId="17" xfId="0" applyNumberFormat="1" applyFont="1" applyFill="1" applyBorder="1" applyAlignment="1">
      <alignment vertical="center"/>
    </xf>
    <xf numFmtId="4" fontId="22" fillId="33" borderId="37" xfId="0" applyNumberFormat="1" applyFont="1" applyFill="1" applyBorder="1" applyAlignment="1">
      <alignment vertical="center"/>
    </xf>
    <xf numFmtId="0" fontId="30" fillId="33" borderId="20" xfId="0" applyFont="1" applyFill="1" applyBorder="1" applyAlignment="1"/>
    <xf numFmtId="4" fontId="22" fillId="33" borderId="24" xfId="0" applyNumberFormat="1" applyFont="1" applyFill="1" applyBorder="1" applyAlignment="1">
      <alignment vertical="center"/>
    </xf>
    <xf numFmtId="1" fontId="22" fillId="33" borderId="23" xfId="0" applyNumberFormat="1" applyFont="1" applyFill="1" applyBorder="1"/>
    <xf numFmtId="1" fontId="23" fillId="33" borderId="21" xfId="0" applyNumberFormat="1" applyFont="1" applyFill="1" applyBorder="1" applyAlignment="1">
      <alignment horizontal="right"/>
    </xf>
    <xf numFmtId="1" fontId="23" fillId="33" borderId="19" xfId="0" applyNumberFormat="1" applyFont="1" applyFill="1" applyBorder="1" applyAlignment="1">
      <alignment horizontal="right"/>
    </xf>
    <xf numFmtId="4" fontId="24" fillId="33" borderId="37" xfId="0" applyNumberFormat="1" applyFont="1" applyFill="1" applyBorder="1"/>
    <xf numFmtId="4" fontId="24" fillId="33" borderId="96" xfId="0" applyNumberFormat="1" applyFont="1" applyFill="1" applyBorder="1"/>
    <xf numFmtId="4" fontId="27" fillId="58" borderId="17" xfId="0" applyNumberFormat="1" applyFont="1" applyFill="1" applyBorder="1" applyAlignment="1">
      <alignment vertical="center"/>
    </xf>
    <xf numFmtId="4" fontId="22" fillId="33" borderId="22" xfId="0" applyNumberFormat="1" applyFont="1" applyFill="1" applyBorder="1" applyAlignment="1">
      <alignment vertical="center"/>
    </xf>
    <xf numFmtId="1" fontId="22" fillId="33" borderId="23" xfId="0" applyNumberFormat="1" applyFont="1" applyFill="1" applyBorder="1" applyAlignment="1">
      <alignment horizontal="right"/>
    </xf>
    <xf numFmtId="1" fontId="22" fillId="33" borderId="23" xfId="0" applyNumberFormat="1" applyFont="1" applyFill="1" applyBorder="1" applyAlignment="1">
      <alignment horizontal="right" vertical="center"/>
    </xf>
    <xf numFmtId="1" fontId="22" fillId="33" borderId="24" xfId="0" applyNumberFormat="1" applyFont="1" applyFill="1" applyBorder="1" applyAlignment="1">
      <alignment horizontal="right"/>
    </xf>
    <xf numFmtId="4" fontId="27" fillId="33" borderId="20" xfId="0" applyNumberFormat="1" applyFont="1" applyFill="1" applyBorder="1" applyAlignment="1">
      <alignment vertical="center"/>
    </xf>
    <xf numFmtId="4" fontId="26" fillId="33" borderId="20" xfId="0" applyNumberFormat="1" applyFont="1" applyFill="1" applyBorder="1"/>
    <xf numFmtId="4" fontId="25" fillId="33" borderId="16" xfId="0" applyNumberFormat="1" applyFont="1" applyFill="1" applyBorder="1" applyAlignment="1">
      <alignment vertical="center"/>
    </xf>
    <xf numFmtId="1" fontId="22" fillId="33" borderId="16" xfId="0" applyNumberFormat="1" applyFont="1" applyFill="1" applyBorder="1" applyAlignment="1">
      <alignment horizontal="right" vertical="center"/>
    </xf>
    <xf numFmtId="14" fontId="27" fillId="33" borderId="24" xfId="0" applyNumberFormat="1" applyFont="1" applyFill="1" applyBorder="1" applyAlignment="1">
      <alignment horizontal="right"/>
    </xf>
    <xf numFmtId="4" fontId="27" fillId="33" borderId="16" xfId="0" applyNumberFormat="1" applyFont="1" applyFill="1" applyBorder="1" applyAlignment="1">
      <alignment vertical="center"/>
    </xf>
    <xf numFmtId="4" fontId="38" fillId="33" borderId="0" xfId="0" applyNumberFormat="1" applyFont="1" applyFill="1"/>
    <xf numFmtId="4" fontId="22" fillId="33" borderId="16" xfId="0" applyNumberFormat="1" applyFont="1" applyFill="1" applyBorder="1"/>
    <xf numFmtId="4" fontId="27" fillId="33" borderId="16" xfId="0" applyNumberFormat="1" applyFont="1" applyFill="1" applyBorder="1"/>
    <xf numFmtId="4" fontId="27" fillId="33" borderId="28" xfId="0" applyNumberFormat="1" applyFont="1" applyFill="1" applyBorder="1"/>
    <xf numFmtId="4" fontId="27" fillId="33" borderId="26" xfId="0" applyNumberFormat="1" applyFont="1" applyFill="1" applyBorder="1"/>
    <xf numFmtId="4" fontId="27" fillId="33" borderId="20" xfId="0" applyNumberFormat="1" applyFont="1" applyFill="1" applyBorder="1"/>
    <xf numFmtId="4" fontId="27" fillId="57" borderId="20" xfId="0" applyNumberFormat="1" applyFont="1" applyFill="1" applyBorder="1"/>
    <xf numFmtId="4" fontId="22" fillId="33" borderId="19" xfId="0" applyNumberFormat="1" applyFont="1" applyFill="1" applyBorder="1" applyAlignment="1">
      <alignment vertical="center"/>
    </xf>
    <xf numFmtId="4" fontId="27" fillId="33" borderId="25" xfId="0" applyNumberFormat="1" applyFont="1" applyFill="1" applyBorder="1" applyAlignment="1">
      <alignment vertical="center"/>
    </xf>
    <xf numFmtId="0" fontId="28" fillId="33" borderId="20" xfId="0" applyFont="1" applyFill="1" applyBorder="1" applyAlignment="1">
      <alignment horizontal="left"/>
    </xf>
    <xf numFmtId="4" fontId="26" fillId="33" borderId="19" xfId="0" applyNumberFormat="1" applyFont="1" applyFill="1" applyBorder="1" applyAlignment="1">
      <alignment vertical="center"/>
    </xf>
    <xf numFmtId="4" fontId="22" fillId="56" borderId="16" xfId="0" applyNumberFormat="1" applyFont="1" applyFill="1" applyBorder="1"/>
    <xf numFmtId="0" fontId="30" fillId="33" borderId="20" xfId="0" applyFont="1" applyFill="1" applyBorder="1"/>
    <xf numFmtId="4" fontId="22" fillId="33" borderId="19" xfId="0" applyNumberFormat="1" applyFont="1" applyFill="1" applyBorder="1"/>
    <xf numFmtId="4" fontId="27" fillId="33" borderId="19" xfId="0" applyNumberFormat="1" applyFont="1" applyFill="1" applyBorder="1" applyAlignment="1">
      <alignment vertical="center"/>
    </xf>
    <xf numFmtId="4" fontId="22" fillId="56" borderId="19" xfId="0" applyNumberFormat="1" applyFont="1" applyFill="1" applyBorder="1" applyAlignment="1">
      <alignment vertical="center"/>
    </xf>
    <xf numFmtId="1" fontId="22" fillId="33" borderId="16" xfId="0" applyNumberFormat="1" applyFont="1" applyFill="1" applyBorder="1" applyAlignment="1">
      <alignment horizontal="right"/>
    </xf>
    <xf numFmtId="4" fontId="67" fillId="33" borderId="0" xfId="1287" applyNumberFormat="1" applyFont="1" applyFill="1"/>
    <xf numFmtId="4" fontId="22" fillId="33" borderId="28" xfId="0" applyNumberFormat="1" applyFont="1" applyFill="1" applyBorder="1"/>
    <xf numFmtId="4" fontId="27" fillId="58" borderId="20" xfId="0" applyNumberFormat="1" applyFont="1" applyFill="1" applyBorder="1"/>
    <xf numFmtId="4" fontId="63" fillId="33" borderId="38" xfId="0" applyNumberFormat="1" applyFont="1" applyFill="1" applyBorder="1"/>
    <xf numFmtId="4" fontId="22" fillId="56" borderId="28" xfId="0" applyNumberFormat="1" applyFont="1" applyFill="1" applyBorder="1"/>
    <xf numFmtId="4" fontId="22" fillId="33" borderId="96" xfId="0" applyNumberFormat="1" applyFont="1" applyFill="1" applyBorder="1"/>
    <xf numFmtId="4" fontId="27" fillId="56" borderId="28" xfId="0" applyNumberFormat="1" applyFont="1" applyFill="1" applyBorder="1"/>
    <xf numFmtId="1" fontId="22" fillId="33" borderId="24" xfId="0" applyNumberFormat="1" applyFont="1" applyFill="1" applyBorder="1"/>
    <xf numFmtId="4" fontId="22" fillId="33" borderId="26" xfId="0" applyNumberFormat="1" applyFont="1" applyFill="1" applyBorder="1"/>
    <xf numFmtId="4" fontId="26" fillId="33" borderId="20" xfId="0" applyNumberFormat="1" applyFont="1" applyFill="1" applyBorder="1" applyAlignment="1">
      <alignment vertical="center"/>
    </xf>
    <xf numFmtId="4" fontId="26" fillId="33" borderId="17" xfId="0" applyNumberFormat="1" applyFont="1" applyFill="1" applyBorder="1"/>
    <xf numFmtId="1" fontId="25" fillId="33" borderId="19" xfId="0" applyNumberFormat="1" applyFont="1" applyFill="1" applyBorder="1"/>
    <xf numFmtId="14" fontId="27" fillId="33" borderId="29" xfId="0" applyNumberFormat="1" applyFont="1" applyFill="1" applyBorder="1" applyAlignment="1">
      <alignment horizontal="right"/>
    </xf>
    <xf numFmtId="4" fontId="27" fillId="33" borderId="30" xfId="0" applyNumberFormat="1" applyFont="1" applyFill="1" applyBorder="1"/>
    <xf numFmtId="4" fontId="22" fillId="33" borderId="29" xfId="0" applyNumberFormat="1" applyFont="1" applyFill="1" applyBorder="1"/>
    <xf numFmtId="1" fontId="22" fillId="33" borderId="29" xfId="0" applyNumberFormat="1" applyFont="1" applyFill="1" applyBorder="1"/>
    <xf numFmtId="1" fontId="22" fillId="33" borderId="29" xfId="0" applyNumberFormat="1" applyFont="1" applyFill="1" applyBorder="1" applyAlignment="1">
      <alignment horizontal="right"/>
    </xf>
    <xf numFmtId="14" fontId="27" fillId="33" borderId="0" xfId="0" applyNumberFormat="1" applyFont="1" applyFill="1" applyBorder="1" applyAlignment="1">
      <alignment horizontal="right"/>
    </xf>
    <xf numFmtId="4" fontId="22" fillId="33" borderId="0" xfId="0" applyNumberFormat="1" applyFont="1" applyFill="1" applyBorder="1"/>
    <xf numFmtId="1" fontId="22" fillId="33" borderId="0" xfId="0" applyNumberFormat="1" applyFont="1" applyFill="1" applyBorder="1"/>
    <xf numFmtId="1" fontId="23" fillId="33" borderId="10" xfId="0" applyNumberFormat="1" applyFont="1" applyFill="1" applyBorder="1" applyAlignment="1">
      <alignment horizontal="center"/>
    </xf>
    <xf numFmtId="1" fontId="23" fillId="33" borderId="13" xfId="0" applyNumberFormat="1" applyFont="1" applyFill="1" applyBorder="1" applyAlignment="1">
      <alignment horizontal="center"/>
    </xf>
    <xf numFmtId="4" fontId="27" fillId="33" borderId="38" xfId="0" applyNumberFormat="1" applyFont="1" applyFill="1" applyBorder="1" applyAlignment="1">
      <alignment vertical="center"/>
    </xf>
    <xf numFmtId="0" fontId="22" fillId="33" borderId="20" xfId="0" applyFont="1" applyFill="1" applyBorder="1"/>
    <xf numFmtId="4" fontId="22" fillId="57" borderId="16" xfId="0" applyNumberFormat="1" applyFont="1" applyFill="1" applyBorder="1" applyAlignment="1">
      <alignment vertical="center"/>
    </xf>
    <xf numFmtId="4" fontId="27" fillId="57" borderId="16" xfId="0" applyNumberFormat="1" applyFont="1" applyFill="1" applyBorder="1" applyAlignment="1">
      <alignment vertical="center"/>
    </xf>
    <xf numFmtId="4" fontId="27" fillId="57" borderId="20" xfId="0" applyNumberFormat="1" applyFont="1" applyFill="1" applyBorder="1" applyAlignment="1">
      <alignment vertical="center"/>
    </xf>
    <xf numFmtId="0" fontId="68" fillId="33" borderId="96" xfId="0" applyFont="1" applyFill="1" applyBorder="1"/>
    <xf numFmtId="4" fontId="22" fillId="33" borderId="16" xfId="0" applyNumberFormat="1" applyFont="1" applyFill="1" applyBorder="1" applyAlignment="1">
      <alignment horizontal="right"/>
    </xf>
    <xf numFmtId="4" fontId="22" fillId="33" borderId="0" xfId="0" applyNumberFormat="1" applyFont="1" applyFill="1"/>
    <xf numFmtId="4" fontId="27" fillId="33" borderId="50" xfId="0" applyNumberFormat="1" applyFont="1" applyFill="1" applyBorder="1"/>
    <xf numFmtId="4" fontId="27" fillId="33" borderId="51" xfId="0" applyNumberFormat="1" applyFont="1" applyFill="1" applyBorder="1"/>
    <xf numFmtId="4" fontId="27" fillId="33" borderId="52" xfId="0" applyNumberFormat="1" applyFont="1" applyFill="1" applyBorder="1"/>
    <xf numFmtId="14" fontId="24" fillId="33" borderId="0" xfId="0" applyNumberFormat="1" applyFont="1" applyFill="1" applyBorder="1" applyAlignment="1">
      <alignment horizontal="right"/>
    </xf>
    <xf numFmtId="4" fontId="27" fillId="33" borderId="31" xfId="0" applyNumberFormat="1" applyFont="1" applyFill="1" applyBorder="1"/>
    <xf numFmtId="4" fontId="22" fillId="33" borderId="31" xfId="0" applyNumberFormat="1" applyFont="1" applyFill="1" applyBorder="1"/>
    <xf numFmtId="1" fontId="22" fillId="33" borderId="0" xfId="0" applyNumberFormat="1" applyFont="1" applyFill="1" applyBorder="1" applyAlignment="1">
      <alignment horizontal="right"/>
    </xf>
    <xf numFmtId="4" fontId="23" fillId="33" borderId="44" xfId="0" applyNumberFormat="1" applyFont="1" applyFill="1" applyBorder="1"/>
    <xf numFmtId="4" fontId="23" fillId="33" borderId="45" xfId="0" applyNumberFormat="1" applyFont="1" applyFill="1" applyBorder="1"/>
    <xf numFmtId="14" fontId="24" fillId="33" borderId="32" xfId="0" applyNumberFormat="1" applyFont="1" applyFill="1" applyBorder="1" applyAlignment="1">
      <alignment horizontal="right"/>
    </xf>
    <xf numFmtId="4" fontId="24" fillId="33" borderId="33" xfId="0" applyNumberFormat="1" applyFont="1" applyFill="1" applyBorder="1" applyAlignment="1">
      <alignment horizontal="center"/>
    </xf>
    <xf numFmtId="4" fontId="23" fillId="33" borderId="33" xfId="0" applyNumberFormat="1" applyFont="1" applyFill="1" applyBorder="1" applyAlignment="1">
      <alignment horizontal="center"/>
    </xf>
    <xf numFmtId="1" fontId="23" fillId="33" borderId="34" xfId="0" applyNumberFormat="1" applyFont="1" applyFill="1" applyBorder="1" applyAlignment="1">
      <alignment horizontal="center"/>
    </xf>
    <xf numFmtId="1" fontId="23" fillId="33" borderId="0" xfId="0" applyNumberFormat="1" applyFont="1" applyFill="1" applyBorder="1" applyAlignment="1">
      <alignment horizontal="center"/>
    </xf>
    <xf numFmtId="1" fontId="27" fillId="33" borderId="0" xfId="0" applyNumberFormat="1" applyFont="1" applyFill="1"/>
    <xf numFmtId="4" fontId="24" fillId="33" borderId="32" xfId="0" applyNumberFormat="1" applyFont="1" applyFill="1" applyBorder="1" applyAlignment="1">
      <alignment horizontal="center"/>
    </xf>
    <xf numFmtId="4" fontId="23" fillId="33" borderId="32" xfId="0" applyNumberFormat="1" applyFont="1" applyFill="1" applyBorder="1" applyAlignment="1">
      <alignment horizontal="center"/>
    </xf>
    <xf numFmtId="4" fontId="23" fillId="33" borderId="26" xfId="0" applyNumberFormat="1" applyFont="1" applyFill="1" applyBorder="1" applyAlignment="1">
      <alignment horizontal="center"/>
    </xf>
    <xf numFmtId="14" fontId="27" fillId="33" borderId="32" xfId="0" applyNumberFormat="1" applyFont="1" applyFill="1" applyBorder="1" applyAlignment="1">
      <alignment horizontal="right"/>
    </xf>
    <xf numFmtId="4" fontId="27" fillId="33" borderId="21" xfId="0" applyNumberFormat="1" applyFont="1" applyFill="1" applyBorder="1"/>
    <xf numFmtId="4" fontId="22" fillId="33" borderId="21" xfId="0" applyNumberFormat="1" applyFont="1" applyFill="1" applyBorder="1"/>
    <xf numFmtId="4" fontId="27" fillId="33" borderId="0" xfId="0" applyNumberFormat="1" applyFont="1" applyFill="1" applyAlignment="1">
      <alignment horizontal="right"/>
    </xf>
    <xf numFmtId="4" fontId="26" fillId="33" borderId="35" xfId="0" applyNumberFormat="1" applyFont="1" applyFill="1" applyBorder="1"/>
    <xf numFmtId="4" fontId="25" fillId="33" borderId="35" xfId="0" applyNumberFormat="1" applyFont="1" applyFill="1" applyBorder="1"/>
    <xf numFmtId="4" fontId="27" fillId="33" borderId="36" xfId="0" applyNumberFormat="1" applyFont="1" applyFill="1" applyBorder="1"/>
    <xf numFmtId="4" fontId="22" fillId="33" borderId="36" xfId="0" applyNumberFormat="1" applyFont="1" applyFill="1" applyBorder="1"/>
    <xf numFmtId="1" fontId="22" fillId="33" borderId="34" xfId="0" applyNumberFormat="1" applyFont="1" applyFill="1" applyBorder="1"/>
    <xf numFmtId="4" fontId="61" fillId="33" borderId="0" xfId="0" applyNumberFormat="1" applyFont="1" applyFill="1"/>
    <xf numFmtId="4" fontId="25" fillId="33" borderId="20" xfId="0" applyNumberFormat="1" applyFont="1" applyFill="1" applyBorder="1"/>
    <xf numFmtId="4" fontId="25" fillId="33" borderId="0" xfId="0" applyNumberFormat="1" applyFont="1" applyFill="1" applyBorder="1"/>
    <xf numFmtId="14" fontId="27" fillId="33" borderId="0" xfId="0" applyNumberFormat="1" applyFont="1" applyFill="1" applyAlignment="1">
      <alignment horizontal="left"/>
    </xf>
    <xf numFmtId="1" fontId="30" fillId="33" borderId="0" xfId="0" applyNumberFormat="1" applyFont="1" applyFill="1" applyBorder="1" applyAlignment="1">
      <alignment horizontal="center"/>
    </xf>
    <xf numFmtId="167" fontId="28" fillId="33" borderId="0" xfId="0" applyNumberFormat="1" applyFont="1" applyFill="1" applyBorder="1"/>
    <xf numFmtId="14" fontId="22" fillId="33" borderId="0" xfId="0" applyNumberFormat="1" applyFont="1" applyFill="1" applyAlignment="1">
      <alignment horizontal="right"/>
    </xf>
    <xf numFmtId="4" fontId="27" fillId="33" borderId="44" xfId="0" applyNumberFormat="1" applyFont="1" applyFill="1" applyBorder="1"/>
    <xf numFmtId="14" fontId="22" fillId="33" borderId="45" xfId="0" applyNumberFormat="1" applyFont="1" applyFill="1" applyBorder="1" applyAlignment="1">
      <alignment horizontal="right"/>
    </xf>
    <xf numFmtId="164" fontId="27" fillId="33" borderId="45" xfId="0" applyNumberFormat="1" applyFont="1" applyFill="1" applyBorder="1"/>
    <xf numFmtId="164" fontId="27" fillId="33" borderId="46" xfId="0" applyNumberFormat="1" applyFont="1" applyFill="1" applyBorder="1"/>
    <xf numFmtId="0" fontId="30" fillId="33" borderId="0" xfId="0" applyNumberFormat="1" applyFont="1" applyFill="1" applyBorder="1" applyAlignment="1" applyProtection="1">
      <alignment vertical="top"/>
    </xf>
    <xf numFmtId="167" fontId="28" fillId="33" borderId="98" xfId="0" applyNumberFormat="1" applyFont="1" applyFill="1" applyBorder="1" applyAlignment="1">
      <alignment horizontal="right"/>
    </xf>
    <xf numFmtId="4" fontId="28" fillId="33" borderId="98" xfId="0" applyNumberFormat="1" applyFont="1" applyFill="1" applyBorder="1" applyAlignment="1" applyProtection="1">
      <alignment horizontal="right"/>
    </xf>
    <xf numFmtId="4" fontId="22" fillId="33" borderId="43" xfId="0" applyNumberFormat="1" applyFont="1" applyFill="1" applyBorder="1" applyAlignment="1">
      <alignment horizontal="right"/>
    </xf>
    <xf numFmtId="4" fontId="27" fillId="33" borderId="43" xfId="0" applyNumberFormat="1" applyFont="1" applyFill="1" applyBorder="1" applyAlignment="1">
      <alignment horizontal="right"/>
    </xf>
    <xf numFmtId="165" fontId="28" fillId="33" borderId="0" xfId="0" applyNumberFormat="1" applyFont="1" applyFill="1" applyBorder="1"/>
    <xf numFmtId="1" fontId="30" fillId="33" borderId="0" xfId="0" applyNumberFormat="1" applyFont="1" applyFill="1" applyBorder="1"/>
    <xf numFmtId="165" fontId="30" fillId="33" borderId="0" xfId="0" applyNumberFormat="1" applyFont="1" applyFill="1" applyBorder="1"/>
    <xf numFmtId="4" fontId="22" fillId="33" borderId="37" xfId="0" applyNumberFormat="1" applyFont="1" applyFill="1" applyBorder="1" applyAlignment="1">
      <alignment horizontal="right"/>
    </xf>
    <xf numFmtId="1" fontId="30" fillId="33" borderId="38" xfId="0" applyNumberFormat="1" applyFont="1" applyFill="1" applyBorder="1" applyAlignment="1">
      <alignment horizontal="center"/>
    </xf>
    <xf numFmtId="167" fontId="22" fillId="33" borderId="37" xfId="0" applyNumberFormat="1" applyFont="1" applyFill="1" applyBorder="1"/>
    <xf numFmtId="1" fontId="30" fillId="33" borderId="39" xfId="0" applyNumberFormat="1" applyFont="1" applyFill="1" applyBorder="1" applyAlignment="1">
      <alignment horizontal="center"/>
    </xf>
    <xf numFmtId="167" fontId="22" fillId="33" borderId="40" xfId="0" applyNumberFormat="1" applyFont="1" applyFill="1" applyBorder="1"/>
    <xf numFmtId="1" fontId="22" fillId="33" borderId="40" xfId="0" applyNumberFormat="1" applyFont="1" applyFill="1" applyBorder="1"/>
    <xf numFmtId="164" fontId="27" fillId="33" borderId="40" xfId="0" applyNumberFormat="1" applyFont="1" applyFill="1" applyBorder="1"/>
    <xf numFmtId="4" fontId="27" fillId="33" borderId="41" xfId="0" applyNumberFormat="1" applyFont="1" applyFill="1" applyBorder="1"/>
    <xf numFmtId="0" fontId="30" fillId="33" borderId="0" xfId="0" applyFont="1" applyFill="1"/>
    <xf numFmtId="0" fontId="28" fillId="33" borderId="0" xfId="0" applyFont="1" applyFill="1"/>
    <xf numFmtId="4" fontId="28" fillId="33" borderId="0" xfId="0" applyNumberFormat="1" applyFont="1" applyFill="1"/>
    <xf numFmtId="4" fontId="30" fillId="33" borderId="0" xfId="0" applyNumberFormat="1" applyFont="1" applyFill="1"/>
    <xf numFmtId="4" fontId="22" fillId="56" borderId="0" xfId="0" applyNumberFormat="1" applyFont="1" applyFill="1"/>
    <xf numFmtId="4" fontId="22" fillId="58" borderId="0" xfId="0" applyNumberFormat="1" applyFont="1" applyFill="1"/>
    <xf numFmtId="0" fontId="68" fillId="57" borderId="96" xfId="0" applyFont="1" applyFill="1" applyBorder="1"/>
    <xf numFmtId="4" fontId="28" fillId="33" borderId="0" xfId="0" applyNumberFormat="1" applyFont="1" applyFill="1" applyBorder="1" applyAlignment="1" applyProtection="1">
      <alignment horizontal="left"/>
      <protection locked="0"/>
    </xf>
    <xf numFmtId="49" fontId="30" fillId="33" borderId="0" xfId="0" applyNumberFormat="1" applyFont="1" applyFill="1" applyBorder="1" applyProtection="1">
      <protection locked="0"/>
    </xf>
    <xf numFmtId="49" fontId="30" fillId="33" borderId="0" xfId="0" applyNumberFormat="1" applyFont="1" applyFill="1" applyBorder="1" applyAlignment="1" applyProtection="1">
      <alignment horizontal="left"/>
      <protection locked="0"/>
    </xf>
    <xf numFmtId="49" fontId="28" fillId="33" borderId="0" xfId="0" applyNumberFormat="1" applyFont="1" applyFill="1" applyBorder="1" applyAlignment="1" applyProtection="1">
      <alignment horizontal="left"/>
      <protection locked="0"/>
    </xf>
    <xf numFmtId="168" fontId="28" fillId="33" borderId="0" xfId="0" applyNumberFormat="1" applyFont="1" applyFill="1" applyBorder="1" applyAlignment="1" applyProtection="1">
      <alignment horizontal="right"/>
      <protection locked="0"/>
    </xf>
    <xf numFmtId="14" fontId="28" fillId="33" borderId="0" xfId="0" applyNumberFormat="1" applyFont="1" applyFill="1" applyBorder="1" applyProtection="1">
      <protection locked="0"/>
    </xf>
    <xf numFmtId="49" fontId="28" fillId="33" borderId="0" xfId="0" applyNumberFormat="1" applyFont="1" applyFill="1" applyBorder="1" applyAlignment="1" applyProtection="1">
      <alignment horizontal="right"/>
      <protection locked="0"/>
    </xf>
    <xf numFmtId="168" fontId="30" fillId="33" borderId="0" xfId="0" applyNumberFormat="1" applyFont="1" applyFill="1" applyBorder="1" applyAlignment="1" applyProtection="1">
      <alignment horizontal="right"/>
      <protection locked="0"/>
    </xf>
    <xf numFmtId="169" fontId="30" fillId="33" borderId="0" xfId="1286" applyNumberFormat="1" applyFont="1" applyFill="1" applyBorder="1" applyProtection="1">
      <protection locked="0"/>
    </xf>
    <xf numFmtId="14" fontId="24" fillId="33" borderId="10" xfId="0" applyNumberFormat="1" applyFont="1" applyFill="1" applyBorder="1" applyAlignment="1">
      <alignment horizontal="center" wrapText="1"/>
    </xf>
    <xf numFmtId="14" fontId="24" fillId="33" borderId="13" xfId="0" applyNumberFormat="1" applyFont="1" applyFill="1" applyBorder="1" applyAlignment="1">
      <alignment horizontal="center" wrapText="1"/>
    </xf>
    <xf numFmtId="4" fontId="21" fillId="33" borderId="0" xfId="0" applyNumberFormat="1" applyFont="1" applyFill="1" applyBorder="1" applyAlignment="1">
      <alignment horizontal="center"/>
    </xf>
    <xf numFmtId="4" fontId="39" fillId="33" borderId="0" xfId="0" applyNumberFormat="1" applyFont="1" applyFill="1" applyBorder="1" applyAlignment="1">
      <alignment horizontal="center"/>
    </xf>
    <xf numFmtId="1" fontId="30" fillId="33" borderId="119" xfId="0" applyNumberFormat="1" applyFont="1" applyFill="1" applyBorder="1" applyAlignment="1">
      <alignment horizontal="right"/>
    </xf>
    <xf numFmtId="1" fontId="30" fillId="33" borderId="120" xfId="0" applyNumberFormat="1" applyFont="1" applyFill="1" applyBorder="1" applyAlignment="1">
      <alignment horizontal="right"/>
    </xf>
    <xf numFmtId="4" fontId="24" fillId="33" borderId="121" xfId="0" applyNumberFormat="1" applyFont="1" applyFill="1" applyBorder="1"/>
    <xf numFmtId="4" fontId="24" fillId="33" borderId="118" xfId="0" applyNumberFormat="1" applyFont="1" applyFill="1" applyBorder="1"/>
    <xf numFmtId="14" fontId="23" fillId="33" borderId="118" xfId="0" applyNumberFormat="1" applyFont="1" applyFill="1" applyBorder="1" applyAlignment="1">
      <alignment horizontal="right"/>
    </xf>
    <xf numFmtId="4" fontId="28" fillId="33" borderId="122" xfId="0" applyNumberFormat="1" applyFont="1" applyFill="1" applyBorder="1" applyAlignment="1" applyProtection="1">
      <alignment horizontal="right"/>
    </xf>
    <xf numFmtId="4" fontId="28" fillId="33" borderId="64" xfId="0" applyNumberFormat="1" applyFont="1" applyFill="1" applyBorder="1" applyAlignment="1" applyProtection="1">
      <alignment horizontal="right"/>
    </xf>
    <xf numFmtId="1" fontId="30" fillId="33" borderId="123" xfId="0" applyNumberFormat="1" applyFont="1" applyFill="1" applyBorder="1" applyAlignment="1">
      <alignment horizontal="center"/>
    </xf>
    <xf numFmtId="4" fontId="28" fillId="33" borderId="124" xfId="0" applyNumberFormat="1" applyFont="1" applyFill="1" applyBorder="1" applyAlignment="1" applyProtection="1">
      <alignment horizontal="right"/>
    </xf>
    <xf numFmtId="1" fontId="30" fillId="33" borderId="121" xfId="0" applyNumberFormat="1" applyFont="1" applyFill="1" applyBorder="1" applyAlignment="1">
      <alignment horizontal="center"/>
    </xf>
    <xf numFmtId="4" fontId="28" fillId="33" borderId="118" xfId="0" applyNumberFormat="1" applyFont="1" applyFill="1" applyBorder="1" applyAlignment="1" applyProtection="1">
      <alignment horizontal="right"/>
    </xf>
    <xf numFmtId="4" fontId="30" fillId="33" borderId="118" xfId="0" applyNumberFormat="1" applyFont="1" applyFill="1" applyBorder="1" applyAlignment="1">
      <alignment horizontal="center"/>
    </xf>
    <xf numFmtId="4" fontId="28" fillId="33" borderId="63" xfId="0" applyNumberFormat="1" applyFont="1" applyFill="1" applyBorder="1"/>
    <xf numFmtId="4" fontId="28" fillId="33" borderId="64" xfId="0" applyNumberFormat="1" applyFont="1" applyFill="1" applyBorder="1"/>
    <xf numFmtId="4" fontId="39" fillId="33" borderId="0" xfId="0" applyNumberFormat="1" applyFont="1" applyFill="1" applyBorder="1" applyAlignment="1">
      <alignment horizontal="center"/>
    </xf>
    <xf numFmtId="4" fontId="26" fillId="33" borderId="0" xfId="0" applyNumberFormat="1" applyFont="1" applyFill="1" applyBorder="1" applyAlignment="1">
      <alignment horizontal="center"/>
    </xf>
    <xf numFmtId="4" fontId="25" fillId="33" borderId="0" xfId="0" applyNumberFormat="1" applyFont="1" applyFill="1" applyBorder="1" applyAlignment="1">
      <alignment horizontal="center"/>
    </xf>
    <xf numFmtId="1" fontId="27" fillId="33" borderId="0" xfId="0" applyNumberFormat="1" applyFont="1" applyFill="1" applyBorder="1" applyAlignment="1">
      <alignment horizontal="center"/>
    </xf>
    <xf numFmtId="167" fontId="22" fillId="33" borderId="0" xfId="0" applyNumberFormat="1" applyFont="1" applyFill="1" applyBorder="1"/>
    <xf numFmtId="0" fontId="27" fillId="33" borderId="0" xfId="0" applyFont="1" applyFill="1"/>
    <xf numFmtId="0" fontId="22" fillId="33" borderId="0" xfId="0" applyFont="1" applyFill="1"/>
    <xf numFmtId="4" fontId="22" fillId="33" borderId="0" xfId="0" applyNumberFormat="1" applyFont="1" applyFill="1" applyBorder="1" applyAlignment="1" applyProtection="1">
      <alignment horizontal="left"/>
      <protection locked="0"/>
    </xf>
    <xf numFmtId="49" fontId="27" fillId="33" borderId="0" xfId="0" applyNumberFormat="1" applyFont="1" applyFill="1" applyBorder="1" applyProtection="1">
      <protection locked="0"/>
    </xf>
    <xf numFmtId="49" fontId="27" fillId="33" borderId="0" xfId="0" applyNumberFormat="1" applyFont="1" applyFill="1" applyBorder="1" applyAlignment="1" applyProtection="1">
      <alignment horizontal="left"/>
      <protection locked="0"/>
    </xf>
    <xf numFmtId="49" fontId="22" fillId="33" borderId="0" xfId="0" applyNumberFormat="1" applyFont="1" applyFill="1" applyBorder="1" applyAlignment="1" applyProtection="1">
      <alignment horizontal="left"/>
      <protection locked="0"/>
    </xf>
    <xf numFmtId="168" fontId="22" fillId="33" borderId="0" xfId="0" applyNumberFormat="1" applyFont="1" applyFill="1" applyBorder="1" applyAlignment="1" applyProtection="1">
      <alignment horizontal="right"/>
      <protection locked="0"/>
    </xf>
    <xf numFmtId="14" fontId="22" fillId="33" borderId="0" xfId="0" applyNumberFormat="1" applyFont="1" applyFill="1" applyBorder="1" applyProtection="1">
      <protection locked="0"/>
    </xf>
    <xf numFmtId="49" fontId="22" fillId="33" borderId="0" xfId="0" applyNumberFormat="1" applyFont="1" applyFill="1" applyBorder="1" applyAlignment="1" applyProtection="1">
      <alignment horizontal="right"/>
      <protection locked="0"/>
    </xf>
    <xf numFmtId="168" fontId="27" fillId="33" borderId="0" xfId="0" applyNumberFormat="1" applyFont="1" applyFill="1" applyBorder="1" applyAlignment="1" applyProtection="1">
      <alignment horizontal="right"/>
      <protection locked="0"/>
    </xf>
    <xf numFmtId="169" fontId="27" fillId="33" borderId="0" xfId="1" applyNumberFormat="1" applyFont="1" applyFill="1" applyBorder="1" applyProtection="1">
      <protection locked="0"/>
    </xf>
    <xf numFmtId="4" fontId="27" fillId="33" borderId="0" xfId="533" applyNumberFormat="1" applyFont="1" applyFill="1"/>
    <xf numFmtId="0" fontId="23" fillId="33" borderId="96" xfId="0" applyFont="1" applyFill="1" applyBorder="1"/>
    <xf numFmtId="4" fontId="21" fillId="33" borderId="0" xfId="0" applyNumberFormat="1" applyFont="1" applyFill="1" applyBorder="1" applyAlignment="1">
      <alignment horizontal="center"/>
    </xf>
    <xf numFmtId="4" fontId="40" fillId="0" borderId="47" xfId="0" applyNumberFormat="1" applyFont="1" applyBorder="1" applyAlignment="1"/>
    <xf numFmtId="4" fontId="40" fillId="0" borderId="48" xfId="0" applyNumberFormat="1" applyFont="1" applyBorder="1" applyAlignment="1"/>
    <xf numFmtId="4" fontId="0" fillId="0" borderId="39" xfId="0" applyNumberFormat="1" applyBorder="1" applyAlignment="1"/>
    <xf numFmtId="4" fontId="0" fillId="0" borderId="40" xfId="0" applyNumberFormat="1" applyBorder="1" applyAlignment="1"/>
    <xf numFmtId="4" fontId="58" fillId="33" borderId="0" xfId="0" applyNumberFormat="1" applyFont="1" applyFill="1" applyBorder="1" applyAlignment="1">
      <alignment horizontal="center"/>
    </xf>
    <xf numFmtId="14" fontId="23" fillId="33" borderId="10" xfId="0" applyNumberFormat="1" applyFont="1" applyFill="1" applyBorder="1" applyAlignment="1">
      <alignment horizontal="center" wrapText="1"/>
    </xf>
    <xf numFmtId="14" fontId="23" fillId="33" borderId="13" xfId="0" applyNumberFormat="1" applyFont="1" applyFill="1" applyBorder="1" applyAlignment="1">
      <alignment horizontal="center" wrapText="1"/>
    </xf>
    <xf numFmtId="4" fontId="39" fillId="33" borderId="0" xfId="0" applyNumberFormat="1" applyFont="1" applyFill="1" applyBorder="1" applyAlignment="1">
      <alignment horizontal="center"/>
    </xf>
    <xf numFmtId="14" fontId="24" fillId="33" borderId="10" xfId="0" applyNumberFormat="1" applyFont="1" applyFill="1" applyBorder="1" applyAlignment="1">
      <alignment horizontal="center" wrapText="1"/>
    </xf>
    <xf numFmtId="14" fontId="24" fillId="33" borderId="13" xfId="0" applyNumberFormat="1" applyFont="1" applyFill="1" applyBorder="1" applyAlignment="1">
      <alignment horizontal="center" wrapText="1"/>
    </xf>
    <xf numFmtId="4" fontId="69" fillId="33" borderId="0" xfId="0" applyNumberFormat="1" applyFont="1" applyFill="1" applyBorder="1" applyAlignment="1">
      <alignment horizontal="center"/>
    </xf>
    <xf numFmtId="0" fontId="27" fillId="33" borderId="25" xfId="0" applyFont="1" applyFill="1" applyBorder="1" applyAlignment="1"/>
    <xf numFmtId="1" fontId="22" fillId="33" borderId="21" xfId="0" applyNumberFormat="1" applyFont="1" applyFill="1" applyBorder="1" applyAlignment="1">
      <alignment horizontal="right" vertical="center"/>
    </xf>
    <xf numFmtId="4" fontId="26" fillId="33" borderId="25" xfId="0" applyNumberFormat="1" applyFont="1" applyFill="1" applyBorder="1"/>
    <xf numFmtId="1" fontId="22" fillId="33" borderId="19" xfId="0" applyNumberFormat="1" applyFont="1" applyFill="1" applyBorder="1" applyAlignment="1">
      <alignment horizontal="right" vertical="center"/>
    </xf>
    <xf numFmtId="0" fontId="22" fillId="33" borderId="25" xfId="0" applyFont="1" applyFill="1" applyBorder="1" applyAlignment="1">
      <alignment horizontal="left"/>
    </xf>
    <xf numFmtId="0" fontId="27" fillId="33" borderId="25" xfId="0" applyFont="1" applyFill="1" applyBorder="1"/>
  </cellXfs>
  <cellStyles count="1288">
    <cellStyle name="20 % – Zvýraznění1 10" xfId="2"/>
    <cellStyle name="20 % – Zvýraznění1 10 2" xfId="535"/>
    <cellStyle name="20 % – Zvýraznění1 11" xfId="3"/>
    <cellStyle name="20 % – Zvýraznění1 11 2" xfId="536"/>
    <cellStyle name="20 % – Zvýraznění1 12" xfId="4"/>
    <cellStyle name="20 % – Zvýraznění1 12 2" xfId="537"/>
    <cellStyle name="20 % – Zvýraznění1 13" xfId="5"/>
    <cellStyle name="20 % – Zvýraznění1 13 2" xfId="538"/>
    <cellStyle name="20 % – Zvýraznění1 14" xfId="1095"/>
    <cellStyle name="20 % – Zvýraznění1 15" xfId="1142"/>
    <cellStyle name="20 % – Zvýraznění1 16" xfId="1166"/>
    <cellStyle name="20 % – Zvýraznění1 17" xfId="1190"/>
    <cellStyle name="20 % – Zvýraznění1 18" xfId="1230"/>
    <cellStyle name="20 % – Zvýraznění1 19" xfId="1259"/>
    <cellStyle name="20 % – Zvýraznění1 2" xfId="6"/>
    <cellStyle name="20 % – Zvýraznění1 2 2" xfId="539"/>
    <cellStyle name="20 % – Zvýraznění1 20" xfId="1273"/>
    <cellStyle name="20 % – Zvýraznění1 21" xfId="534"/>
    <cellStyle name="20 % – Zvýraznění1 3" xfId="7"/>
    <cellStyle name="20 % – Zvýraznění1 3 2" xfId="540"/>
    <cellStyle name="20 % – Zvýraznění1 4" xfId="8"/>
    <cellStyle name="20 % – Zvýraznění1 4 2" xfId="541"/>
    <cellStyle name="20 % – Zvýraznění1 5" xfId="9"/>
    <cellStyle name="20 % – Zvýraznění1 5 2" xfId="542"/>
    <cellStyle name="20 % – Zvýraznění1 6" xfId="10"/>
    <cellStyle name="20 % – Zvýraznění1 6 2" xfId="543"/>
    <cellStyle name="20 % – Zvýraznění1 7" xfId="11"/>
    <cellStyle name="20 % – Zvýraznění1 7 2" xfId="544"/>
    <cellStyle name="20 % – Zvýraznění1 8" xfId="12"/>
    <cellStyle name="20 % – Zvýraznění1 8 2" xfId="545"/>
    <cellStyle name="20 % – Zvýraznění1 9" xfId="13"/>
    <cellStyle name="20 % – Zvýraznění1 9 2" xfId="546"/>
    <cellStyle name="20 % – Zvýraznění2 10" xfId="14"/>
    <cellStyle name="20 % – Zvýraznění2 10 2" xfId="548"/>
    <cellStyle name="20 % – Zvýraznění2 11" xfId="15"/>
    <cellStyle name="20 % – Zvýraznění2 11 2" xfId="549"/>
    <cellStyle name="20 % – Zvýraznění2 12" xfId="16"/>
    <cellStyle name="20 % – Zvýraznění2 12 2" xfId="550"/>
    <cellStyle name="20 % – Zvýraznění2 13" xfId="17"/>
    <cellStyle name="20 % – Zvýraznění2 13 2" xfId="551"/>
    <cellStyle name="20 % – Zvýraznění2 14" xfId="1096"/>
    <cellStyle name="20 % – Zvýraznění2 15" xfId="1146"/>
    <cellStyle name="20 % – Zvýraznění2 16" xfId="1167"/>
    <cellStyle name="20 % – Zvýraznění2 17" xfId="1191"/>
    <cellStyle name="20 % – Zvýraznění2 18" xfId="1234"/>
    <cellStyle name="20 % – Zvýraznění2 19" xfId="1261"/>
    <cellStyle name="20 % – Zvýraznění2 2" xfId="18"/>
    <cellStyle name="20 % – Zvýraznění2 2 2" xfId="552"/>
    <cellStyle name="20 % – Zvýraznění2 20" xfId="1275"/>
    <cellStyle name="20 % – Zvýraznění2 21" xfId="547"/>
    <cellStyle name="20 % – Zvýraznění2 3" xfId="19"/>
    <cellStyle name="20 % – Zvýraznění2 3 2" xfId="553"/>
    <cellStyle name="20 % – Zvýraznění2 4" xfId="20"/>
    <cellStyle name="20 % – Zvýraznění2 4 2" xfId="554"/>
    <cellStyle name="20 % – Zvýraznění2 5" xfId="21"/>
    <cellStyle name="20 % – Zvýraznění2 5 2" xfId="555"/>
    <cellStyle name="20 % – Zvýraznění2 6" xfId="22"/>
    <cellStyle name="20 % – Zvýraznění2 6 2" xfId="556"/>
    <cellStyle name="20 % – Zvýraznění2 7" xfId="23"/>
    <cellStyle name="20 % – Zvýraznění2 7 2" xfId="557"/>
    <cellStyle name="20 % – Zvýraznění2 8" xfId="24"/>
    <cellStyle name="20 % – Zvýraznění2 8 2" xfId="558"/>
    <cellStyle name="20 % – Zvýraznění2 9" xfId="25"/>
    <cellStyle name="20 % – Zvýraznění2 9 2" xfId="559"/>
    <cellStyle name="20 % – Zvýraznění3 10" xfId="26"/>
    <cellStyle name="20 % – Zvýraznění3 10 2" xfId="561"/>
    <cellStyle name="20 % – Zvýraznění3 11" xfId="27"/>
    <cellStyle name="20 % – Zvýraznění3 11 2" xfId="562"/>
    <cellStyle name="20 % – Zvýraznění3 12" xfId="28"/>
    <cellStyle name="20 % – Zvýraznění3 12 2" xfId="563"/>
    <cellStyle name="20 % – Zvýraznění3 13" xfId="29"/>
    <cellStyle name="20 % – Zvýraznění3 13 2" xfId="564"/>
    <cellStyle name="20 % – Zvýraznění3 14" xfId="1097"/>
    <cellStyle name="20 % – Zvýraznění3 15" xfId="1150"/>
    <cellStyle name="20 % – Zvýraznění3 16" xfId="1168"/>
    <cellStyle name="20 % – Zvýraznění3 17" xfId="1192"/>
    <cellStyle name="20 % – Zvýraznění3 18" xfId="1238"/>
    <cellStyle name="20 % – Zvýraznění3 19" xfId="1263"/>
    <cellStyle name="20 % – Zvýraznění3 2" xfId="30"/>
    <cellStyle name="20 % – Zvýraznění3 2 2" xfId="565"/>
    <cellStyle name="20 % – Zvýraznění3 20" xfId="1277"/>
    <cellStyle name="20 % – Zvýraznění3 21" xfId="560"/>
    <cellStyle name="20 % – Zvýraznění3 3" xfId="31"/>
    <cellStyle name="20 % – Zvýraznění3 3 2" xfId="566"/>
    <cellStyle name="20 % – Zvýraznění3 4" xfId="32"/>
    <cellStyle name="20 % – Zvýraznění3 4 2" xfId="567"/>
    <cellStyle name="20 % – Zvýraznění3 5" xfId="33"/>
    <cellStyle name="20 % – Zvýraznění3 5 2" xfId="568"/>
    <cellStyle name="20 % – Zvýraznění3 6" xfId="34"/>
    <cellStyle name="20 % – Zvýraznění3 6 2" xfId="569"/>
    <cellStyle name="20 % – Zvýraznění3 7" xfId="35"/>
    <cellStyle name="20 % – Zvýraznění3 7 2" xfId="570"/>
    <cellStyle name="20 % – Zvýraznění3 8" xfId="36"/>
    <cellStyle name="20 % – Zvýraznění3 8 2" xfId="571"/>
    <cellStyle name="20 % – Zvýraznění3 9" xfId="37"/>
    <cellStyle name="20 % – Zvýraznění3 9 2" xfId="572"/>
    <cellStyle name="20 % – Zvýraznění4 10" xfId="38"/>
    <cellStyle name="20 % – Zvýraznění4 10 2" xfId="574"/>
    <cellStyle name="20 % – Zvýraznění4 11" xfId="39"/>
    <cellStyle name="20 % – Zvýraznění4 11 2" xfId="575"/>
    <cellStyle name="20 % – Zvýraznění4 12" xfId="40"/>
    <cellStyle name="20 % – Zvýraznění4 12 2" xfId="576"/>
    <cellStyle name="20 % – Zvýraznění4 13" xfId="41"/>
    <cellStyle name="20 % – Zvýraznění4 13 2" xfId="577"/>
    <cellStyle name="20 % – Zvýraznění4 14" xfId="1098"/>
    <cellStyle name="20 % – Zvýraznění4 15" xfId="1154"/>
    <cellStyle name="20 % – Zvýraznění4 16" xfId="1169"/>
    <cellStyle name="20 % – Zvýraznění4 17" xfId="1193"/>
    <cellStyle name="20 % – Zvýraznění4 18" xfId="1242"/>
    <cellStyle name="20 % – Zvýraznění4 19" xfId="1265"/>
    <cellStyle name="20 % – Zvýraznění4 2" xfId="42"/>
    <cellStyle name="20 % – Zvýraznění4 2 2" xfId="578"/>
    <cellStyle name="20 % – Zvýraznění4 20" xfId="1279"/>
    <cellStyle name="20 % – Zvýraznění4 21" xfId="573"/>
    <cellStyle name="20 % – Zvýraznění4 3" xfId="43"/>
    <cellStyle name="20 % – Zvýraznění4 3 2" xfId="579"/>
    <cellStyle name="20 % – Zvýraznění4 4" xfId="44"/>
    <cellStyle name="20 % – Zvýraznění4 4 2" xfId="580"/>
    <cellStyle name="20 % – Zvýraznění4 5" xfId="45"/>
    <cellStyle name="20 % – Zvýraznění4 5 2" xfId="581"/>
    <cellStyle name="20 % – Zvýraznění4 6" xfId="46"/>
    <cellStyle name="20 % – Zvýraznění4 6 2" xfId="582"/>
    <cellStyle name="20 % – Zvýraznění4 7" xfId="47"/>
    <cellStyle name="20 % – Zvýraznění4 7 2" xfId="583"/>
    <cellStyle name="20 % – Zvýraznění4 8" xfId="48"/>
    <cellStyle name="20 % – Zvýraznění4 8 2" xfId="584"/>
    <cellStyle name="20 % – Zvýraznění4 9" xfId="49"/>
    <cellStyle name="20 % – Zvýraznění4 9 2" xfId="585"/>
    <cellStyle name="20 % – Zvýraznění5 10" xfId="50"/>
    <cellStyle name="20 % – Zvýraznění5 10 2" xfId="587"/>
    <cellStyle name="20 % – Zvýraznění5 11" xfId="51"/>
    <cellStyle name="20 % – Zvýraznění5 11 2" xfId="588"/>
    <cellStyle name="20 % – Zvýraznění5 12" xfId="52"/>
    <cellStyle name="20 % – Zvýraznění5 12 2" xfId="589"/>
    <cellStyle name="20 % – Zvýraznění5 13" xfId="53"/>
    <cellStyle name="20 % – Zvýraznění5 13 2" xfId="590"/>
    <cellStyle name="20 % – Zvýraznění5 14" xfId="1099"/>
    <cellStyle name="20 % – Zvýraznění5 15" xfId="1158"/>
    <cellStyle name="20 % – Zvýraznění5 16" xfId="1170"/>
    <cellStyle name="20 % – Zvýraznění5 17" xfId="1194"/>
    <cellStyle name="20 % – Zvýraznění5 18" xfId="1246"/>
    <cellStyle name="20 % – Zvýraznění5 19" xfId="1267"/>
    <cellStyle name="20 % – Zvýraznění5 2" xfId="54"/>
    <cellStyle name="20 % – Zvýraznění5 2 2" xfId="591"/>
    <cellStyle name="20 % – Zvýraznění5 20" xfId="1281"/>
    <cellStyle name="20 % – Zvýraznění5 21" xfId="586"/>
    <cellStyle name="20 % – Zvýraznění5 3" xfId="55"/>
    <cellStyle name="20 % – Zvýraznění5 3 2" xfId="592"/>
    <cellStyle name="20 % – Zvýraznění5 4" xfId="56"/>
    <cellStyle name="20 % – Zvýraznění5 4 2" xfId="593"/>
    <cellStyle name="20 % – Zvýraznění5 5" xfId="57"/>
    <cellStyle name="20 % – Zvýraznění5 5 2" xfId="594"/>
    <cellStyle name="20 % – Zvýraznění5 6" xfId="58"/>
    <cellStyle name="20 % – Zvýraznění5 6 2" xfId="595"/>
    <cellStyle name="20 % – Zvýraznění5 7" xfId="59"/>
    <cellStyle name="20 % – Zvýraznění5 7 2" xfId="596"/>
    <cellStyle name="20 % – Zvýraznění5 8" xfId="60"/>
    <cellStyle name="20 % – Zvýraznění5 8 2" xfId="597"/>
    <cellStyle name="20 % – Zvýraznění5 9" xfId="61"/>
    <cellStyle name="20 % – Zvýraznění5 9 2" xfId="598"/>
    <cellStyle name="20 % – Zvýraznění6 10" xfId="62"/>
    <cellStyle name="20 % – Zvýraznění6 10 2" xfId="600"/>
    <cellStyle name="20 % – Zvýraznění6 11" xfId="63"/>
    <cellStyle name="20 % – Zvýraznění6 11 2" xfId="601"/>
    <cellStyle name="20 % – Zvýraznění6 12" xfId="64"/>
    <cellStyle name="20 % – Zvýraznění6 12 2" xfId="602"/>
    <cellStyle name="20 % – Zvýraznění6 13" xfId="65"/>
    <cellStyle name="20 % – Zvýraznění6 13 2" xfId="603"/>
    <cellStyle name="20 % – Zvýraznění6 14" xfId="1100"/>
    <cellStyle name="20 % – Zvýraznění6 15" xfId="1162"/>
    <cellStyle name="20 % – Zvýraznění6 16" xfId="1171"/>
    <cellStyle name="20 % – Zvýraznění6 17" xfId="1195"/>
    <cellStyle name="20 % – Zvýraznění6 18" xfId="1250"/>
    <cellStyle name="20 % – Zvýraznění6 19" xfId="1269"/>
    <cellStyle name="20 % – Zvýraznění6 2" xfId="66"/>
    <cellStyle name="20 % – Zvýraznění6 2 2" xfId="604"/>
    <cellStyle name="20 % – Zvýraznění6 20" xfId="1283"/>
    <cellStyle name="20 % – Zvýraznění6 21" xfId="599"/>
    <cellStyle name="20 % – Zvýraznění6 3" xfId="67"/>
    <cellStyle name="20 % – Zvýraznění6 3 2" xfId="605"/>
    <cellStyle name="20 % – Zvýraznění6 4" xfId="68"/>
    <cellStyle name="20 % – Zvýraznění6 4 2" xfId="606"/>
    <cellStyle name="20 % – Zvýraznění6 5" xfId="69"/>
    <cellStyle name="20 % – Zvýraznění6 5 2" xfId="607"/>
    <cellStyle name="20 % – Zvýraznění6 6" xfId="70"/>
    <cellStyle name="20 % – Zvýraznění6 6 2" xfId="608"/>
    <cellStyle name="20 % – Zvýraznění6 7" xfId="71"/>
    <cellStyle name="20 % – Zvýraznění6 7 2" xfId="609"/>
    <cellStyle name="20 % – Zvýraznění6 8" xfId="72"/>
    <cellStyle name="20 % – Zvýraznění6 8 2" xfId="610"/>
    <cellStyle name="20 % – Zvýraznění6 9" xfId="73"/>
    <cellStyle name="20 % – Zvýraznění6 9 2" xfId="611"/>
    <cellStyle name="40 % – Zvýraznění1 10" xfId="74"/>
    <cellStyle name="40 % – Zvýraznění1 10 2" xfId="613"/>
    <cellStyle name="40 % – Zvýraznění1 11" xfId="75"/>
    <cellStyle name="40 % – Zvýraznění1 11 2" xfId="614"/>
    <cellStyle name="40 % – Zvýraznění1 12" xfId="76"/>
    <cellStyle name="40 % – Zvýraznění1 12 2" xfId="615"/>
    <cellStyle name="40 % – Zvýraznění1 13" xfId="77"/>
    <cellStyle name="40 % – Zvýraznění1 13 2" xfId="616"/>
    <cellStyle name="40 % – Zvýraznění1 14" xfId="1101"/>
    <cellStyle name="40 % – Zvýraznění1 15" xfId="1143"/>
    <cellStyle name="40 % – Zvýraznění1 16" xfId="1172"/>
    <cellStyle name="40 % – Zvýraznění1 17" xfId="1196"/>
    <cellStyle name="40 % – Zvýraznění1 18" xfId="1231"/>
    <cellStyle name="40 % – Zvýraznění1 19" xfId="1260"/>
    <cellStyle name="40 % – Zvýraznění1 2" xfId="78"/>
    <cellStyle name="40 % – Zvýraznění1 2 2" xfId="617"/>
    <cellStyle name="40 % – Zvýraznění1 20" xfId="1274"/>
    <cellStyle name="40 % – Zvýraznění1 21" xfId="612"/>
    <cellStyle name="40 % – Zvýraznění1 3" xfId="79"/>
    <cellStyle name="40 % – Zvýraznění1 3 2" xfId="618"/>
    <cellStyle name="40 % – Zvýraznění1 4" xfId="80"/>
    <cellStyle name="40 % – Zvýraznění1 4 2" xfId="619"/>
    <cellStyle name="40 % – Zvýraznění1 5" xfId="81"/>
    <cellStyle name="40 % – Zvýraznění1 5 2" xfId="620"/>
    <cellStyle name="40 % – Zvýraznění1 6" xfId="82"/>
    <cellStyle name="40 % – Zvýraznění1 6 2" xfId="621"/>
    <cellStyle name="40 % – Zvýraznění1 7" xfId="83"/>
    <cellStyle name="40 % – Zvýraznění1 7 2" xfId="622"/>
    <cellStyle name="40 % – Zvýraznění1 8" xfId="84"/>
    <cellStyle name="40 % – Zvýraznění1 8 2" xfId="623"/>
    <cellStyle name="40 % – Zvýraznění1 9" xfId="85"/>
    <cellStyle name="40 % – Zvýraznění1 9 2" xfId="624"/>
    <cellStyle name="40 % – Zvýraznění2 10" xfId="86"/>
    <cellStyle name="40 % – Zvýraznění2 10 2" xfId="626"/>
    <cellStyle name="40 % – Zvýraznění2 11" xfId="87"/>
    <cellStyle name="40 % – Zvýraznění2 11 2" xfId="627"/>
    <cellStyle name="40 % – Zvýraznění2 12" xfId="88"/>
    <cellStyle name="40 % – Zvýraznění2 12 2" xfId="628"/>
    <cellStyle name="40 % – Zvýraznění2 13" xfId="89"/>
    <cellStyle name="40 % – Zvýraznění2 13 2" xfId="629"/>
    <cellStyle name="40 % – Zvýraznění2 14" xfId="1102"/>
    <cellStyle name="40 % – Zvýraznění2 15" xfId="1147"/>
    <cellStyle name="40 % – Zvýraznění2 16" xfId="1173"/>
    <cellStyle name="40 % – Zvýraznění2 17" xfId="1197"/>
    <cellStyle name="40 % – Zvýraznění2 18" xfId="1235"/>
    <cellStyle name="40 % – Zvýraznění2 19" xfId="1262"/>
    <cellStyle name="40 % – Zvýraznění2 2" xfId="90"/>
    <cellStyle name="40 % – Zvýraznění2 2 2" xfId="630"/>
    <cellStyle name="40 % – Zvýraznění2 20" xfId="1276"/>
    <cellStyle name="40 % – Zvýraznění2 21" xfId="625"/>
    <cellStyle name="40 % – Zvýraznění2 3" xfId="91"/>
    <cellStyle name="40 % – Zvýraznění2 3 2" xfId="631"/>
    <cellStyle name="40 % – Zvýraznění2 4" xfId="92"/>
    <cellStyle name="40 % – Zvýraznění2 4 2" xfId="632"/>
    <cellStyle name="40 % – Zvýraznění2 5" xfId="93"/>
    <cellStyle name="40 % – Zvýraznění2 5 2" xfId="633"/>
    <cellStyle name="40 % – Zvýraznění2 6" xfId="94"/>
    <cellStyle name="40 % – Zvýraznění2 6 2" xfId="634"/>
    <cellStyle name="40 % – Zvýraznění2 7" xfId="95"/>
    <cellStyle name="40 % – Zvýraznění2 7 2" xfId="635"/>
    <cellStyle name="40 % – Zvýraznění2 8" xfId="96"/>
    <cellStyle name="40 % – Zvýraznění2 8 2" xfId="636"/>
    <cellStyle name="40 % – Zvýraznění2 9" xfId="97"/>
    <cellStyle name="40 % – Zvýraznění2 9 2" xfId="637"/>
    <cellStyle name="40 % – Zvýraznění3 10" xfId="98"/>
    <cellStyle name="40 % – Zvýraznění3 10 2" xfId="639"/>
    <cellStyle name="40 % – Zvýraznění3 11" xfId="99"/>
    <cellStyle name="40 % – Zvýraznění3 11 2" xfId="640"/>
    <cellStyle name="40 % – Zvýraznění3 12" xfId="100"/>
    <cellStyle name="40 % – Zvýraznění3 12 2" xfId="641"/>
    <cellStyle name="40 % – Zvýraznění3 13" xfId="101"/>
    <cellStyle name="40 % – Zvýraznění3 13 2" xfId="642"/>
    <cellStyle name="40 % – Zvýraznění3 14" xfId="1103"/>
    <cellStyle name="40 % – Zvýraznění3 15" xfId="1151"/>
    <cellStyle name="40 % – Zvýraznění3 16" xfId="1174"/>
    <cellStyle name="40 % – Zvýraznění3 17" xfId="1198"/>
    <cellStyle name="40 % – Zvýraznění3 18" xfId="1239"/>
    <cellStyle name="40 % – Zvýraznění3 19" xfId="1264"/>
    <cellStyle name="40 % – Zvýraznění3 2" xfId="102"/>
    <cellStyle name="40 % – Zvýraznění3 2 2" xfId="643"/>
    <cellStyle name="40 % – Zvýraznění3 20" xfId="1278"/>
    <cellStyle name="40 % – Zvýraznění3 21" xfId="638"/>
    <cellStyle name="40 % – Zvýraznění3 3" xfId="103"/>
    <cellStyle name="40 % – Zvýraznění3 3 2" xfId="644"/>
    <cellStyle name="40 % – Zvýraznění3 4" xfId="104"/>
    <cellStyle name="40 % – Zvýraznění3 4 2" xfId="645"/>
    <cellStyle name="40 % – Zvýraznění3 5" xfId="105"/>
    <cellStyle name="40 % – Zvýraznění3 5 2" xfId="646"/>
    <cellStyle name="40 % – Zvýraznění3 6" xfId="106"/>
    <cellStyle name="40 % – Zvýraznění3 6 2" xfId="647"/>
    <cellStyle name="40 % – Zvýraznění3 7" xfId="107"/>
    <cellStyle name="40 % – Zvýraznění3 7 2" xfId="648"/>
    <cellStyle name="40 % – Zvýraznění3 8" xfId="108"/>
    <cellStyle name="40 % – Zvýraznění3 8 2" xfId="649"/>
    <cellStyle name="40 % – Zvýraznění3 9" xfId="109"/>
    <cellStyle name="40 % – Zvýraznění3 9 2" xfId="650"/>
    <cellStyle name="40 % – Zvýraznění4 10" xfId="110"/>
    <cellStyle name="40 % – Zvýraznění4 10 2" xfId="652"/>
    <cellStyle name="40 % – Zvýraznění4 11" xfId="111"/>
    <cellStyle name="40 % – Zvýraznění4 11 2" xfId="653"/>
    <cellStyle name="40 % – Zvýraznění4 12" xfId="112"/>
    <cellStyle name="40 % – Zvýraznění4 12 2" xfId="654"/>
    <cellStyle name="40 % – Zvýraznění4 13" xfId="113"/>
    <cellStyle name="40 % – Zvýraznění4 13 2" xfId="655"/>
    <cellStyle name="40 % – Zvýraznění4 14" xfId="1104"/>
    <cellStyle name="40 % – Zvýraznění4 15" xfId="1155"/>
    <cellStyle name="40 % – Zvýraznění4 16" xfId="1175"/>
    <cellStyle name="40 % – Zvýraznění4 17" xfId="1199"/>
    <cellStyle name="40 % – Zvýraznění4 18" xfId="1243"/>
    <cellStyle name="40 % – Zvýraznění4 19" xfId="1266"/>
    <cellStyle name="40 % – Zvýraznění4 2" xfId="114"/>
    <cellStyle name="40 % – Zvýraznění4 2 2" xfId="656"/>
    <cellStyle name="40 % – Zvýraznění4 20" xfId="1280"/>
    <cellStyle name="40 % – Zvýraznění4 21" xfId="651"/>
    <cellStyle name="40 % – Zvýraznění4 3" xfId="115"/>
    <cellStyle name="40 % – Zvýraznění4 3 2" xfId="657"/>
    <cellStyle name="40 % – Zvýraznění4 4" xfId="116"/>
    <cellStyle name="40 % – Zvýraznění4 4 2" xfId="658"/>
    <cellStyle name="40 % – Zvýraznění4 5" xfId="117"/>
    <cellStyle name="40 % – Zvýraznění4 5 2" xfId="659"/>
    <cellStyle name="40 % – Zvýraznění4 6" xfId="118"/>
    <cellStyle name="40 % – Zvýraznění4 6 2" xfId="660"/>
    <cellStyle name="40 % – Zvýraznění4 7" xfId="119"/>
    <cellStyle name="40 % – Zvýraznění4 7 2" xfId="661"/>
    <cellStyle name="40 % – Zvýraznění4 8" xfId="120"/>
    <cellStyle name="40 % – Zvýraznění4 8 2" xfId="662"/>
    <cellStyle name="40 % – Zvýraznění4 9" xfId="121"/>
    <cellStyle name="40 % – Zvýraznění4 9 2" xfId="663"/>
    <cellStyle name="40 % – Zvýraznění5 10" xfId="122"/>
    <cellStyle name="40 % – Zvýraznění5 10 2" xfId="665"/>
    <cellStyle name="40 % – Zvýraznění5 11" xfId="123"/>
    <cellStyle name="40 % – Zvýraznění5 11 2" xfId="666"/>
    <cellStyle name="40 % – Zvýraznění5 12" xfId="124"/>
    <cellStyle name="40 % – Zvýraznění5 12 2" xfId="667"/>
    <cellStyle name="40 % – Zvýraznění5 13" xfId="125"/>
    <cellStyle name="40 % – Zvýraznění5 13 2" xfId="668"/>
    <cellStyle name="40 % – Zvýraznění5 14" xfId="1105"/>
    <cellStyle name="40 % – Zvýraznění5 15" xfId="1159"/>
    <cellStyle name="40 % – Zvýraznění5 16" xfId="1176"/>
    <cellStyle name="40 % – Zvýraznění5 17" xfId="1200"/>
    <cellStyle name="40 % – Zvýraznění5 18" xfId="1247"/>
    <cellStyle name="40 % – Zvýraznění5 19" xfId="1268"/>
    <cellStyle name="40 % – Zvýraznění5 2" xfId="126"/>
    <cellStyle name="40 % – Zvýraznění5 2 2" xfId="669"/>
    <cellStyle name="40 % – Zvýraznění5 20" xfId="1282"/>
    <cellStyle name="40 % – Zvýraznění5 21" xfId="664"/>
    <cellStyle name="40 % – Zvýraznění5 3" xfId="127"/>
    <cellStyle name="40 % – Zvýraznění5 3 2" xfId="670"/>
    <cellStyle name="40 % – Zvýraznění5 4" xfId="128"/>
    <cellStyle name="40 % – Zvýraznění5 4 2" xfId="671"/>
    <cellStyle name="40 % – Zvýraznění5 5" xfId="129"/>
    <cellStyle name="40 % – Zvýraznění5 5 2" xfId="672"/>
    <cellStyle name="40 % – Zvýraznění5 6" xfId="130"/>
    <cellStyle name="40 % – Zvýraznění5 6 2" xfId="673"/>
    <cellStyle name="40 % – Zvýraznění5 7" xfId="131"/>
    <cellStyle name="40 % – Zvýraznění5 7 2" xfId="674"/>
    <cellStyle name="40 % – Zvýraznění5 8" xfId="132"/>
    <cellStyle name="40 % – Zvýraznění5 8 2" xfId="675"/>
    <cellStyle name="40 % – Zvýraznění5 9" xfId="133"/>
    <cellStyle name="40 % – Zvýraznění5 9 2" xfId="676"/>
    <cellStyle name="40 % – Zvýraznění6 10" xfId="134"/>
    <cellStyle name="40 % – Zvýraznění6 10 2" xfId="678"/>
    <cellStyle name="40 % – Zvýraznění6 11" xfId="135"/>
    <cellStyle name="40 % – Zvýraznění6 11 2" xfId="679"/>
    <cellStyle name="40 % – Zvýraznění6 12" xfId="136"/>
    <cellStyle name="40 % – Zvýraznění6 12 2" xfId="680"/>
    <cellStyle name="40 % – Zvýraznění6 13" xfId="137"/>
    <cellStyle name="40 % – Zvýraznění6 13 2" xfId="681"/>
    <cellStyle name="40 % – Zvýraznění6 14" xfId="1106"/>
    <cellStyle name="40 % – Zvýraznění6 15" xfId="1163"/>
    <cellStyle name="40 % – Zvýraznění6 16" xfId="1177"/>
    <cellStyle name="40 % – Zvýraznění6 17" xfId="1201"/>
    <cellStyle name="40 % – Zvýraznění6 18" xfId="1251"/>
    <cellStyle name="40 % – Zvýraznění6 19" xfId="1270"/>
    <cellStyle name="40 % – Zvýraznění6 2" xfId="138"/>
    <cellStyle name="40 % – Zvýraznění6 2 2" xfId="682"/>
    <cellStyle name="40 % – Zvýraznění6 20" xfId="1284"/>
    <cellStyle name="40 % – Zvýraznění6 21" xfId="677"/>
    <cellStyle name="40 % – Zvýraznění6 3" xfId="139"/>
    <cellStyle name="40 % – Zvýraznění6 3 2" xfId="683"/>
    <cellStyle name="40 % – Zvýraznění6 4" xfId="140"/>
    <cellStyle name="40 % – Zvýraznění6 4 2" xfId="684"/>
    <cellStyle name="40 % – Zvýraznění6 5" xfId="141"/>
    <cellStyle name="40 % – Zvýraznění6 5 2" xfId="685"/>
    <cellStyle name="40 % – Zvýraznění6 6" xfId="142"/>
    <cellStyle name="40 % – Zvýraznění6 6 2" xfId="686"/>
    <cellStyle name="40 % – Zvýraznění6 7" xfId="143"/>
    <cellStyle name="40 % – Zvýraznění6 7 2" xfId="687"/>
    <cellStyle name="40 % – Zvýraznění6 8" xfId="144"/>
    <cellStyle name="40 % – Zvýraznění6 8 2" xfId="688"/>
    <cellStyle name="40 % – Zvýraznění6 9" xfId="145"/>
    <cellStyle name="40 % – Zvýraznění6 9 2" xfId="689"/>
    <cellStyle name="60 % – Zvýraznění1 10" xfId="146"/>
    <cellStyle name="60 % – Zvýraznění1 10 2" xfId="691"/>
    <cellStyle name="60 % – Zvýraznění1 11" xfId="147"/>
    <cellStyle name="60 % – Zvýraznění1 11 2" xfId="692"/>
    <cellStyle name="60 % – Zvýraznění1 12" xfId="148"/>
    <cellStyle name="60 % – Zvýraznění1 12 2" xfId="693"/>
    <cellStyle name="60 % – Zvýraznění1 13" xfId="149"/>
    <cellStyle name="60 % – Zvýraznění1 13 2" xfId="694"/>
    <cellStyle name="60 % – Zvýraznění1 14" xfId="1144"/>
    <cellStyle name="60 % – Zvýraznění1 15" xfId="1232"/>
    <cellStyle name="60 % – Zvýraznění1 16" xfId="690"/>
    <cellStyle name="60 % – Zvýraznění1 2" xfId="150"/>
    <cellStyle name="60 % – Zvýraznění1 2 2" xfId="695"/>
    <cellStyle name="60 % – Zvýraznění1 3" xfId="151"/>
    <cellStyle name="60 % – Zvýraznění1 3 2" xfId="696"/>
    <cellStyle name="60 % – Zvýraznění1 4" xfId="152"/>
    <cellStyle name="60 % – Zvýraznění1 4 2" xfId="697"/>
    <cellStyle name="60 % – Zvýraznění1 5" xfId="153"/>
    <cellStyle name="60 % – Zvýraznění1 5 2" xfId="698"/>
    <cellStyle name="60 % – Zvýraznění1 6" xfId="154"/>
    <cellStyle name="60 % – Zvýraznění1 6 2" xfId="699"/>
    <cellStyle name="60 % – Zvýraznění1 7" xfId="155"/>
    <cellStyle name="60 % – Zvýraznění1 7 2" xfId="700"/>
    <cellStyle name="60 % – Zvýraznění1 8" xfId="156"/>
    <cellStyle name="60 % – Zvýraznění1 8 2" xfId="701"/>
    <cellStyle name="60 % – Zvýraznění1 9" xfId="157"/>
    <cellStyle name="60 % – Zvýraznění1 9 2" xfId="702"/>
    <cellStyle name="60 % – Zvýraznění2 10" xfId="158"/>
    <cellStyle name="60 % – Zvýraznění2 10 2" xfId="704"/>
    <cellStyle name="60 % – Zvýraznění2 11" xfId="159"/>
    <cellStyle name="60 % – Zvýraznění2 11 2" xfId="705"/>
    <cellStyle name="60 % – Zvýraznění2 12" xfId="160"/>
    <cellStyle name="60 % – Zvýraznění2 12 2" xfId="706"/>
    <cellStyle name="60 % – Zvýraznění2 13" xfId="161"/>
    <cellStyle name="60 % – Zvýraznění2 13 2" xfId="707"/>
    <cellStyle name="60 % – Zvýraznění2 14" xfId="1148"/>
    <cellStyle name="60 % – Zvýraznění2 15" xfId="1236"/>
    <cellStyle name="60 % – Zvýraznění2 16" xfId="703"/>
    <cellStyle name="60 % – Zvýraznění2 2" xfId="162"/>
    <cellStyle name="60 % – Zvýraznění2 2 2" xfId="708"/>
    <cellStyle name="60 % – Zvýraznění2 3" xfId="163"/>
    <cellStyle name="60 % – Zvýraznění2 3 2" xfId="709"/>
    <cellStyle name="60 % – Zvýraznění2 4" xfId="164"/>
    <cellStyle name="60 % – Zvýraznění2 4 2" xfId="710"/>
    <cellStyle name="60 % – Zvýraznění2 5" xfId="165"/>
    <cellStyle name="60 % – Zvýraznění2 5 2" xfId="711"/>
    <cellStyle name="60 % – Zvýraznění2 6" xfId="166"/>
    <cellStyle name="60 % – Zvýraznění2 6 2" xfId="712"/>
    <cellStyle name="60 % – Zvýraznění2 7" xfId="167"/>
    <cellStyle name="60 % – Zvýraznění2 7 2" xfId="713"/>
    <cellStyle name="60 % – Zvýraznění2 8" xfId="168"/>
    <cellStyle name="60 % – Zvýraznění2 8 2" xfId="714"/>
    <cellStyle name="60 % – Zvýraznění2 9" xfId="169"/>
    <cellStyle name="60 % – Zvýraznění2 9 2" xfId="715"/>
    <cellStyle name="60 % – Zvýraznění3 10" xfId="170"/>
    <cellStyle name="60 % – Zvýraznění3 10 2" xfId="717"/>
    <cellStyle name="60 % – Zvýraznění3 11" xfId="171"/>
    <cellStyle name="60 % – Zvýraznění3 11 2" xfId="718"/>
    <cellStyle name="60 % – Zvýraznění3 12" xfId="172"/>
    <cellStyle name="60 % – Zvýraznění3 12 2" xfId="719"/>
    <cellStyle name="60 % – Zvýraznění3 13" xfId="173"/>
    <cellStyle name="60 % – Zvýraznění3 13 2" xfId="720"/>
    <cellStyle name="60 % – Zvýraznění3 14" xfId="1152"/>
    <cellStyle name="60 % – Zvýraznění3 15" xfId="1240"/>
    <cellStyle name="60 % – Zvýraznění3 16" xfId="716"/>
    <cellStyle name="60 % – Zvýraznění3 2" xfId="174"/>
    <cellStyle name="60 % – Zvýraznění3 2 2" xfId="721"/>
    <cellStyle name="60 % – Zvýraznění3 3" xfId="175"/>
    <cellStyle name="60 % – Zvýraznění3 3 2" xfId="722"/>
    <cellStyle name="60 % – Zvýraznění3 4" xfId="176"/>
    <cellStyle name="60 % – Zvýraznění3 4 2" xfId="723"/>
    <cellStyle name="60 % – Zvýraznění3 5" xfId="177"/>
    <cellStyle name="60 % – Zvýraznění3 5 2" xfId="724"/>
    <cellStyle name="60 % – Zvýraznění3 6" xfId="178"/>
    <cellStyle name="60 % – Zvýraznění3 6 2" xfId="725"/>
    <cellStyle name="60 % – Zvýraznění3 7" xfId="179"/>
    <cellStyle name="60 % – Zvýraznění3 7 2" xfId="726"/>
    <cellStyle name="60 % – Zvýraznění3 8" xfId="180"/>
    <cellStyle name="60 % – Zvýraznění3 8 2" xfId="727"/>
    <cellStyle name="60 % – Zvýraznění3 9" xfId="181"/>
    <cellStyle name="60 % – Zvýraznění3 9 2" xfId="728"/>
    <cellStyle name="60 % – Zvýraznění4 10" xfId="182"/>
    <cellStyle name="60 % – Zvýraznění4 10 2" xfId="730"/>
    <cellStyle name="60 % – Zvýraznění4 11" xfId="183"/>
    <cellStyle name="60 % – Zvýraznění4 11 2" xfId="731"/>
    <cellStyle name="60 % – Zvýraznění4 12" xfId="184"/>
    <cellStyle name="60 % – Zvýraznění4 12 2" xfId="732"/>
    <cellStyle name="60 % – Zvýraznění4 13" xfId="185"/>
    <cellStyle name="60 % – Zvýraznění4 13 2" xfId="733"/>
    <cellStyle name="60 % – Zvýraznění4 14" xfId="1156"/>
    <cellStyle name="60 % – Zvýraznění4 15" xfId="1244"/>
    <cellStyle name="60 % – Zvýraznění4 16" xfId="729"/>
    <cellStyle name="60 % – Zvýraznění4 2" xfId="186"/>
    <cellStyle name="60 % – Zvýraznění4 2 2" xfId="734"/>
    <cellStyle name="60 % – Zvýraznění4 3" xfId="187"/>
    <cellStyle name="60 % – Zvýraznění4 3 2" xfId="735"/>
    <cellStyle name="60 % – Zvýraznění4 4" xfId="188"/>
    <cellStyle name="60 % – Zvýraznění4 4 2" xfId="736"/>
    <cellStyle name="60 % – Zvýraznění4 5" xfId="189"/>
    <cellStyle name="60 % – Zvýraznění4 5 2" xfId="737"/>
    <cellStyle name="60 % – Zvýraznění4 6" xfId="190"/>
    <cellStyle name="60 % – Zvýraznění4 6 2" xfId="738"/>
    <cellStyle name="60 % – Zvýraznění4 7" xfId="191"/>
    <cellStyle name="60 % – Zvýraznění4 7 2" xfId="739"/>
    <cellStyle name="60 % – Zvýraznění4 8" xfId="192"/>
    <cellStyle name="60 % – Zvýraznění4 8 2" xfId="740"/>
    <cellStyle name="60 % – Zvýraznění4 9" xfId="193"/>
    <cellStyle name="60 % – Zvýraznění4 9 2" xfId="741"/>
    <cellStyle name="60 % – Zvýraznění5 10" xfId="194"/>
    <cellStyle name="60 % – Zvýraznění5 10 2" xfId="743"/>
    <cellStyle name="60 % – Zvýraznění5 11" xfId="195"/>
    <cellStyle name="60 % – Zvýraznění5 11 2" xfId="744"/>
    <cellStyle name="60 % – Zvýraznění5 12" xfId="196"/>
    <cellStyle name="60 % – Zvýraznění5 12 2" xfId="745"/>
    <cellStyle name="60 % – Zvýraznění5 13" xfId="197"/>
    <cellStyle name="60 % – Zvýraznění5 13 2" xfId="746"/>
    <cellStyle name="60 % – Zvýraznění5 14" xfId="1160"/>
    <cellStyle name="60 % – Zvýraznění5 15" xfId="1248"/>
    <cellStyle name="60 % – Zvýraznění5 16" xfId="742"/>
    <cellStyle name="60 % – Zvýraznění5 2" xfId="198"/>
    <cellStyle name="60 % – Zvýraznění5 2 2" xfId="747"/>
    <cellStyle name="60 % – Zvýraznění5 3" xfId="199"/>
    <cellStyle name="60 % – Zvýraznění5 3 2" xfId="748"/>
    <cellStyle name="60 % – Zvýraznění5 4" xfId="200"/>
    <cellStyle name="60 % – Zvýraznění5 4 2" xfId="749"/>
    <cellStyle name="60 % – Zvýraznění5 5" xfId="201"/>
    <cellStyle name="60 % – Zvýraznění5 5 2" xfId="750"/>
    <cellStyle name="60 % – Zvýraznění5 6" xfId="202"/>
    <cellStyle name="60 % – Zvýraznění5 6 2" xfId="751"/>
    <cellStyle name="60 % – Zvýraznění5 7" xfId="203"/>
    <cellStyle name="60 % – Zvýraznění5 7 2" xfId="752"/>
    <cellStyle name="60 % – Zvýraznění5 8" xfId="204"/>
    <cellStyle name="60 % – Zvýraznění5 8 2" xfId="753"/>
    <cellStyle name="60 % – Zvýraznění5 9" xfId="205"/>
    <cellStyle name="60 % – Zvýraznění5 9 2" xfId="754"/>
    <cellStyle name="60 % – Zvýraznění6 10" xfId="206"/>
    <cellStyle name="60 % – Zvýraznění6 10 2" xfId="756"/>
    <cellStyle name="60 % – Zvýraznění6 11" xfId="207"/>
    <cellStyle name="60 % – Zvýraznění6 11 2" xfId="757"/>
    <cellStyle name="60 % – Zvýraznění6 12" xfId="208"/>
    <cellStyle name="60 % – Zvýraznění6 12 2" xfId="758"/>
    <cellStyle name="60 % – Zvýraznění6 13" xfId="209"/>
    <cellStyle name="60 % – Zvýraznění6 13 2" xfId="759"/>
    <cellStyle name="60 % – Zvýraznění6 14" xfId="1164"/>
    <cellStyle name="60 % – Zvýraznění6 15" xfId="1252"/>
    <cellStyle name="60 % – Zvýraznění6 16" xfId="755"/>
    <cellStyle name="60 % – Zvýraznění6 2" xfId="210"/>
    <cellStyle name="60 % – Zvýraznění6 2 2" xfId="760"/>
    <cellStyle name="60 % – Zvýraznění6 3" xfId="211"/>
    <cellStyle name="60 % – Zvýraznění6 3 2" xfId="761"/>
    <cellStyle name="60 % – Zvýraznění6 4" xfId="212"/>
    <cellStyle name="60 % – Zvýraznění6 4 2" xfId="762"/>
    <cellStyle name="60 % – Zvýraznění6 5" xfId="213"/>
    <cellStyle name="60 % – Zvýraznění6 5 2" xfId="763"/>
    <cellStyle name="60 % – Zvýraznění6 6" xfId="214"/>
    <cellStyle name="60 % – Zvýraznění6 6 2" xfId="764"/>
    <cellStyle name="60 % – Zvýraznění6 7" xfId="215"/>
    <cellStyle name="60 % – Zvýraznění6 7 2" xfId="765"/>
    <cellStyle name="60 % – Zvýraznění6 8" xfId="216"/>
    <cellStyle name="60 % – Zvýraznění6 8 2" xfId="766"/>
    <cellStyle name="60 % – Zvýraznění6 9" xfId="217"/>
    <cellStyle name="60 % – Zvýraznění6 9 2" xfId="767"/>
    <cellStyle name="Celkem 10" xfId="218"/>
    <cellStyle name="Celkem 10 2" xfId="769"/>
    <cellStyle name="Celkem 11" xfId="219"/>
    <cellStyle name="Celkem 11 2" xfId="770"/>
    <cellStyle name="Celkem 12" xfId="220"/>
    <cellStyle name="Celkem 12 2" xfId="771"/>
    <cellStyle name="Celkem 13" xfId="221"/>
    <cellStyle name="Celkem 13 2" xfId="772"/>
    <cellStyle name="Celkem 14" xfId="1140"/>
    <cellStyle name="Celkem 15" xfId="1228"/>
    <cellStyle name="Celkem 16" xfId="768"/>
    <cellStyle name="Celkem 2" xfId="222"/>
    <cellStyle name="Celkem 2 2" xfId="773"/>
    <cellStyle name="Celkem 3" xfId="223"/>
    <cellStyle name="Celkem 3 2" xfId="774"/>
    <cellStyle name="Celkem 4" xfId="224"/>
    <cellStyle name="Celkem 4 2" xfId="775"/>
    <cellStyle name="Celkem 5" xfId="225"/>
    <cellStyle name="Celkem 5 2" xfId="776"/>
    <cellStyle name="Celkem 6" xfId="226"/>
    <cellStyle name="Celkem 6 2" xfId="777"/>
    <cellStyle name="Celkem 7" xfId="227"/>
    <cellStyle name="Celkem 7 2" xfId="778"/>
    <cellStyle name="Celkem 8" xfId="228"/>
    <cellStyle name="Celkem 8 2" xfId="779"/>
    <cellStyle name="Celkem 9" xfId="229"/>
    <cellStyle name="Celkem 9 2" xfId="780"/>
    <cellStyle name="Hypertextový odkaz" xfId="532" builtinId="8" customBuiltin="1"/>
    <cellStyle name="Hypertextový odkaz 3" xfId="230"/>
    <cellStyle name="Chybně 10" xfId="231"/>
    <cellStyle name="Chybně 10 2" xfId="782"/>
    <cellStyle name="Chybně 11" xfId="232"/>
    <cellStyle name="Chybně 11 2" xfId="783"/>
    <cellStyle name="Chybně 12" xfId="233"/>
    <cellStyle name="Chybně 12 2" xfId="784"/>
    <cellStyle name="Chybně 13" xfId="234"/>
    <cellStyle name="Chybně 13 2" xfId="785"/>
    <cellStyle name="Chybně 14" xfId="1130"/>
    <cellStyle name="Chybně 15" xfId="1218"/>
    <cellStyle name="Chybně 16" xfId="781"/>
    <cellStyle name="Chybně 2" xfId="235"/>
    <cellStyle name="Chybně 2 2" xfId="786"/>
    <cellStyle name="Chybně 3" xfId="236"/>
    <cellStyle name="Chybně 3 2" xfId="787"/>
    <cellStyle name="Chybně 4" xfId="237"/>
    <cellStyle name="Chybně 4 2" xfId="788"/>
    <cellStyle name="Chybně 5" xfId="238"/>
    <cellStyle name="Chybně 5 2" xfId="789"/>
    <cellStyle name="Chybně 6" xfId="239"/>
    <cellStyle name="Chybně 6 2" xfId="790"/>
    <cellStyle name="Chybně 7" xfId="240"/>
    <cellStyle name="Chybně 7 2" xfId="791"/>
    <cellStyle name="Chybně 8" xfId="241"/>
    <cellStyle name="Chybně 8 2" xfId="792"/>
    <cellStyle name="Chybně 9" xfId="242"/>
    <cellStyle name="Chybně 9 2" xfId="793"/>
    <cellStyle name="Kontrolní buňka 10" xfId="243"/>
    <cellStyle name="Kontrolní buňka 10 2" xfId="795"/>
    <cellStyle name="Kontrolní buňka 11" xfId="244"/>
    <cellStyle name="Kontrolní buňka 11 2" xfId="796"/>
    <cellStyle name="Kontrolní buňka 12" xfId="245"/>
    <cellStyle name="Kontrolní buňka 12 2" xfId="797"/>
    <cellStyle name="Kontrolní buňka 13" xfId="246"/>
    <cellStyle name="Kontrolní buňka 13 2" xfId="798"/>
    <cellStyle name="Kontrolní buňka 14" xfId="1136"/>
    <cellStyle name="Kontrolní buňka 15" xfId="1224"/>
    <cellStyle name="Kontrolní buňka 16" xfId="794"/>
    <cellStyle name="Kontrolní buňka 2" xfId="247"/>
    <cellStyle name="Kontrolní buňka 2 2" xfId="799"/>
    <cellStyle name="Kontrolní buňka 3" xfId="248"/>
    <cellStyle name="Kontrolní buňka 3 2" xfId="800"/>
    <cellStyle name="Kontrolní buňka 4" xfId="249"/>
    <cellStyle name="Kontrolní buňka 4 2" xfId="801"/>
    <cellStyle name="Kontrolní buňka 5" xfId="250"/>
    <cellStyle name="Kontrolní buňka 5 2" xfId="802"/>
    <cellStyle name="Kontrolní buňka 6" xfId="251"/>
    <cellStyle name="Kontrolní buňka 6 2" xfId="803"/>
    <cellStyle name="Kontrolní buňka 7" xfId="252"/>
    <cellStyle name="Kontrolní buňka 7 2" xfId="804"/>
    <cellStyle name="Kontrolní buňka 8" xfId="253"/>
    <cellStyle name="Kontrolní buňka 8 2" xfId="805"/>
    <cellStyle name="Kontrolní buňka 9" xfId="254"/>
    <cellStyle name="Kontrolní buňka 9 2" xfId="806"/>
    <cellStyle name="Měna" xfId="1" builtinId="4"/>
    <cellStyle name="Měna 2" xfId="528"/>
    <cellStyle name="Měna 3" xfId="1285"/>
    <cellStyle name="Měna 4" xfId="1286"/>
    <cellStyle name="měny 10" xfId="255"/>
    <cellStyle name="měny 10 2" xfId="807"/>
    <cellStyle name="měny 11" xfId="256"/>
    <cellStyle name="měny 11 2" xfId="808"/>
    <cellStyle name="měny 2" xfId="530"/>
    <cellStyle name="měny 2 2" xfId="257"/>
    <cellStyle name="měny 2 2 2" xfId="809"/>
    <cellStyle name="měny 3" xfId="258"/>
    <cellStyle name="měny 3 2" xfId="810"/>
    <cellStyle name="měny 4" xfId="1117"/>
    <cellStyle name="měny 5" xfId="1120"/>
    <cellStyle name="měny 6" xfId="1254"/>
    <cellStyle name="Nadpis 1 10" xfId="259"/>
    <cellStyle name="Nadpis 1 10 2" xfId="812"/>
    <cellStyle name="Nadpis 1 11" xfId="260"/>
    <cellStyle name="Nadpis 1 11 2" xfId="813"/>
    <cellStyle name="Nadpis 1 12" xfId="261"/>
    <cellStyle name="Nadpis 1 12 2" xfId="814"/>
    <cellStyle name="Nadpis 1 13" xfId="262"/>
    <cellStyle name="Nadpis 1 13 2" xfId="815"/>
    <cellStyle name="Nadpis 1 14" xfId="1125"/>
    <cellStyle name="Nadpis 1 15" xfId="1213"/>
    <cellStyle name="Nadpis 1 16" xfId="811"/>
    <cellStyle name="Nadpis 1 2" xfId="263"/>
    <cellStyle name="Nadpis 1 2 2" xfId="816"/>
    <cellStyle name="Nadpis 1 3" xfId="264"/>
    <cellStyle name="Nadpis 1 3 2" xfId="817"/>
    <cellStyle name="Nadpis 1 4" xfId="265"/>
    <cellStyle name="Nadpis 1 4 2" xfId="818"/>
    <cellStyle name="Nadpis 1 5" xfId="266"/>
    <cellStyle name="Nadpis 1 5 2" xfId="819"/>
    <cellStyle name="Nadpis 1 6" xfId="267"/>
    <cellStyle name="Nadpis 1 6 2" xfId="820"/>
    <cellStyle name="Nadpis 1 7" xfId="268"/>
    <cellStyle name="Nadpis 1 7 2" xfId="821"/>
    <cellStyle name="Nadpis 1 8" xfId="269"/>
    <cellStyle name="Nadpis 1 8 2" xfId="822"/>
    <cellStyle name="Nadpis 1 9" xfId="270"/>
    <cellStyle name="Nadpis 1 9 2" xfId="823"/>
    <cellStyle name="Nadpis 2 10" xfId="271"/>
    <cellStyle name="Nadpis 2 10 2" xfId="825"/>
    <cellStyle name="Nadpis 2 11" xfId="272"/>
    <cellStyle name="Nadpis 2 11 2" xfId="826"/>
    <cellStyle name="Nadpis 2 12" xfId="273"/>
    <cellStyle name="Nadpis 2 12 2" xfId="827"/>
    <cellStyle name="Nadpis 2 13" xfId="274"/>
    <cellStyle name="Nadpis 2 13 2" xfId="828"/>
    <cellStyle name="Nadpis 2 14" xfId="1126"/>
    <cellStyle name="Nadpis 2 15" xfId="1214"/>
    <cellStyle name="Nadpis 2 16" xfId="824"/>
    <cellStyle name="Nadpis 2 2" xfId="275"/>
    <cellStyle name="Nadpis 2 2 2" xfId="829"/>
    <cellStyle name="Nadpis 2 3" xfId="276"/>
    <cellStyle name="Nadpis 2 3 2" xfId="830"/>
    <cellStyle name="Nadpis 2 4" xfId="277"/>
    <cellStyle name="Nadpis 2 4 2" xfId="831"/>
    <cellStyle name="Nadpis 2 5" xfId="278"/>
    <cellStyle name="Nadpis 2 5 2" xfId="832"/>
    <cellStyle name="Nadpis 2 6" xfId="279"/>
    <cellStyle name="Nadpis 2 6 2" xfId="833"/>
    <cellStyle name="Nadpis 2 7" xfId="280"/>
    <cellStyle name="Nadpis 2 7 2" xfId="834"/>
    <cellStyle name="Nadpis 2 8" xfId="281"/>
    <cellStyle name="Nadpis 2 8 2" xfId="835"/>
    <cellStyle name="Nadpis 2 9" xfId="282"/>
    <cellStyle name="Nadpis 2 9 2" xfId="836"/>
    <cellStyle name="Nadpis 3 10" xfId="283"/>
    <cellStyle name="Nadpis 3 10 2" xfId="838"/>
    <cellStyle name="Nadpis 3 11" xfId="284"/>
    <cellStyle name="Nadpis 3 11 2" xfId="839"/>
    <cellStyle name="Nadpis 3 12" xfId="285"/>
    <cellStyle name="Nadpis 3 12 2" xfId="840"/>
    <cellStyle name="Nadpis 3 13" xfId="286"/>
    <cellStyle name="Nadpis 3 13 2" xfId="841"/>
    <cellStyle name="Nadpis 3 14" xfId="1127"/>
    <cellStyle name="Nadpis 3 15" xfId="1215"/>
    <cellStyle name="Nadpis 3 16" xfId="837"/>
    <cellStyle name="Nadpis 3 2" xfId="287"/>
    <cellStyle name="Nadpis 3 2 2" xfId="842"/>
    <cellStyle name="Nadpis 3 3" xfId="288"/>
    <cellStyle name="Nadpis 3 3 2" xfId="843"/>
    <cellStyle name="Nadpis 3 4" xfId="289"/>
    <cellStyle name="Nadpis 3 4 2" xfId="844"/>
    <cellStyle name="Nadpis 3 5" xfId="290"/>
    <cellStyle name="Nadpis 3 5 2" xfId="845"/>
    <cellStyle name="Nadpis 3 6" xfId="291"/>
    <cellStyle name="Nadpis 3 6 2" xfId="846"/>
    <cellStyle name="Nadpis 3 7" xfId="292"/>
    <cellStyle name="Nadpis 3 7 2" xfId="847"/>
    <cellStyle name="Nadpis 3 8" xfId="293"/>
    <cellStyle name="Nadpis 3 8 2" xfId="848"/>
    <cellStyle name="Nadpis 3 9" xfId="294"/>
    <cellStyle name="Nadpis 3 9 2" xfId="849"/>
    <cellStyle name="Nadpis 4 10" xfId="295"/>
    <cellStyle name="Nadpis 4 10 2" xfId="851"/>
    <cellStyle name="Nadpis 4 11" xfId="296"/>
    <cellStyle name="Nadpis 4 11 2" xfId="852"/>
    <cellStyle name="Nadpis 4 12" xfId="297"/>
    <cellStyle name="Nadpis 4 12 2" xfId="853"/>
    <cellStyle name="Nadpis 4 13" xfId="298"/>
    <cellStyle name="Nadpis 4 13 2" xfId="854"/>
    <cellStyle name="Nadpis 4 14" xfId="1128"/>
    <cellStyle name="Nadpis 4 15" xfId="1216"/>
    <cellStyle name="Nadpis 4 16" xfId="850"/>
    <cellStyle name="Nadpis 4 2" xfId="299"/>
    <cellStyle name="Nadpis 4 2 2" xfId="855"/>
    <cellStyle name="Nadpis 4 3" xfId="300"/>
    <cellStyle name="Nadpis 4 3 2" xfId="856"/>
    <cellStyle name="Nadpis 4 4" xfId="301"/>
    <cellStyle name="Nadpis 4 4 2" xfId="857"/>
    <cellStyle name="Nadpis 4 5" xfId="302"/>
    <cellStyle name="Nadpis 4 5 2" xfId="858"/>
    <cellStyle name="Nadpis 4 6" xfId="303"/>
    <cellStyle name="Nadpis 4 6 2" xfId="859"/>
    <cellStyle name="Nadpis 4 7" xfId="304"/>
    <cellStyle name="Nadpis 4 7 2" xfId="860"/>
    <cellStyle name="Nadpis 4 8" xfId="305"/>
    <cellStyle name="Nadpis 4 8 2" xfId="861"/>
    <cellStyle name="Nadpis 4 9" xfId="306"/>
    <cellStyle name="Nadpis 4 9 2" xfId="862"/>
    <cellStyle name="Název 10" xfId="307"/>
    <cellStyle name="Název 10 2" xfId="864"/>
    <cellStyle name="Název 11" xfId="308"/>
    <cellStyle name="Název 11 2" xfId="865"/>
    <cellStyle name="Název 12" xfId="309"/>
    <cellStyle name="Název 12 2" xfId="866"/>
    <cellStyle name="Název 13" xfId="310"/>
    <cellStyle name="Název 13 2" xfId="867"/>
    <cellStyle name="Název 14" xfId="1124"/>
    <cellStyle name="Název 15" xfId="1212"/>
    <cellStyle name="Název 16" xfId="863"/>
    <cellStyle name="Název 2" xfId="311"/>
    <cellStyle name="Název 2 2" xfId="868"/>
    <cellStyle name="Název 3" xfId="312"/>
    <cellStyle name="Název 3 2" xfId="869"/>
    <cellStyle name="Název 4" xfId="313"/>
    <cellStyle name="Název 4 2" xfId="870"/>
    <cellStyle name="Název 5" xfId="314"/>
    <cellStyle name="Název 5 2" xfId="871"/>
    <cellStyle name="Název 6" xfId="315"/>
    <cellStyle name="Název 6 2" xfId="872"/>
    <cellStyle name="Název 7" xfId="316"/>
    <cellStyle name="Název 7 2" xfId="873"/>
    <cellStyle name="Název 8" xfId="317"/>
    <cellStyle name="Název 8 2" xfId="874"/>
    <cellStyle name="Název 9" xfId="318"/>
    <cellStyle name="Název 9 2" xfId="875"/>
    <cellStyle name="Neutrální 10" xfId="319"/>
    <cellStyle name="Neutrální 10 2" xfId="877"/>
    <cellStyle name="Neutrální 11" xfId="320"/>
    <cellStyle name="Neutrální 11 2" xfId="878"/>
    <cellStyle name="Neutrální 12" xfId="321"/>
    <cellStyle name="Neutrální 12 2" xfId="879"/>
    <cellStyle name="Neutrální 13" xfId="322"/>
    <cellStyle name="Neutrální 13 2" xfId="880"/>
    <cellStyle name="Neutrální 14" xfId="1131"/>
    <cellStyle name="Neutrální 15" xfId="1219"/>
    <cellStyle name="Neutrální 16" xfId="876"/>
    <cellStyle name="Neutrální 2" xfId="323"/>
    <cellStyle name="Neutrální 2 2" xfId="881"/>
    <cellStyle name="Neutrální 3" xfId="324"/>
    <cellStyle name="Neutrální 3 2" xfId="882"/>
    <cellStyle name="Neutrální 4" xfId="325"/>
    <cellStyle name="Neutrální 4 2" xfId="883"/>
    <cellStyle name="Neutrální 5" xfId="326"/>
    <cellStyle name="Neutrální 5 2" xfId="884"/>
    <cellStyle name="Neutrální 6" xfId="327"/>
    <cellStyle name="Neutrální 6 2" xfId="885"/>
    <cellStyle name="Neutrální 7" xfId="328"/>
    <cellStyle name="Neutrální 7 2" xfId="886"/>
    <cellStyle name="Neutrální 8" xfId="329"/>
    <cellStyle name="Neutrální 8 2" xfId="887"/>
    <cellStyle name="Neutrální 9" xfId="330"/>
    <cellStyle name="Neutrální 9 2" xfId="888"/>
    <cellStyle name="Normální" xfId="0" builtinId="0"/>
    <cellStyle name="normální 10" xfId="1253"/>
    <cellStyle name="normální 11" xfId="1257"/>
    <cellStyle name="normální 12" xfId="1271"/>
    <cellStyle name="Normální 13" xfId="527"/>
    <cellStyle name="normální 14" xfId="331"/>
    <cellStyle name="normální 14 2" xfId="889"/>
    <cellStyle name="normální 15" xfId="332"/>
    <cellStyle name="normální 15 2" xfId="890"/>
    <cellStyle name="normální 2" xfId="529"/>
    <cellStyle name="normální 2 2" xfId="333"/>
    <cellStyle name="normální 2 2 2" xfId="891"/>
    <cellStyle name="normální 2 3" xfId="334"/>
    <cellStyle name="normální 3" xfId="533"/>
    <cellStyle name="normální 3 2" xfId="335"/>
    <cellStyle name="normální 3 2 2" xfId="892"/>
    <cellStyle name="normální 3 3" xfId="1122"/>
    <cellStyle name="normální 3 4" xfId="1256"/>
    <cellStyle name="normální 3 5" xfId="1287"/>
    <cellStyle name="normální 4" xfId="1116"/>
    <cellStyle name="normální 5" xfId="1119"/>
    <cellStyle name="normální 6" xfId="1123"/>
    <cellStyle name="normální 7" xfId="1165"/>
    <cellStyle name="normální 8" xfId="1189"/>
    <cellStyle name="normální 9" xfId="1211"/>
    <cellStyle name="Poznámka 10" xfId="336"/>
    <cellStyle name="Poznámka 10 2" xfId="337"/>
    <cellStyle name="Poznámka 10 2 2" xfId="895"/>
    <cellStyle name="Poznámka 10 3" xfId="1115"/>
    <cellStyle name="Poznámka 10 4" xfId="1188"/>
    <cellStyle name="Poznámka 10 5" xfId="1210"/>
    <cellStyle name="Poznámka 10 6" xfId="894"/>
    <cellStyle name="Poznámka 11" xfId="338"/>
    <cellStyle name="Poznámka 11 2" xfId="339"/>
    <cellStyle name="Poznámka 11 2 2" xfId="897"/>
    <cellStyle name="Poznámka 11 3" xfId="1114"/>
    <cellStyle name="Poznámka 11 4" xfId="1187"/>
    <cellStyle name="Poznámka 11 5" xfId="1209"/>
    <cellStyle name="Poznámka 11 6" xfId="896"/>
    <cellStyle name="Poznámka 12" xfId="340"/>
    <cellStyle name="Poznámka 12 2" xfId="898"/>
    <cellStyle name="Poznámka 13" xfId="341"/>
    <cellStyle name="Poznámka 13 2" xfId="899"/>
    <cellStyle name="Poznámka 14" xfId="342"/>
    <cellStyle name="Poznámka 14 2" xfId="900"/>
    <cellStyle name="Poznámka 15" xfId="343"/>
    <cellStyle name="Poznámka 15 2" xfId="901"/>
    <cellStyle name="Poznámka 16" xfId="344"/>
    <cellStyle name="Poznámka 16 2" xfId="902"/>
    <cellStyle name="Poznámka 17" xfId="345"/>
    <cellStyle name="Poznámka 17 2" xfId="903"/>
    <cellStyle name="Poznámka 18" xfId="1138"/>
    <cellStyle name="Poznámka 19" xfId="1178"/>
    <cellStyle name="Poznámka 2" xfId="346"/>
    <cellStyle name="Poznámka 2 10" xfId="347"/>
    <cellStyle name="Poznámka 2 11" xfId="1179"/>
    <cellStyle name="Poznámka 2 2" xfId="348"/>
    <cellStyle name="Poznámka 2 2 2" xfId="904"/>
    <cellStyle name="Poznámka 2 3" xfId="349"/>
    <cellStyle name="Poznámka 2 3 2" xfId="905"/>
    <cellStyle name="Poznámka 2 4" xfId="350"/>
    <cellStyle name="Poznámka 2 4 2" xfId="906"/>
    <cellStyle name="Poznámka 2 5" xfId="351"/>
    <cellStyle name="Poznámka 2 5 2" xfId="907"/>
    <cellStyle name="Poznámka 2 6" xfId="352"/>
    <cellStyle name="Poznámka 2 6 2" xfId="908"/>
    <cellStyle name="Poznámka 2 7" xfId="353"/>
    <cellStyle name="Poznámka 2 7 2" xfId="909"/>
    <cellStyle name="Poznámka 2 8" xfId="354"/>
    <cellStyle name="Poznámka 2 8 2" xfId="910"/>
    <cellStyle name="Poznámka 2 9" xfId="355"/>
    <cellStyle name="Poznámka 2 9 2" xfId="911"/>
    <cellStyle name="Poznámka 20" xfId="1226"/>
    <cellStyle name="Poznámka 21" xfId="1258"/>
    <cellStyle name="Poznámka 22" xfId="1272"/>
    <cellStyle name="Poznámka 23" xfId="893"/>
    <cellStyle name="Poznámka 3" xfId="356"/>
    <cellStyle name="Poznámka 3 2" xfId="357"/>
    <cellStyle name="Poznámka 3 2 2" xfId="912"/>
    <cellStyle name="Poznámka 3 3" xfId="1107"/>
    <cellStyle name="Poznámka 3 4" xfId="1118"/>
    <cellStyle name="Poznámka 3 5" xfId="1121"/>
    <cellStyle name="Poznámka 3 6" xfId="1180"/>
    <cellStyle name="Poznámka 3 7" xfId="1202"/>
    <cellStyle name="Poznámka 3 8" xfId="1255"/>
    <cellStyle name="Poznámka 3 9" xfId="531"/>
    <cellStyle name="Poznámka 4" xfId="358"/>
    <cellStyle name="Poznámka 4 2" xfId="1109"/>
    <cellStyle name="Poznámka 4 3" xfId="1182"/>
    <cellStyle name="Poznámka 4 4" xfId="1204"/>
    <cellStyle name="Poznámka 4 5" xfId="913"/>
    <cellStyle name="Poznámka 5" xfId="359"/>
    <cellStyle name="Poznámka 5 2" xfId="1108"/>
    <cellStyle name="Poznámka 5 3" xfId="1181"/>
    <cellStyle name="Poznámka 5 4" xfId="1203"/>
    <cellStyle name="Poznámka 5 5" xfId="914"/>
    <cellStyle name="Poznámka 6" xfId="360"/>
    <cellStyle name="Poznámka 6 2" xfId="1110"/>
    <cellStyle name="Poznámka 6 3" xfId="1183"/>
    <cellStyle name="Poznámka 6 4" xfId="1205"/>
    <cellStyle name="Poznámka 6 5" xfId="915"/>
    <cellStyle name="Poznámka 7" xfId="361"/>
    <cellStyle name="Poznámka 7 2" xfId="1111"/>
    <cellStyle name="Poznámka 7 3" xfId="1184"/>
    <cellStyle name="Poznámka 7 4" xfId="1206"/>
    <cellStyle name="Poznámka 7 5" xfId="916"/>
    <cellStyle name="Poznámka 8" xfId="362"/>
    <cellStyle name="Poznámka 8 10" xfId="1207"/>
    <cellStyle name="Poznámka 8 11" xfId="917"/>
    <cellStyle name="Poznámka 8 2" xfId="363"/>
    <cellStyle name="Poznámka 8 2 2" xfId="918"/>
    <cellStyle name="Poznámka 8 3" xfId="364"/>
    <cellStyle name="Poznámka 8 3 2" xfId="919"/>
    <cellStyle name="Poznámka 8 4" xfId="365"/>
    <cellStyle name="Poznámka 8 4 2" xfId="920"/>
    <cellStyle name="Poznámka 8 5" xfId="366"/>
    <cellStyle name="Poznámka 8 5 2" xfId="921"/>
    <cellStyle name="Poznámka 8 6" xfId="367"/>
    <cellStyle name="Poznámka 8 6 2" xfId="922"/>
    <cellStyle name="Poznámka 8 7" xfId="368"/>
    <cellStyle name="Poznámka 8 7 2" xfId="923"/>
    <cellStyle name="Poznámka 8 8" xfId="1112"/>
    <cellStyle name="Poznámka 8 9" xfId="1185"/>
    <cellStyle name="Poznámka 9" xfId="369"/>
    <cellStyle name="Poznámka 9 2" xfId="370"/>
    <cellStyle name="Poznámka 9 2 2" xfId="925"/>
    <cellStyle name="Poznámka 9 3" xfId="1113"/>
    <cellStyle name="Poznámka 9 4" xfId="1186"/>
    <cellStyle name="Poznámka 9 5" xfId="1208"/>
    <cellStyle name="Poznámka 9 6" xfId="924"/>
    <cellStyle name="Propojená buňka 10" xfId="371"/>
    <cellStyle name="Propojená buňka 10 2" xfId="927"/>
    <cellStyle name="Propojená buňka 11" xfId="372"/>
    <cellStyle name="Propojená buňka 11 2" xfId="928"/>
    <cellStyle name="Propojená buňka 12" xfId="373"/>
    <cellStyle name="Propojená buňka 12 2" xfId="929"/>
    <cellStyle name="Propojená buňka 13" xfId="374"/>
    <cellStyle name="Propojená buňka 13 2" xfId="930"/>
    <cellStyle name="Propojená buňka 14" xfId="1135"/>
    <cellStyle name="Propojená buňka 15" xfId="1223"/>
    <cellStyle name="Propojená buňka 16" xfId="926"/>
    <cellStyle name="Propojená buňka 2" xfId="375"/>
    <cellStyle name="Propojená buňka 2 2" xfId="931"/>
    <cellStyle name="Propojená buňka 3" xfId="376"/>
    <cellStyle name="Propojená buňka 3 2" xfId="932"/>
    <cellStyle name="Propojená buňka 4" xfId="377"/>
    <cellStyle name="Propojená buňka 4 2" xfId="933"/>
    <cellStyle name="Propojená buňka 5" xfId="378"/>
    <cellStyle name="Propojená buňka 5 2" xfId="934"/>
    <cellStyle name="Propojená buňka 6" xfId="379"/>
    <cellStyle name="Propojená buňka 6 2" xfId="935"/>
    <cellStyle name="Propojená buňka 7" xfId="380"/>
    <cellStyle name="Propojená buňka 7 2" xfId="936"/>
    <cellStyle name="Propojená buňka 8" xfId="381"/>
    <cellStyle name="Propojená buňka 8 2" xfId="937"/>
    <cellStyle name="Propojená buňka 9" xfId="382"/>
    <cellStyle name="Propojená buňka 9 2" xfId="938"/>
    <cellStyle name="Správně 10" xfId="383"/>
    <cellStyle name="Správně 10 2" xfId="940"/>
    <cellStyle name="Správně 11" xfId="384"/>
    <cellStyle name="Správně 11 2" xfId="941"/>
    <cellStyle name="Správně 12" xfId="385"/>
    <cellStyle name="Správně 12 2" xfId="942"/>
    <cellStyle name="Správně 13" xfId="386"/>
    <cellStyle name="Správně 13 2" xfId="943"/>
    <cellStyle name="Správně 14" xfId="1129"/>
    <cellStyle name="Správně 15" xfId="1217"/>
    <cellStyle name="Správně 16" xfId="939"/>
    <cellStyle name="Správně 2" xfId="387"/>
    <cellStyle name="Správně 2 2" xfId="944"/>
    <cellStyle name="Správně 3" xfId="388"/>
    <cellStyle name="Správně 3 2" xfId="945"/>
    <cellStyle name="Správně 4" xfId="389"/>
    <cellStyle name="Správně 4 2" xfId="946"/>
    <cellStyle name="Správně 5" xfId="390"/>
    <cellStyle name="Správně 5 2" xfId="947"/>
    <cellStyle name="Správně 6" xfId="391"/>
    <cellStyle name="Správně 6 2" xfId="948"/>
    <cellStyle name="Správně 7" xfId="392"/>
    <cellStyle name="Správně 7 2" xfId="949"/>
    <cellStyle name="Správně 8" xfId="393"/>
    <cellStyle name="Správně 8 2" xfId="950"/>
    <cellStyle name="Správně 9" xfId="394"/>
    <cellStyle name="Správně 9 2" xfId="951"/>
    <cellStyle name="Text upozornění 10" xfId="395"/>
    <cellStyle name="Text upozornění 10 2" xfId="953"/>
    <cellStyle name="Text upozornění 11" xfId="396"/>
    <cellStyle name="Text upozornění 11 2" xfId="954"/>
    <cellStyle name="Text upozornění 12" xfId="397"/>
    <cellStyle name="Text upozornění 12 2" xfId="955"/>
    <cellStyle name="Text upozornění 13" xfId="398"/>
    <cellStyle name="Text upozornění 13 2" xfId="956"/>
    <cellStyle name="Text upozornění 14" xfId="1137"/>
    <cellStyle name="Text upozornění 15" xfId="1225"/>
    <cellStyle name="Text upozornění 16" xfId="952"/>
    <cellStyle name="Text upozornění 2" xfId="399"/>
    <cellStyle name="Text upozornění 2 2" xfId="957"/>
    <cellStyle name="Text upozornění 3" xfId="400"/>
    <cellStyle name="Text upozornění 3 2" xfId="958"/>
    <cellStyle name="Text upozornění 4" xfId="401"/>
    <cellStyle name="Text upozornění 4 2" xfId="959"/>
    <cellStyle name="Text upozornění 5" xfId="402"/>
    <cellStyle name="Text upozornění 5 2" xfId="960"/>
    <cellStyle name="Text upozornění 6" xfId="403"/>
    <cellStyle name="Text upozornění 6 2" xfId="961"/>
    <cellStyle name="Text upozornění 7" xfId="404"/>
    <cellStyle name="Text upozornění 7 2" xfId="962"/>
    <cellStyle name="Text upozornění 8" xfId="405"/>
    <cellStyle name="Text upozornění 8 2" xfId="963"/>
    <cellStyle name="Text upozornění 9" xfId="406"/>
    <cellStyle name="Text upozornění 9 2" xfId="964"/>
    <cellStyle name="Vstup 10" xfId="407"/>
    <cellStyle name="Vstup 10 2" xfId="966"/>
    <cellStyle name="Vstup 11" xfId="408"/>
    <cellStyle name="Vstup 11 2" xfId="967"/>
    <cellStyle name="Vstup 12" xfId="409"/>
    <cellStyle name="Vstup 12 2" xfId="968"/>
    <cellStyle name="Vstup 13" xfId="410"/>
    <cellStyle name="Vstup 13 2" xfId="969"/>
    <cellStyle name="Vstup 14" xfId="1132"/>
    <cellStyle name="Vstup 15" xfId="1220"/>
    <cellStyle name="Vstup 16" xfId="965"/>
    <cellStyle name="Vstup 2" xfId="411"/>
    <cellStyle name="Vstup 2 2" xfId="970"/>
    <cellStyle name="Vstup 3" xfId="412"/>
    <cellStyle name="Vstup 3 2" xfId="971"/>
    <cellStyle name="Vstup 4" xfId="413"/>
    <cellStyle name="Vstup 4 2" xfId="972"/>
    <cellStyle name="Vstup 5" xfId="414"/>
    <cellStyle name="Vstup 5 2" xfId="973"/>
    <cellStyle name="Vstup 6" xfId="415"/>
    <cellStyle name="Vstup 6 2" xfId="974"/>
    <cellStyle name="Vstup 7" xfId="416"/>
    <cellStyle name="Vstup 7 2" xfId="975"/>
    <cellStyle name="Vstup 8" xfId="417"/>
    <cellStyle name="Vstup 8 2" xfId="976"/>
    <cellStyle name="Vstup 9" xfId="418"/>
    <cellStyle name="Vstup 9 2" xfId="977"/>
    <cellStyle name="Výpočet 10" xfId="419"/>
    <cellStyle name="Výpočet 10 2" xfId="979"/>
    <cellStyle name="Výpočet 11" xfId="420"/>
    <cellStyle name="Výpočet 11 2" xfId="980"/>
    <cellStyle name="Výpočet 12" xfId="421"/>
    <cellStyle name="Výpočet 12 2" xfId="981"/>
    <cellStyle name="Výpočet 13" xfId="422"/>
    <cellStyle name="Výpočet 13 2" xfId="982"/>
    <cellStyle name="Výpočet 14" xfId="1134"/>
    <cellStyle name="Výpočet 15" xfId="1222"/>
    <cellStyle name="Výpočet 16" xfId="978"/>
    <cellStyle name="Výpočet 2" xfId="423"/>
    <cellStyle name="Výpočet 2 2" xfId="983"/>
    <cellStyle name="Výpočet 3" xfId="424"/>
    <cellStyle name="Výpočet 3 2" xfId="984"/>
    <cellStyle name="Výpočet 4" xfId="425"/>
    <cellStyle name="Výpočet 4 2" xfId="985"/>
    <cellStyle name="Výpočet 5" xfId="426"/>
    <cellStyle name="Výpočet 5 2" xfId="986"/>
    <cellStyle name="Výpočet 6" xfId="427"/>
    <cellStyle name="Výpočet 6 2" xfId="987"/>
    <cellStyle name="Výpočet 7" xfId="428"/>
    <cellStyle name="Výpočet 7 2" xfId="988"/>
    <cellStyle name="Výpočet 8" xfId="429"/>
    <cellStyle name="Výpočet 8 2" xfId="989"/>
    <cellStyle name="Výpočet 9" xfId="430"/>
    <cellStyle name="Výpočet 9 2" xfId="990"/>
    <cellStyle name="Výstup 10" xfId="431"/>
    <cellStyle name="Výstup 10 2" xfId="992"/>
    <cellStyle name="Výstup 11" xfId="432"/>
    <cellStyle name="Výstup 11 2" xfId="993"/>
    <cellStyle name="Výstup 12" xfId="433"/>
    <cellStyle name="Výstup 12 2" xfId="994"/>
    <cellStyle name="Výstup 13" xfId="434"/>
    <cellStyle name="Výstup 13 2" xfId="995"/>
    <cellStyle name="Výstup 14" xfId="1133"/>
    <cellStyle name="Výstup 15" xfId="1221"/>
    <cellStyle name="Výstup 16" xfId="991"/>
    <cellStyle name="Výstup 2" xfId="435"/>
    <cellStyle name="Výstup 2 2" xfId="996"/>
    <cellStyle name="Výstup 3" xfId="436"/>
    <cellStyle name="Výstup 3 2" xfId="997"/>
    <cellStyle name="Výstup 4" xfId="437"/>
    <cellStyle name="Výstup 4 2" xfId="998"/>
    <cellStyle name="Výstup 5" xfId="438"/>
    <cellStyle name="Výstup 5 2" xfId="999"/>
    <cellStyle name="Výstup 6" xfId="439"/>
    <cellStyle name="Výstup 6 2" xfId="1000"/>
    <cellStyle name="Výstup 7" xfId="440"/>
    <cellStyle name="Výstup 7 2" xfId="1001"/>
    <cellStyle name="Výstup 8" xfId="441"/>
    <cellStyle name="Výstup 8 2" xfId="1002"/>
    <cellStyle name="Výstup 9" xfId="442"/>
    <cellStyle name="Výstup 9 2" xfId="1003"/>
    <cellStyle name="Vysvětlující text 10" xfId="443"/>
    <cellStyle name="Vysvětlující text 10 2" xfId="1005"/>
    <cellStyle name="Vysvětlující text 11" xfId="444"/>
    <cellStyle name="Vysvětlující text 11 2" xfId="1006"/>
    <cellStyle name="Vysvětlující text 12" xfId="445"/>
    <cellStyle name="Vysvětlující text 12 2" xfId="1007"/>
    <cellStyle name="Vysvětlující text 13" xfId="446"/>
    <cellStyle name="Vysvětlující text 13 2" xfId="1008"/>
    <cellStyle name="Vysvětlující text 14" xfId="1139"/>
    <cellStyle name="Vysvětlující text 15" xfId="1227"/>
    <cellStyle name="Vysvětlující text 16" xfId="1004"/>
    <cellStyle name="Vysvětlující text 2" xfId="447"/>
    <cellStyle name="Vysvětlující text 2 2" xfId="1009"/>
    <cellStyle name="Vysvětlující text 3" xfId="448"/>
    <cellStyle name="Vysvětlující text 3 2" xfId="1010"/>
    <cellStyle name="Vysvětlující text 4" xfId="449"/>
    <cellStyle name="Vysvětlující text 4 2" xfId="1011"/>
    <cellStyle name="Vysvětlující text 5" xfId="450"/>
    <cellStyle name="Vysvětlující text 5 2" xfId="1012"/>
    <cellStyle name="Vysvětlující text 6" xfId="451"/>
    <cellStyle name="Vysvětlující text 6 2" xfId="1013"/>
    <cellStyle name="Vysvětlující text 7" xfId="452"/>
    <cellStyle name="Vysvětlující text 7 2" xfId="1014"/>
    <cellStyle name="Vysvětlující text 8" xfId="453"/>
    <cellStyle name="Vysvětlující text 8 2" xfId="1015"/>
    <cellStyle name="Vysvětlující text 9" xfId="454"/>
    <cellStyle name="Vysvětlující text 9 2" xfId="1016"/>
    <cellStyle name="Zvýraznění 1 10" xfId="455"/>
    <cellStyle name="Zvýraznění 1 10 2" xfId="1018"/>
    <cellStyle name="Zvýraznění 1 11" xfId="456"/>
    <cellStyle name="Zvýraznění 1 11 2" xfId="1019"/>
    <cellStyle name="Zvýraznění 1 12" xfId="457"/>
    <cellStyle name="Zvýraznění 1 12 2" xfId="1020"/>
    <cellStyle name="Zvýraznění 1 13" xfId="458"/>
    <cellStyle name="Zvýraznění 1 13 2" xfId="1021"/>
    <cellStyle name="Zvýraznění 1 14" xfId="1141"/>
    <cellStyle name="Zvýraznění 1 15" xfId="1229"/>
    <cellStyle name="Zvýraznění 1 16" xfId="1017"/>
    <cellStyle name="Zvýraznění 1 2" xfId="459"/>
    <cellStyle name="Zvýraznění 1 2 2" xfId="1022"/>
    <cellStyle name="Zvýraznění 1 3" xfId="460"/>
    <cellStyle name="Zvýraznění 1 3 2" xfId="1023"/>
    <cellStyle name="Zvýraznění 1 4" xfId="461"/>
    <cellStyle name="Zvýraznění 1 4 2" xfId="1024"/>
    <cellStyle name="Zvýraznění 1 5" xfId="462"/>
    <cellStyle name="Zvýraznění 1 5 2" xfId="1025"/>
    <cellStyle name="Zvýraznění 1 6" xfId="463"/>
    <cellStyle name="Zvýraznění 1 6 2" xfId="1026"/>
    <cellStyle name="Zvýraznění 1 7" xfId="464"/>
    <cellStyle name="Zvýraznění 1 7 2" xfId="1027"/>
    <cellStyle name="Zvýraznění 1 8" xfId="465"/>
    <cellStyle name="Zvýraznění 1 8 2" xfId="1028"/>
    <cellStyle name="Zvýraznění 1 9" xfId="466"/>
    <cellStyle name="Zvýraznění 1 9 2" xfId="1029"/>
    <cellStyle name="Zvýraznění 2 10" xfId="467"/>
    <cellStyle name="Zvýraznění 2 10 2" xfId="1031"/>
    <cellStyle name="Zvýraznění 2 11" xfId="468"/>
    <cellStyle name="Zvýraznění 2 11 2" xfId="1032"/>
    <cellStyle name="Zvýraznění 2 12" xfId="469"/>
    <cellStyle name="Zvýraznění 2 12 2" xfId="1033"/>
    <cellStyle name="Zvýraznění 2 13" xfId="470"/>
    <cellStyle name="Zvýraznění 2 13 2" xfId="1034"/>
    <cellStyle name="Zvýraznění 2 14" xfId="1145"/>
    <cellStyle name="Zvýraznění 2 15" xfId="1233"/>
    <cellStyle name="Zvýraznění 2 16" xfId="1030"/>
    <cellStyle name="Zvýraznění 2 2" xfId="471"/>
    <cellStyle name="Zvýraznění 2 2 2" xfId="1035"/>
    <cellStyle name="Zvýraznění 2 3" xfId="472"/>
    <cellStyle name="Zvýraznění 2 3 2" xfId="1036"/>
    <cellStyle name="Zvýraznění 2 4" xfId="473"/>
    <cellStyle name="Zvýraznění 2 4 2" xfId="1037"/>
    <cellStyle name="Zvýraznění 2 5" xfId="474"/>
    <cellStyle name="Zvýraznění 2 5 2" xfId="1038"/>
    <cellStyle name="Zvýraznění 2 6" xfId="475"/>
    <cellStyle name="Zvýraznění 2 6 2" xfId="1039"/>
    <cellStyle name="Zvýraznění 2 7" xfId="476"/>
    <cellStyle name="Zvýraznění 2 7 2" xfId="1040"/>
    <cellStyle name="Zvýraznění 2 8" xfId="477"/>
    <cellStyle name="Zvýraznění 2 8 2" xfId="1041"/>
    <cellStyle name="Zvýraznění 2 9" xfId="478"/>
    <cellStyle name="Zvýraznění 2 9 2" xfId="1042"/>
    <cellStyle name="Zvýraznění 3 10" xfId="479"/>
    <cellStyle name="Zvýraznění 3 10 2" xfId="1044"/>
    <cellStyle name="Zvýraznění 3 11" xfId="480"/>
    <cellStyle name="Zvýraznění 3 11 2" xfId="1045"/>
    <cellStyle name="Zvýraznění 3 12" xfId="481"/>
    <cellStyle name="Zvýraznění 3 12 2" xfId="1046"/>
    <cellStyle name="Zvýraznění 3 13" xfId="482"/>
    <cellStyle name="Zvýraznění 3 13 2" xfId="1047"/>
    <cellStyle name="Zvýraznění 3 14" xfId="1149"/>
    <cellStyle name="Zvýraznění 3 15" xfId="1237"/>
    <cellStyle name="Zvýraznění 3 16" xfId="1043"/>
    <cellStyle name="Zvýraznění 3 2" xfId="483"/>
    <cellStyle name="Zvýraznění 3 2 2" xfId="1048"/>
    <cellStyle name="Zvýraznění 3 3" xfId="484"/>
    <cellStyle name="Zvýraznění 3 3 2" xfId="1049"/>
    <cellStyle name="Zvýraznění 3 4" xfId="485"/>
    <cellStyle name="Zvýraznění 3 4 2" xfId="1050"/>
    <cellStyle name="Zvýraznění 3 5" xfId="486"/>
    <cellStyle name="Zvýraznění 3 5 2" xfId="1051"/>
    <cellStyle name="Zvýraznění 3 6" xfId="487"/>
    <cellStyle name="Zvýraznění 3 6 2" xfId="1052"/>
    <cellStyle name="Zvýraznění 3 7" xfId="488"/>
    <cellStyle name="Zvýraznění 3 7 2" xfId="1053"/>
    <cellStyle name="Zvýraznění 3 8" xfId="489"/>
    <cellStyle name="Zvýraznění 3 8 2" xfId="1054"/>
    <cellStyle name="Zvýraznění 3 9" xfId="490"/>
    <cellStyle name="Zvýraznění 3 9 2" xfId="1055"/>
    <cellStyle name="Zvýraznění 4 10" xfId="491"/>
    <cellStyle name="Zvýraznění 4 10 2" xfId="1057"/>
    <cellStyle name="Zvýraznění 4 11" xfId="492"/>
    <cellStyle name="Zvýraznění 4 11 2" xfId="1058"/>
    <cellStyle name="Zvýraznění 4 12" xfId="493"/>
    <cellStyle name="Zvýraznění 4 12 2" xfId="1059"/>
    <cellStyle name="Zvýraznění 4 13" xfId="494"/>
    <cellStyle name="Zvýraznění 4 13 2" xfId="1060"/>
    <cellStyle name="Zvýraznění 4 14" xfId="1153"/>
    <cellStyle name="Zvýraznění 4 15" xfId="1241"/>
    <cellStyle name="Zvýraznění 4 16" xfId="1056"/>
    <cellStyle name="Zvýraznění 4 2" xfId="495"/>
    <cellStyle name="Zvýraznění 4 2 2" xfId="1061"/>
    <cellStyle name="Zvýraznění 4 3" xfId="496"/>
    <cellStyle name="Zvýraznění 4 3 2" xfId="1062"/>
    <cellStyle name="Zvýraznění 4 4" xfId="497"/>
    <cellStyle name="Zvýraznění 4 4 2" xfId="1063"/>
    <cellStyle name="Zvýraznění 4 5" xfId="498"/>
    <cellStyle name="Zvýraznění 4 5 2" xfId="1064"/>
    <cellStyle name="Zvýraznění 4 6" xfId="499"/>
    <cellStyle name="Zvýraznění 4 6 2" xfId="1065"/>
    <cellStyle name="Zvýraznění 4 7" xfId="500"/>
    <cellStyle name="Zvýraznění 4 7 2" xfId="1066"/>
    <cellStyle name="Zvýraznění 4 8" xfId="501"/>
    <cellStyle name="Zvýraznění 4 8 2" xfId="1067"/>
    <cellStyle name="Zvýraznění 4 9" xfId="502"/>
    <cellStyle name="Zvýraznění 4 9 2" xfId="1068"/>
    <cellStyle name="Zvýraznění 5 10" xfId="503"/>
    <cellStyle name="Zvýraznění 5 10 2" xfId="1070"/>
    <cellStyle name="Zvýraznění 5 11" xfId="504"/>
    <cellStyle name="Zvýraznění 5 11 2" xfId="1071"/>
    <cellStyle name="Zvýraznění 5 12" xfId="505"/>
    <cellStyle name="Zvýraznění 5 12 2" xfId="1072"/>
    <cellStyle name="Zvýraznění 5 13" xfId="506"/>
    <cellStyle name="Zvýraznění 5 13 2" xfId="1073"/>
    <cellStyle name="Zvýraznění 5 14" xfId="1157"/>
    <cellStyle name="Zvýraznění 5 15" xfId="1245"/>
    <cellStyle name="Zvýraznění 5 16" xfId="1069"/>
    <cellStyle name="Zvýraznění 5 2" xfId="507"/>
    <cellStyle name="Zvýraznění 5 2 2" xfId="1074"/>
    <cellStyle name="Zvýraznění 5 3" xfId="508"/>
    <cellStyle name="Zvýraznění 5 3 2" xfId="1075"/>
    <cellStyle name="Zvýraznění 5 4" xfId="509"/>
    <cellStyle name="Zvýraznění 5 4 2" xfId="1076"/>
    <cellStyle name="Zvýraznění 5 5" xfId="510"/>
    <cellStyle name="Zvýraznění 5 5 2" xfId="1077"/>
    <cellStyle name="Zvýraznění 5 6" xfId="511"/>
    <cellStyle name="Zvýraznění 5 6 2" xfId="1078"/>
    <cellStyle name="Zvýraznění 5 7" xfId="512"/>
    <cellStyle name="Zvýraznění 5 7 2" xfId="1079"/>
    <cellStyle name="Zvýraznění 5 8" xfId="513"/>
    <cellStyle name="Zvýraznění 5 8 2" xfId="1080"/>
    <cellStyle name="Zvýraznění 5 9" xfId="514"/>
    <cellStyle name="Zvýraznění 5 9 2" xfId="1081"/>
    <cellStyle name="Zvýraznění 6 10" xfId="515"/>
    <cellStyle name="Zvýraznění 6 10 2" xfId="1083"/>
    <cellStyle name="Zvýraznění 6 11" xfId="516"/>
    <cellStyle name="Zvýraznění 6 11 2" xfId="1084"/>
    <cellStyle name="Zvýraznění 6 12" xfId="517"/>
    <cellStyle name="Zvýraznění 6 12 2" xfId="1085"/>
    <cellStyle name="Zvýraznění 6 13" xfId="518"/>
    <cellStyle name="Zvýraznění 6 13 2" xfId="1086"/>
    <cellStyle name="Zvýraznění 6 14" xfId="1161"/>
    <cellStyle name="Zvýraznění 6 15" xfId="1249"/>
    <cellStyle name="Zvýraznění 6 16" xfId="1082"/>
    <cellStyle name="Zvýraznění 6 2" xfId="519"/>
    <cellStyle name="Zvýraznění 6 2 2" xfId="1087"/>
    <cellStyle name="Zvýraznění 6 3" xfId="520"/>
    <cellStyle name="Zvýraznění 6 3 2" xfId="1088"/>
    <cellStyle name="Zvýraznění 6 4" xfId="521"/>
    <cellStyle name="Zvýraznění 6 4 2" xfId="1089"/>
    <cellStyle name="Zvýraznění 6 5" xfId="522"/>
    <cellStyle name="Zvýraznění 6 5 2" xfId="1090"/>
    <cellStyle name="Zvýraznění 6 6" xfId="523"/>
    <cellStyle name="Zvýraznění 6 6 2" xfId="1091"/>
    <cellStyle name="Zvýraznění 6 7" xfId="524"/>
    <cellStyle name="Zvýraznění 6 7 2" xfId="1092"/>
    <cellStyle name="Zvýraznění 6 8" xfId="525"/>
    <cellStyle name="Zvýraznění 6 8 2" xfId="1093"/>
    <cellStyle name="Zvýraznění 6 9" xfId="526"/>
    <cellStyle name="Zvýraznění 6 9 2" xfId="1094"/>
  </cellStyles>
  <dxfs count="518"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ont>
        <color rgb="FFFF0000"/>
      </font>
      <fill>
        <patternFill>
          <bgColor rgb="FFFF0000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ont>
        <color rgb="FFFF0000"/>
      </font>
      <fill>
        <patternFill>
          <bgColor rgb="FFFF0000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ont>
        <color rgb="FFFF0000"/>
      </font>
      <fill>
        <patternFill>
          <bgColor rgb="FFFF0000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ont>
        <color rgb="FFFF0000"/>
      </font>
      <fill>
        <patternFill>
          <bgColor rgb="FFFF0000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ont>
        <color rgb="FFFF0000"/>
      </font>
      <fill>
        <patternFill>
          <bgColor rgb="FFFF0000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ont>
        <color rgb="FFFF0000"/>
      </font>
      <fill>
        <patternFill>
          <bgColor rgb="FFFF0000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ont>
        <color rgb="FFFF0000"/>
      </font>
      <fill>
        <patternFill>
          <bgColor rgb="FFFF0000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ont>
        <color rgb="FFFF0000"/>
      </font>
      <fill>
        <patternFill>
          <bgColor rgb="FFFF0000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ont>
        <color rgb="FFFF0000"/>
      </font>
      <fill>
        <patternFill>
          <bgColor rgb="FFFF0000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ont>
        <color rgb="FFFF0000"/>
      </font>
      <fill>
        <patternFill>
          <bgColor rgb="FFFF0000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ont>
        <color rgb="FFFF0000"/>
      </font>
      <fill>
        <patternFill>
          <bgColor rgb="FFFF0000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ont>
        <color rgb="FFFF0000"/>
      </font>
      <fill>
        <patternFill>
          <bgColor rgb="FFFF0000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ont>
        <color rgb="FFFF0000"/>
      </font>
      <fill>
        <patternFill>
          <bgColor rgb="FFFF0000"/>
        </patternFill>
      </fill>
    </dxf>
    <dxf>
      <fill>
        <patternFill>
          <bgColor theme="5" tint="0.59996337778862885"/>
        </patternFill>
      </fill>
    </dxf>
    <dxf>
      <fill>
        <patternFill patternType="solid">
          <fgColor theme="5" tint="0.59999389629810485"/>
          <bgColor theme="0" tint="-0.14996795556505021"/>
        </patternFill>
      </fill>
    </dxf>
    <dxf>
      <font>
        <b/>
        <i val="0"/>
        <color theme="0"/>
      </font>
      <fill>
        <patternFill patternType="solid">
          <fgColor theme="5"/>
          <bgColor rgb="FFFF0000"/>
        </patternFill>
      </fill>
      <border>
        <bottom style="thick">
          <color theme="0"/>
        </bottom>
      </border>
    </dxf>
    <dxf>
      <font>
        <b val="0"/>
        <i val="0"/>
        <strike val="0"/>
        <color theme="1"/>
      </font>
      <fill>
        <patternFill patternType="solid">
          <fgColor theme="5" tint="0.79982909634693444"/>
          <bgColor theme="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 style="thin">
          <color theme="0"/>
        </vertical>
        <horizontal style="thin">
          <color theme="0"/>
        </horizontal>
      </border>
    </dxf>
    <dxf>
      <fill>
        <gradientFill degree="90">
          <stop position="0">
            <color theme="0"/>
          </stop>
          <stop position="1">
            <color rgb="FFFF9999"/>
          </stop>
        </gradientFill>
      </fill>
    </dxf>
    <dxf>
      <fill>
        <gradientFill degree="90">
          <stop position="0">
            <color theme="0"/>
          </stop>
          <stop position="1">
            <color theme="0" tint="-0.1490218817712943"/>
          </stop>
        </gradientFill>
      </fill>
    </dxf>
    <dxf>
      <font>
        <b/>
        <i val="0"/>
        <color theme="0"/>
      </font>
      <fill>
        <gradientFill degree="90">
          <stop position="0">
            <color rgb="FFFF9999"/>
          </stop>
          <stop position="1">
            <color rgb="FFFF0000"/>
          </stop>
        </gradientFill>
      </fill>
      <border>
        <bottom style="thick">
          <color theme="0"/>
        </bottom>
      </border>
    </dxf>
    <dxf>
      <font>
        <b val="0"/>
        <i val="0"/>
        <strike val="0"/>
        <color theme="1"/>
      </font>
      <fill>
        <gradientFill degree="90">
          <stop position="0">
            <color theme="0" tint="-0.1490218817712943"/>
          </stop>
          <stop position="1">
            <color rgb="FFFF0000"/>
          </stop>
        </gradientFill>
      </fill>
      <border>
        <left style="thick">
          <color rgb="FFFF0000"/>
        </left>
        <right style="thick">
          <color rgb="FFFF0000"/>
        </right>
        <top style="thick">
          <color rgb="FFFF0000"/>
        </top>
        <bottom style="thick">
          <color rgb="FFFF0000"/>
        </bottom>
        <vertical style="thin">
          <color theme="0"/>
        </vertical>
        <horizontal style="thin">
          <color theme="0"/>
        </horizontal>
      </border>
    </dxf>
  </dxfs>
  <tableStyles count="2" defaultTableStyle="TableStyleMedium9" defaultPivotStyle="PivotStyleLight16">
    <tableStyle name="MMB" pivot="0" count="4">
      <tableStyleElement type="wholeTable" dxfId="517"/>
      <tableStyleElement type="headerRow" dxfId="516"/>
      <tableStyleElement type="firstRowStripe" dxfId="515"/>
      <tableStyleElement type="secondRowStripe" dxfId="514"/>
    </tableStyle>
    <tableStyle name="MMB 2" pivot="0" count="4">
      <tableStyleElement type="wholeTable" dxfId="513"/>
      <tableStyleElement type="headerRow" dxfId="512"/>
      <tableStyleElement type="firstRowStripe" dxfId="511"/>
      <tableStyleElement type="secondRowStripe" dxfId="51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pivotCacheDefinition" Target="pivotCache/pivotCacheDefinition1.xml"/><Relationship Id="rId38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1.xml"/><Relationship Id="rId37" Type="http://schemas.openxmlformats.org/officeDocument/2006/relationships/calcChain" Target="calcChain.xml"/><Relationship Id="rId40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Drop" dropStyle="combo" dx="16" fmlaLink="$A$2" fmlaRange="'Soupis polozek'!$B$3:$B$14" noThreeD="1" sel="10" val="4"/>
</file>

<file path=xl/ctrlProps/ctrlProp2.xml><?xml version="1.0" encoding="utf-8"?>
<formControlPr xmlns="http://schemas.microsoft.com/office/spreadsheetml/2009/9/main" objectType="Drop" dropStyle="combo" dx="16" fmlaLink="$A$2" fmlaRange="'Soupis polozek'!$B$3:$B$14" noThreeD="1" sel="6" val="4"/>
</file>

<file path=xl/ctrlProps/ctrlProp3.xml><?xml version="1.0" encoding="utf-8"?>
<formControlPr xmlns="http://schemas.microsoft.com/office/spreadsheetml/2009/9/main" objectType="Drop" dropStyle="combo" dx="16" fmlaLink="$A$2" fmlaRange="'Soupis polozek'!$B$3:$B$14" noThreeD="1" sel="12" val="4"/>
</file>

<file path=xl/ctrlProps/ctrlProp4.xml><?xml version="1.0" encoding="utf-8"?>
<formControlPr xmlns="http://schemas.microsoft.com/office/spreadsheetml/2009/9/main" objectType="Drop" dropStyle="combo" dx="16" fmlaLink="$A$2" fmlaRange="'Soupis polozek'!$B$3:$B$14" noThreeD="1" sel="12" val="0"/>
</file>

<file path=xl/ctrlProps/ctrlProp5.xml><?xml version="1.0" encoding="utf-8"?>
<formControlPr xmlns="http://schemas.microsoft.com/office/spreadsheetml/2009/9/main" objectType="Drop" dropStyle="combo" dx="16" fmlaLink="$A$2" fmlaRange="'Soupis polozek'!$B$3:$B$15" noThreeD="1" sel="13" val="5"/>
</file>

<file path=xl/ctrlProps/ctrlProp6.xml><?xml version="1.0" encoding="utf-8"?>
<formControlPr xmlns="http://schemas.microsoft.com/office/spreadsheetml/2009/9/main" objectType="Drop" dropStyle="combo" dx="16" fmlaLink="$A$2" fmlaRange="'Soupis polozek'!$B$3:$B$15" noThreeD="1" sel="13" val="5"/>
</file>

<file path=xl/ctrlProps/ctrlProp7.xml><?xml version="1.0" encoding="utf-8"?>
<formControlPr xmlns="http://schemas.microsoft.com/office/spreadsheetml/2009/9/main" objectType="Drop" dropStyle="combo" dx="16" fmlaLink="$A$2" fmlaRange="'Soupis polozek'!$B$3:$B$15" noThreeD="1" sel="13" val="5"/>
</file>

<file path=xl/ctrlProps/ctrlProp8.xml><?xml version="1.0" encoding="utf-8"?>
<formControlPr xmlns="http://schemas.microsoft.com/office/spreadsheetml/2009/9/main" objectType="Drop" dropStyle="combo" dx="16" fmlaLink="$A$2" fmlaRange="'Soupis polozek'!$B$3:$B$15" noThreeD="1" sel="6" val="5"/>
</file>

<file path=xl/ctrlProps/ctrlProp9.xml><?xml version="1.0" encoding="utf-8"?>
<formControlPr xmlns="http://schemas.microsoft.com/office/spreadsheetml/2009/9/main" objectType="Drop" dropStyle="combo" dx="16" fmlaLink="$A$2" fmlaRange="'Soupis polozek'!$B$3:$B$15" noThreeD="1" sel="3" val="2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6</xdr:row>
          <xdr:rowOff>0</xdr:rowOff>
        </xdr:from>
        <xdr:to>
          <xdr:col>0</xdr:col>
          <xdr:colOff>2695575</xdr:colOff>
          <xdr:row>11</xdr:row>
          <xdr:rowOff>104775</xdr:rowOff>
        </xdr:to>
        <xdr:sp macro="" textlink="">
          <xdr:nvSpPr>
            <xdr:cNvPr id="36865" name="Drop Down 1" hidden="1">
              <a:extLst>
                <a:ext uri="{63B3BB69-23CF-44E3-9099-C40C66FF867C}">
                  <a14:compatExt spid="_x0000_s368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6</xdr:row>
          <xdr:rowOff>0</xdr:rowOff>
        </xdr:from>
        <xdr:to>
          <xdr:col>0</xdr:col>
          <xdr:colOff>2695575</xdr:colOff>
          <xdr:row>11</xdr:row>
          <xdr:rowOff>104775</xdr:rowOff>
        </xdr:to>
        <xdr:sp macro="" textlink="">
          <xdr:nvSpPr>
            <xdr:cNvPr id="41985" name="Drop Down 1" hidden="1">
              <a:extLst>
                <a:ext uri="{63B3BB69-23CF-44E3-9099-C40C66FF867C}">
                  <a14:compatExt spid="_x0000_s419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6</xdr:row>
          <xdr:rowOff>0</xdr:rowOff>
        </xdr:from>
        <xdr:to>
          <xdr:col>0</xdr:col>
          <xdr:colOff>2695575</xdr:colOff>
          <xdr:row>11</xdr:row>
          <xdr:rowOff>104775</xdr:rowOff>
        </xdr:to>
        <xdr:sp macro="" textlink="">
          <xdr:nvSpPr>
            <xdr:cNvPr id="49153" name="Drop Down 1" hidden="1">
              <a:extLst>
                <a:ext uri="{63B3BB69-23CF-44E3-9099-C40C66FF867C}">
                  <a14:compatExt spid="_x0000_s491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6</xdr:row>
          <xdr:rowOff>0</xdr:rowOff>
        </xdr:from>
        <xdr:to>
          <xdr:col>0</xdr:col>
          <xdr:colOff>2695575</xdr:colOff>
          <xdr:row>11</xdr:row>
          <xdr:rowOff>104775</xdr:rowOff>
        </xdr:to>
        <xdr:sp macro="" textlink="">
          <xdr:nvSpPr>
            <xdr:cNvPr id="48129" name="Drop Down 1" hidden="1">
              <a:extLst>
                <a:ext uri="{63B3BB69-23CF-44E3-9099-C40C66FF867C}">
                  <a14:compatExt spid="_x0000_s481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6</xdr:row>
          <xdr:rowOff>0</xdr:rowOff>
        </xdr:from>
        <xdr:to>
          <xdr:col>0</xdr:col>
          <xdr:colOff>2695575</xdr:colOff>
          <xdr:row>11</xdr:row>
          <xdr:rowOff>104775</xdr:rowOff>
        </xdr:to>
        <xdr:sp macro="" textlink="">
          <xdr:nvSpPr>
            <xdr:cNvPr id="68609" name="Drop Down 1" hidden="1">
              <a:extLst>
                <a:ext uri="{63B3BB69-23CF-44E3-9099-C40C66FF867C}">
                  <a14:compatExt spid="_x0000_s686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6</xdr:row>
          <xdr:rowOff>0</xdr:rowOff>
        </xdr:from>
        <xdr:to>
          <xdr:col>0</xdr:col>
          <xdr:colOff>2695575</xdr:colOff>
          <xdr:row>11</xdr:row>
          <xdr:rowOff>104775</xdr:rowOff>
        </xdr:to>
        <xdr:sp macro="" textlink="">
          <xdr:nvSpPr>
            <xdr:cNvPr id="80897" name="Drop Down 1" hidden="1">
              <a:extLst>
                <a:ext uri="{63B3BB69-23CF-44E3-9099-C40C66FF867C}">
                  <a14:compatExt spid="_x0000_s808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6</xdr:row>
          <xdr:rowOff>0</xdr:rowOff>
        </xdr:from>
        <xdr:to>
          <xdr:col>0</xdr:col>
          <xdr:colOff>2695575</xdr:colOff>
          <xdr:row>11</xdr:row>
          <xdr:rowOff>104775</xdr:rowOff>
        </xdr:to>
        <xdr:sp macro="" textlink="">
          <xdr:nvSpPr>
            <xdr:cNvPr id="91137" name="Drop Down 1" hidden="1">
              <a:extLst>
                <a:ext uri="{63B3BB69-23CF-44E3-9099-C40C66FF867C}">
                  <a14:compatExt spid="_x0000_s911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6</xdr:row>
          <xdr:rowOff>0</xdr:rowOff>
        </xdr:from>
        <xdr:to>
          <xdr:col>0</xdr:col>
          <xdr:colOff>2695575</xdr:colOff>
          <xdr:row>11</xdr:row>
          <xdr:rowOff>104775</xdr:rowOff>
        </xdr:to>
        <xdr:sp macro="" textlink="">
          <xdr:nvSpPr>
            <xdr:cNvPr id="114689" name="Drop Down 1" hidden="1">
              <a:extLst>
                <a:ext uri="{63B3BB69-23CF-44E3-9099-C40C66FF867C}">
                  <a14:compatExt spid="_x0000_s1146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6</xdr:row>
          <xdr:rowOff>0</xdr:rowOff>
        </xdr:from>
        <xdr:to>
          <xdr:col>0</xdr:col>
          <xdr:colOff>2695575</xdr:colOff>
          <xdr:row>11</xdr:row>
          <xdr:rowOff>104775</xdr:rowOff>
        </xdr:to>
        <xdr:sp macro="" textlink="">
          <xdr:nvSpPr>
            <xdr:cNvPr id="124929" name="Drop Down 1" hidden="1">
              <a:extLst>
                <a:ext uri="{63B3BB69-23CF-44E3-9099-C40C66FF867C}">
                  <a14:compatExt spid="_x0000_s1249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sharepoint.brno.cz/ORF/finance/Dotace/Aviza%202015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Vstupni Seznam"/>
      <sheetName val="Přehledy"/>
      <sheetName val="FIltrovatelná data"/>
      <sheetName val="Neprojednáno v RMB ZMB"/>
      <sheetName val="ČNB"/>
      <sheetName val="ČNB k převodu"/>
    </sheetNames>
    <sheetDataSet>
      <sheetData sheetId="0"/>
      <sheetData sheetId="1">
        <row r="1">
          <cell r="M1">
            <v>951693271.66000009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Marie Hujnakova" refreshedDate="42142.446961921298" createdVersion="5" refreshedVersion="5" minRefreshableVersion="3" recordCount="73">
  <cacheSource type="worksheet">
    <worksheetSource ref="A6:D68" sheet="Poskytovatelé"/>
  </cacheSource>
  <cacheFields count="4">
    <cacheField name=" TRANSFERY" numFmtId="4">
      <sharedItems/>
    </cacheField>
    <cacheField name="Skutečnost v Kč" numFmtId="4">
      <sharedItems containsSemiMixedTypes="0" containsString="0" containsNumber="1" minValue="800" maxValue="60346560"/>
    </cacheField>
    <cacheField name="ÚZ" numFmtId="1">
      <sharedItems containsString="0" containsBlank="1" containsNumber="1" containsInteger="1" minValue="13010" maxValue="92241" count="31">
        <n v="13010"/>
        <n v="13101"/>
        <n v="13234"/>
        <n v="13305"/>
        <n v="14023"/>
        <n v="14137"/>
        <n v="14336"/>
        <n v="15319"/>
        <n v="15827"/>
        <n v="15835"/>
        <n v="17002"/>
        <n v="17003"/>
        <n v="17870"/>
        <n v="17871"/>
        <n v="22005"/>
        <n v="27003"/>
        <n v="33019"/>
        <n v="33030"/>
        <n v="33339"/>
        <n v="34070"/>
        <n v="35019"/>
        <n v="35621"/>
        <n v="86005"/>
        <n v="86501"/>
        <n v="86505"/>
        <n v="89450"/>
        <n v="90001"/>
        <n v="90877"/>
        <n v="90909"/>
        <n v="92241"/>
        <m/>
      </sharedItems>
    </cacheField>
    <cacheField name="POL." numFmtId="1">
      <sharedItems containsMixedTypes="1" containsNumber="1" containsInteger="1" minValue="4113" maxValue="4223" count="11">
        <n v="4116"/>
        <s v="4116"/>
        <n v="4122"/>
        <n v="4216"/>
        <s v="4122"/>
        <n v="4123"/>
        <n v="4223"/>
        <n v="4113"/>
        <n v="4213"/>
        <s v="4113"/>
        <n v="4152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3">
  <r>
    <s v="Státní příspěvek na výkon pěstounské péče"/>
    <n v="3744000"/>
    <x v="0"/>
    <x v="0"/>
  </r>
  <r>
    <s v="Státní příspěvek na výkon pěstounské péče"/>
    <n v="8000"/>
    <x v="0"/>
    <x v="0"/>
  </r>
  <r>
    <s v="Brno - Bosonohy - aktivní politika zaměstnanosti"/>
    <n v="168369"/>
    <x v="1"/>
    <x v="0"/>
  </r>
  <r>
    <s v="Brno - Ořešín - aktivní politika zaměstnanosti "/>
    <n v="57762"/>
    <x v="1"/>
    <x v="1"/>
  </r>
  <r>
    <s v="Brno - Žabovřesky - aktivní politika zaměstnanosti"/>
    <n v="250271"/>
    <x v="1"/>
    <x v="0"/>
  </r>
  <r>
    <s v="Brno - Žebětín - aktivní politika zaměstnanosti "/>
    <n v="22000"/>
    <x v="1"/>
    <x v="0"/>
  </r>
  <r>
    <s v="Brno - Ivanovice - aktivní politika zaměstnanosti - OP Lidské zdroje a zaměstnanost"/>
    <n v="117024"/>
    <x v="2"/>
    <x v="0"/>
  </r>
  <r>
    <s v="Brno - Kníničky - aktivní politika zaměstnanosti - OP Lidské zdroje a zaměstnanost"/>
    <n v="54594"/>
    <x v="2"/>
    <x v="0"/>
  </r>
  <r>
    <s v="Brno - Komín - aktivní politika zaměstnanosti - OP Lidské zdroje a zaměstnanost"/>
    <n v="88000"/>
    <x v="2"/>
    <x v="0"/>
  </r>
  <r>
    <s v="Brno - Bosonohy - aktivní politika zaměstnanosti - OP Lidské zdroje a zaměstnanost"/>
    <n v="4643"/>
    <x v="2"/>
    <x v="0"/>
  </r>
  <r>
    <s v="Brno - Královo Pole - aktivní politika zaměstnanosti - OP Lidské zdroje a zaměstnanost"/>
    <n v="171724"/>
    <x v="2"/>
    <x v="0"/>
  </r>
  <r>
    <s v="Brno - Maloměřice a Obřany - aktivní politika zaměstnanosti - OP Lidské zdroje a zam."/>
    <n v="284221"/>
    <x v="2"/>
    <x v="0"/>
  </r>
  <r>
    <s v="Brno - Medlánky - aktivní politika zaměstnanosti - OP Lidské zdroje a zaměstnanost"/>
    <n v="130384"/>
    <x v="2"/>
    <x v="0"/>
  </r>
  <r>
    <s v="Brno - sever - aktivní politika zaměstnanosti - OP Lidské zdroje a zaměstnanost"/>
    <n v="1036689"/>
    <x v="2"/>
    <x v="0"/>
  </r>
  <r>
    <s v="Brno - střed - aktivní politika zaměstnanosti - OP Lidské zdroje a zaměstnanost"/>
    <n v="2693568"/>
    <x v="2"/>
    <x v="0"/>
  </r>
  <r>
    <s v="Brno - Vinohrady - aktivní politika zaměstnanosti - OP Lidské zdroje a zaměstnanost"/>
    <n v="44000"/>
    <x v="2"/>
    <x v="0"/>
  </r>
  <r>
    <s v="Brno - Žebětín - aktivní politika zaměstnanosti - OP Lidské zdroje a zaměstnanost"/>
    <n v="34064"/>
    <x v="2"/>
    <x v="0"/>
  </r>
  <r>
    <s v="Sociální služby"/>
    <n v="60346560"/>
    <x v="3"/>
    <x v="2"/>
  </r>
  <r>
    <s v="Brno - sever - Drom, romské středisko - sociální služby - z Olomouckého kraje"/>
    <n v="669360"/>
    <x v="3"/>
    <x v="2"/>
  </r>
  <r>
    <s v="Brno - sever - Drom, romské středisko - sociální služby - z Moravskéslezského kraje"/>
    <n v="578400"/>
    <x v="3"/>
    <x v="2"/>
  </r>
  <r>
    <s v="Asistent prevence kriminality II"/>
    <n v="134988"/>
    <x v="4"/>
    <x v="0"/>
  </r>
  <r>
    <s v="Asistent prevence kriminality II"/>
    <n v="800"/>
    <x v="4"/>
    <x v="0"/>
  </r>
  <r>
    <s v="Asistent prevence kriminality II"/>
    <n v="66060"/>
    <x v="4"/>
    <x v="0"/>
  </r>
  <r>
    <s v="Brno - Židenice - dotace na úhradu nákladů v souvislosti s azylovým zařízením"/>
    <n v="7480"/>
    <x v="5"/>
    <x v="0"/>
  </r>
  <r>
    <s v="Zajištění bydlení azylantů na území ČR - SHULHA Andrei"/>
    <n v="72000"/>
    <x v="6"/>
    <x v="0"/>
  </r>
  <r>
    <s v="Zajištění bydlení azylantů na území ČR - ALMEKAIL Jaber"/>
    <n v="72000"/>
    <x v="6"/>
    <x v="0"/>
  </r>
  <r>
    <s v="Zajištění bydlení azylantů na území ČR - KHATEB Nour"/>
    <n v="72000"/>
    <x v="6"/>
    <x v="0"/>
  </r>
  <r>
    <s v="Zajištění bydlení azylantů na území ČR - MUKAMEEV Venera"/>
    <n v="72000"/>
    <x v="6"/>
    <x v="0"/>
  </r>
  <r>
    <s v="Farská zahrada v MČ Brno - Komín"/>
    <n v="466286.1"/>
    <x v="7"/>
    <x v="0"/>
  </r>
  <r>
    <s v="Sanace - skalní řícení v ulici Pod Horkou"/>
    <n v="801002.43"/>
    <x v="8"/>
    <x v="3"/>
  </r>
  <r>
    <s v="Brno - Bystrc - zateplení MŠ Kachlíkova 21"/>
    <n v="16575"/>
    <x v="9"/>
    <x v="3"/>
  </r>
  <r>
    <s v="NKP Špilberk - lapidárium a centrum restaurátorských činností"/>
    <n v="33214.5"/>
    <x v="10"/>
    <x v="0"/>
  </r>
  <r>
    <s v="Digitalizace archivu města Brna"/>
    <n v="2686667.87"/>
    <x v="11"/>
    <x v="1"/>
  </r>
  <r>
    <s v="NKP Špilberk - lapidárium a centrum restaurátorských činností"/>
    <n v="188215.5"/>
    <x v="11"/>
    <x v="0"/>
  </r>
  <r>
    <s v="Stavební úpravy a nástavba bytového domu Bratislavská 36a"/>
    <n v="775692.78"/>
    <x v="12"/>
    <x v="3"/>
  </r>
  <r>
    <s v="Stavební úpravy a nástavba bytového domu Bratislavská 36a"/>
    <n v="4395592.4400000004"/>
    <x v="13"/>
    <x v="3"/>
  </r>
  <r>
    <s v="Dotace na výkon činnosti Jednotných kontaktních míst"/>
    <n v="600000"/>
    <x v="14"/>
    <x v="1"/>
  </r>
  <r>
    <s v="Pořízení zařízení na skenování - Centrální registr vozidel"/>
    <n v="36300"/>
    <x v="15"/>
    <x v="0"/>
  </r>
  <r>
    <s v="ZŠ a MŠ Milénova 14 - Získejme zkušenosti v evropských školkách"/>
    <n v="972546.41"/>
    <x v="16"/>
    <x v="1"/>
  </r>
  <r>
    <s v="ZŠ Antonínská 3 - Školní firma"/>
    <n v="417256.07"/>
    <x v="16"/>
    <x v="0"/>
  </r>
  <r>
    <s v="Město Brno zvyšuje kvalitu vzdělávání v základních školách"/>
    <n v="6858867.4299999997"/>
    <x v="16"/>
    <x v="0"/>
  </r>
  <r>
    <s v="EZŠ, Čejkovická 10 - Ukaž mi směr a já najdu cestu pro Tvé povolání"/>
    <n v="345496.86"/>
    <x v="17"/>
    <x v="4"/>
  </r>
  <r>
    <s v="ZŠ Vedlejší 10 - Jazykové centrum - diferenciace jazykového vzdělávání na ZŠ Vedlejší"/>
    <n v="90980.06"/>
    <x v="17"/>
    <x v="4"/>
  </r>
  <r>
    <s v="ZŠ Úvoz 55 - Skupinová výuka mimořádně nadaných dětí na Úvoze"/>
    <n v="341410.81"/>
    <x v="17"/>
    <x v="2"/>
  </r>
  <r>
    <s v="Brno - sever - Drom, romské středisko - Najdi svou cestu"/>
    <n v="674885.47"/>
    <x v="17"/>
    <x v="2"/>
  </r>
  <r>
    <s v="ZŠ a MŠ Husova 17 - Studená válka a střední Evropa aneb po stopách železné opony"/>
    <n v="192000"/>
    <x v="18"/>
    <x v="0"/>
  </r>
  <r>
    <s v="TIC - 56. Brněnská šestnáctka, mezinárodní festival krátkých filmů"/>
    <n v="80000"/>
    <x v="19"/>
    <x v="0"/>
  </r>
  <r>
    <s v="KJM - Lékotéka - harčky a pomůcky pro děti se speciálními vzdělávacími potřebami III"/>
    <n v="25000"/>
    <x v="19"/>
    <x v="0"/>
  </r>
  <r>
    <s v="KJM - Pověste ho vejš! 2"/>
    <n v="18000"/>
    <x v="19"/>
    <x v="0"/>
  </r>
  <r>
    <s v="KJM - Expresivní terapie a prožitkovéaktivity v knihovně "/>
    <n v="20000"/>
    <x v="19"/>
    <x v="0"/>
  </r>
  <r>
    <s v="Klinická hematologie a transfuzní služba - rezidenční místa - Úrazová nemocnice v Brně"/>
    <n v="18062.5"/>
    <x v="20"/>
    <x v="0"/>
  </r>
  <r>
    <s v="Aplikovaná fyzioterapie - rezidenční místa - Úrazová nemocnice v Brně"/>
    <n v="17977.5"/>
    <x v="20"/>
    <x v="0"/>
  </r>
  <r>
    <s v="Intenzivní péče - rezidenční místa - Úrazová nemocnice v Brně"/>
    <n v="32084"/>
    <x v="20"/>
    <x v="0"/>
  </r>
  <r>
    <s v="Intenzivní péče - rezidenční místa - Úrazová nemocnice v Brně"/>
    <n v="77000"/>
    <x v="20"/>
    <x v="0"/>
  </r>
  <r>
    <s v="Perioperační péče - rezidenční místo - Úrazová nemocnice v  Brně"/>
    <n v="40250"/>
    <x v="20"/>
    <x v="0"/>
  </r>
  <r>
    <s v="Rekonstrukce sociálního zázemí rehabilitačních ambulancí"/>
    <n v="450000"/>
    <x v="21"/>
    <x v="3"/>
  </r>
  <r>
    <s v="Vybudování jazykové učebny v ZŠ Hroznová"/>
    <n v="131063.69"/>
    <x v="22"/>
    <x v="5"/>
  </r>
  <r>
    <s v="Regenerace a rozšíření služeb NKP Špilberk"/>
    <n v="2167793.48"/>
    <x v="23"/>
    <x v="6"/>
  </r>
  <r>
    <s v="Regenerace a rozšíření služeb NKP Špilberk"/>
    <n v="24568326"/>
    <x v="24"/>
    <x v="6"/>
  </r>
  <r>
    <s v="Kalahari, africká vesnice Samburu"/>
    <n v="17507565.600000001"/>
    <x v="24"/>
    <x v="6"/>
  </r>
  <r>
    <s v="Vybudování jazykové učebny v ZŠ Hroznová"/>
    <n v="3893924.81"/>
    <x v="24"/>
    <x v="6"/>
  </r>
  <r>
    <s v="Otevřená škola - pohybem k zdravému životnímu stylu"/>
    <n v="4191194.41"/>
    <x v="24"/>
    <x v="6"/>
  </r>
  <r>
    <s v="Brno - Ořešín - přímé platby zemědělcům"/>
    <n v="4535.82"/>
    <x v="25"/>
    <x v="7"/>
  </r>
  <r>
    <s v="Farská zahrada v MČ Brno - Komín"/>
    <n v="33306.15"/>
    <x v="26"/>
    <x v="7"/>
  </r>
  <r>
    <s v="Zateplení ZŠ Přemyslovo nám."/>
    <n v="141555.72"/>
    <x v="27"/>
    <x v="8"/>
  </r>
  <r>
    <s v="Sanace - skalní řícení v ulici Pod Horkou"/>
    <n v="47117.79"/>
    <x v="27"/>
    <x v="8"/>
  </r>
  <r>
    <s v="Brno - Bystrc - zateplení MŠ Kachlíkova 21"/>
    <n v="975"/>
    <x v="27"/>
    <x v="8"/>
  </r>
  <r>
    <s v="Brno - Královo Pole - Zelená úsporám"/>
    <n v="392034"/>
    <x v="28"/>
    <x v="8"/>
  </r>
  <r>
    <s v="Brno - Černovice - dotace k úvěru na opravu panelových bytů"/>
    <n v="55520"/>
    <x v="29"/>
    <x v="9"/>
  </r>
  <r>
    <s v="Brno - Nový Lískovec - dotace k úvěru na opravu panelových bytů"/>
    <n v="742943"/>
    <x v="29"/>
    <x v="9"/>
  </r>
  <r>
    <s v="Brno - Slatina - dotace k úvěru na opravu panelových bytů"/>
    <n v="345411"/>
    <x v="29"/>
    <x v="9"/>
  </r>
  <r>
    <s v="Brno - Vinohrady - dotace k úvěru na opravu panelových bytů"/>
    <n v="778527"/>
    <x v="29"/>
    <x v="9"/>
  </r>
  <r>
    <s v="Projekt CH4LLENGE"/>
    <n v="581714.24"/>
    <x v="30"/>
    <x v="1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Kontingenční tabulka 1" cacheId="0" applyNumberFormats="0" applyBorderFormats="0" applyFontFormats="0" applyPatternFormats="0" applyAlignmentFormats="0" applyWidthHeightFormats="1" dataCaption="Hodnoty" updatedVersion="5" minRefreshableVersion="3" useAutoFormatting="1" itemPrintTitles="1" createdVersion="5" indent="0" outline="1" outlineData="1" multipleFieldFilters="0" rowHeaderCaption="Účelové znaky" colHeaderCaption="Položky">
  <location ref="A3:M36" firstHeaderRow="1" firstDataRow="2" firstDataCol="1"/>
  <pivotFields count="4">
    <pivotField showAll="0"/>
    <pivotField dataField="1" numFmtId="4" showAll="0"/>
    <pivotField axis="axisRow" showAl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t="default"/>
      </items>
    </pivotField>
    <pivotField axis="axisCol" showAll="0">
      <items count="12">
        <item x="7"/>
        <item x="0"/>
        <item x="2"/>
        <item x="5"/>
        <item x="10"/>
        <item x="8"/>
        <item x="3"/>
        <item x="6"/>
        <item x="9"/>
        <item x="1"/>
        <item x="4"/>
        <item t="default"/>
      </items>
    </pivotField>
  </pivotFields>
  <rowFields count="1">
    <field x="2"/>
  </rowFields>
  <rowItems count="3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 t="grand">
      <x/>
    </i>
  </rowItems>
  <colFields count="1">
    <field x="3"/>
  </colFields>
  <colItems count="1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 t="grand">
      <x/>
    </i>
  </colItems>
  <dataFields count="1">
    <dataField name="Součet z Skutečnost v Kč" fld="1" baseField="0" baseItem="0" numFmtId="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9.bin"/><Relationship Id="rId4" Type="http://schemas.openxmlformats.org/officeDocument/2006/relationships/ctrlProp" Target="../ctrlProps/ctrlProp4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2.bin"/><Relationship Id="rId4" Type="http://schemas.openxmlformats.org/officeDocument/2006/relationships/ctrlProp" Target="../ctrlProps/ctrlProp5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6.xml"/><Relationship Id="rId2" Type="http://schemas.openxmlformats.org/officeDocument/2006/relationships/vmlDrawing" Target="../drawings/vmlDrawing10.vml"/><Relationship Id="rId1" Type="http://schemas.openxmlformats.org/officeDocument/2006/relationships/drawing" Target="../drawings/drawing6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12.v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7.xml"/><Relationship Id="rId2" Type="http://schemas.openxmlformats.org/officeDocument/2006/relationships/vmlDrawing" Target="../drawings/vmlDrawing13.vml"/><Relationship Id="rId1" Type="http://schemas.openxmlformats.org/officeDocument/2006/relationships/drawing" Target="../drawings/drawing7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1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5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6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8.xml"/><Relationship Id="rId2" Type="http://schemas.openxmlformats.org/officeDocument/2006/relationships/vmlDrawing" Target="../drawings/vmlDrawing16.vml"/><Relationship Id="rId1" Type="http://schemas.openxmlformats.org/officeDocument/2006/relationships/drawing" Target="../drawings/drawing8.x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7.bin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9.xml"/><Relationship Id="rId2" Type="http://schemas.openxmlformats.org/officeDocument/2006/relationships/vmlDrawing" Target="../drawings/vmlDrawing18.vml"/><Relationship Id="rId1" Type="http://schemas.openxmlformats.org/officeDocument/2006/relationships/drawing" Target="../drawings/drawing9.xml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18.bin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19.bin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20.bin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22.vml"/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Relationship Id="rId4" Type="http://schemas.openxmlformats.org/officeDocument/2006/relationships/ctrlProp" Target="../ctrlProps/ctrlProp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85"/>
  <sheetViews>
    <sheetView topLeftCell="C12" zoomScaleNormal="100" workbookViewId="0">
      <selection activeCell="I23" sqref="I23"/>
    </sheetView>
  </sheetViews>
  <sheetFormatPr defaultColWidth="9.140625" defaultRowHeight="15.75" x14ac:dyDescent="0.25"/>
  <cols>
    <col min="1" max="1" width="11.28515625" style="104" customWidth="1"/>
    <col min="2" max="2" width="86.5703125" style="42" customWidth="1"/>
    <col min="3" max="3" width="17.5703125" style="42" customWidth="1"/>
    <col min="4" max="4" width="16.7109375" style="45" bestFit="1" customWidth="1"/>
    <col min="5" max="5" width="15" style="105" bestFit="1" customWidth="1"/>
    <col min="6" max="6" width="17.140625" style="105" customWidth="1"/>
    <col min="7" max="7" width="22" style="106" customWidth="1"/>
    <col min="8" max="8" width="24.5703125" style="42" customWidth="1"/>
    <col min="9" max="9" width="25" style="42" bestFit="1" customWidth="1"/>
    <col min="10" max="10" width="9.85546875" style="42" bestFit="1" customWidth="1"/>
    <col min="11" max="16384" width="9.140625" style="42"/>
  </cols>
  <sheetData>
    <row r="1" spans="1:8" s="2" customFormat="1" ht="22.5" x14ac:dyDescent="0.3">
      <c r="A1" s="681" t="s">
        <v>0</v>
      </c>
      <c r="B1" s="681"/>
      <c r="C1" s="681"/>
      <c r="D1" s="681"/>
      <c r="E1" s="681"/>
      <c r="F1" s="681"/>
      <c r="G1" s="1"/>
    </row>
    <row r="2" spans="1:8" s="2" customFormat="1" ht="22.5" x14ac:dyDescent="0.3">
      <c r="A2" s="681" t="s">
        <v>102</v>
      </c>
      <c r="B2" s="681"/>
      <c r="C2" s="681"/>
      <c r="D2" s="681"/>
      <c r="E2" s="681"/>
      <c r="F2" s="681"/>
      <c r="G2" s="1"/>
    </row>
    <row r="3" spans="1:8" s="2" customFormat="1" ht="22.5" x14ac:dyDescent="0.3">
      <c r="A3" s="169"/>
      <c r="B3" s="120"/>
      <c r="C3" s="162"/>
      <c r="D3" s="121"/>
      <c r="E3" s="169"/>
      <c r="F3" s="169"/>
      <c r="G3" s="1"/>
    </row>
    <row r="4" spans="1:8" s="2" customFormat="1" ht="23.25" thickBot="1" x14ac:dyDescent="0.35">
      <c r="A4" s="169"/>
      <c r="B4" s="169"/>
      <c r="C4" s="169"/>
      <c r="D4" s="121"/>
      <c r="E4" s="169"/>
      <c r="F4" s="1"/>
      <c r="G4" s="1"/>
    </row>
    <row r="5" spans="1:8" s="2" customFormat="1" x14ac:dyDescent="0.25">
      <c r="A5" s="3"/>
      <c r="B5" s="4"/>
      <c r="C5" s="4"/>
      <c r="D5" s="117"/>
      <c r="E5" s="6"/>
      <c r="F5" s="6"/>
      <c r="G5" s="7"/>
    </row>
    <row r="6" spans="1:8" s="2" customFormat="1" ht="16.5" thickBot="1" x14ac:dyDescent="0.3">
      <c r="A6" s="8" t="s">
        <v>1</v>
      </c>
      <c r="B6" s="9" t="s">
        <v>2</v>
      </c>
      <c r="C6" s="9" t="s">
        <v>3</v>
      </c>
      <c r="D6" s="118" t="s">
        <v>4</v>
      </c>
      <c r="E6" s="11" t="s">
        <v>5</v>
      </c>
      <c r="F6" s="11" t="s">
        <v>6</v>
      </c>
      <c r="G6" s="1"/>
    </row>
    <row r="7" spans="1:8" s="18" customFormat="1" hidden="1" x14ac:dyDescent="0.25">
      <c r="A7" s="12"/>
      <c r="B7" s="13" t="s">
        <v>7</v>
      </c>
      <c r="C7" s="14">
        <f>+SUM(C8:C10)</f>
        <v>0</v>
      </c>
      <c r="D7" s="15">
        <f>+SUM(D8:D10)</f>
        <v>0</v>
      </c>
      <c r="E7" s="17"/>
      <c r="F7" s="17"/>
      <c r="G7" s="2"/>
      <c r="H7" s="2"/>
    </row>
    <row r="8" spans="1:8" s="2" customFormat="1" hidden="1" x14ac:dyDescent="0.25">
      <c r="A8" s="12"/>
      <c r="B8" s="19"/>
      <c r="C8" s="20"/>
      <c r="D8" s="21"/>
      <c r="E8" s="22"/>
      <c r="F8" s="22">
        <v>4111</v>
      </c>
    </row>
    <row r="9" spans="1:8" s="2" customFormat="1" hidden="1" x14ac:dyDescent="0.25">
      <c r="A9" s="12"/>
      <c r="B9" s="19"/>
      <c r="C9" s="20"/>
      <c r="D9" s="21"/>
      <c r="E9" s="22"/>
      <c r="F9" s="22">
        <v>4111</v>
      </c>
    </row>
    <row r="10" spans="1:8" s="2" customFormat="1" hidden="1" x14ac:dyDescent="0.25">
      <c r="A10" s="12"/>
      <c r="B10" s="23"/>
      <c r="C10" s="20"/>
      <c r="D10" s="21"/>
      <c r="E10" s="22"/>
      <c r="F10" s="22"/>
    </row>
    <row r="11" spans="1:8" s="2" customFormat="1" hidden="1" x14ac:dyDescent="0.25">
      <c r="A11" s="12"/>
      <c r="B11" s="24"/>
      <c r="C11" s="20"/>
      <c r="D11" s="21"/>
      <c r="E11" s="22"/>
      <c r="F11" s="22"/>
    </row>
    <row r="12" spans="1:8" s="2" customFormat="1" x14ac:dyDescent="0.25">
      <c r="A12" s="25"/>
      <c r="B12" s="13" t="s">
        <v>8</v>
      </c>
      <c r="C12" s="26">
        <f>+SUM(C13:C16)</f>
        <v>5902.2090000000007</v>
      </c>
      <c r="D12" s="27">
        <f>+SUM(D13:D16)</f>
        <v>563202</v>
      </c>
      <c r="E12" s="28"/>
      <c r="F12" s="29"/>
    </row>
    <row r="13" spans="1:8" s="2" customFormat="1" x14ac:dyDescent="0.25">
      <c r="A13" s="25"/>
      <c r="B13" s="19" t="s">
        <v>9</v>
      </c>
      <c r="C13" s="21">
        <v>111.04</v>
      </c>
      <c r="D13" s="21"/>
      <c r="E13" s="22">
        <v>92241</v>
      </c>
      <c r="F13" s="29" t="s">
        <v>10</v>
      </c>
    </row>
    <row r="14" spans="1:8" s="2" customFormat="1" x14ac:dyDescent="0.25">
      <c r="A14" s="25"/>
      <c r="B14" s="19" t="s">
        <v>11</v>
      </c>
      <c r="C14" s="21">
        <v>2001.1780000000001</v>
      </c>
      <c r="D14" s="21">
        <f>108171+109620</f>
        <v>217791</v>
      </c>
      <c r="E14" s="22">
        <v>92241</v>
      </c>
      <c r="F14" s="29" t="s">
        <v>10</v>
      </c>
    </row>
    <row r="15" spans="1:8" s="2" customFormat="1" x14ac:dyDescent="0.25">
      <c r="A15" s="25"/>
      <c r="B15" s="19" t="s">
        <v>12</v>
      </c>
      <c r="C15" s="21">
        <v>1575.905</v>
      </c>
      <c r="D15" s="21">
        <v>345411</v>
      </c>
      <c r="E15" s="22">
        <v>92241</v>
      </c>
      <c r="F15" s="29" t="s">
        <v>10</v>
      </c>
    </row>
    <row r="16" spans="1:8" s="2" customFormat="1" x14ac:dyDescent="0.25">
      <c r="A16" s="25"/>
      <c r="B16" s="19" t="s">
        <v>13</v>
      </c>
      <c r="C16" s="21">
        <v>2214.0859999999998</v>
      </c>
      <c r="D16" s="21"/>
      <c r="E16" s="22">
        <v>92241</v>
      </c>
      <c r="F16" s="29" t="s">
        <v>10</v>
      </c>
    </row>
    <row r="17" spans="1:7" s="2" customFormat="1" hidden="1" x14ac:dyDescent="0.25">
      <c r="A17" s="12"/>
      <c r="B17" s="19"/>
      <c r="C17" s="20"/>
      <c r="D17" s="21"/>
      <c r="E17" s="22"/>
      <c r="F17" s="29"/>
    </row>
    <row r="18" spans="1:7" s="2" customFormat="1" hidden="1" x14ac:dyDescent="0.25">
      <c r="A18" s="12"/>
      <c r="B18" s="13" t="s">
        <v>14</v>
      </c>
      <c r="C18" s="30">
        <f>+SUM(C19:C30)</f>
        <v>0</v>
      </c>
      <c r="D18" s="30">
        <f>+SUM(D19:D30)</f>
        <v>0</v>
      </c>
      <c r="E18" s="22"/>
      <c r="F18" s="29"/>
    </row>
    <row r="19" spans="1:7" s="2" customFormat="1" hidden="1" x14ac:dyDescent="0.25">
      <c r="A19" s="12"/>
      <c r="B19" s="24"/>
      <c r="C19" s="20"/>
      <c r="D19" s="21"/>
      <c r="E19" s="22"/>
      <c r="F19" s="29">
        <v>4113</v>
      </c>
    </row>
    <row r="20" spans="1:7" s="2" customFormat="1" hidden="1" x14ac:dyDescent="0.25">
      <c r="A20" s="12"/>
      <c r="B20" s="24"/>
      <c r="C20" s="20"/>
      <c r="D20" s="21"/>
      <c r="E20" s="22"/>
      <c r="F20" s="29">
        <v>4113</v>
      </c>
    </row>
    <row r="21" spans="1:7" s="2" customFormat="1" hidden="1" x14ac:dyDescent="0.25">
      <c r="A21" s="12"/>
      <c r="B21" s="24"/>
      <c r="C21" s="20"/>
      <c r="D21" s="21"/>
      <c r="E21" s="22"/>
      <c r="F21" s="29">
        <v>4113</v>
      </c>
    </row>
    <row r="22" spans="1:7" s="2" customFormat="1" hidden="1" x14ac:dyDescent="0.25">
      <c r="A22" s="12"/>
      <c r="B22" s="24"/>
      <c r="C22" s="20"/>
      <c r="D22" s="21"/>
      <c r="E22" s="22"/>
      <c r="F22" s="29">
        <v>4113</v>
      </c>
    </row>
    <row r="23" spans="1:7" s="2" customFormat="1" hidden="1" x14ac:dyDescent="0.25">
      <c r="A23" s="12"/>
      <c r="B23" s="24"/>
      <c r="C23" s="20"/>
      <c r="D23" s="21"/>
      <c r="E23" s="22"/>
      <c r="F23" s="29">
        <v>4113</v>
      </c>
    </row>
    <row r="24" spans="1:7" s="2" customFormat="1" hidden="1" x14ac:dyDescent="0.25">
      <c r="A24" s="12"/>
      <c r="B24" s="24"/>
      <c r="C24" s="20"/>
      <c r="D24" s="21"/>
      <c r="E24" s="22"/>
      <c r="F24" s="29">
        <v>4113</v>
      </c>
    </row>
    <row r="25" spans="1:7" s="2" customFormat="1" hidden="1" x14ac:dyDescent="0.25">
      <c r="A25" s="12"/>
      <c r="B25" s="24"/>
      <c r="C25" s="20"/>
      <c r="D25" s="21"/>
      <c r="E25" s="22"/>
      <c r="F25" s="29">
        <v>4113</v>
      </c>
    </row>
    <row r="26" spans="1:7" s="2" customFormat="1" hidden="1" x14ac:dyDescent="0.25">
      <c r="A26" s="12"/>
      <c r="B26" s="24"/>
      <c r="C26" s="20"/>
      <c r="D26" s="21"/>
      <c r="E26" s="22"/>
      <c r="F26" s="29">
        <v>4113</v>
      </c>
    </row>
    <row r="27" spans="1:7" s="2" customFormat="1" hidden="1" x14ac:dyDescent="0.25">
      <c r="A27" s="12"/>
      <c r="B27" s="24"/>
      <c r="C27" s="20"/>
      <c r="D27" s="21"/>
      <c r="E27" s="22"/>
      <c r="F27" s="29">
        <v>4113</v>
      </c>
    </row>
    <row r="28" spans="1:7" s="2" customFormat="1" hidden="1" x14ac:dyDescent="0.25">
      <c r="A28" s="12"/>
      <c r="B28" s="24"/>
      <c r="C28" s="20"/>
      <c r="D28" s="21"/>
      <c r="E28" s="22"/>
      <c r="F28" s="29">
        <v>4113</v>
      </c>
    </row>
    <row r="29" spans="1:7" s="2" customFormat="1" hidden="1" x14ac:dyDescent="0.25">
      <c r="A29" s="12"/>
      <c r="B29" s="24"/>
      <c r="C29" s="20"/>
      <c r="D29" s="21"/>
      <c r="E29" s="22"/>
      <c r="F29" s="29">
        <v>4113</v>
      </c>
    </row>
    <row r="30" spans="1:7" s="2" customFormat="1" hidden="1" x14ac:dyDescent="0.25">
      <c r="A30" s="12"/>
      <c r="B30" s="24"/>
      <c r="C30" s="20"/>
      <c r="D30" s="21"/>
      <c r="E30" s="22"/>
      <c r="F30" s="29">
        <v>4113</v>
      </c>
      <c r="G30" s="160"/>
    </row>
    <row r="31" spans="1:7" s="2" customFormat="1" x14ac:dyDescent="0.25">
      <c r="A31" s="12"/>
      <c r="B31" s="19"/>
      <c r="C31" s="20"/>
      <c r="D31" s="21"/>
      <c r="E31" s="22"/>
      <c r="F31" s="29"/>
    </row>
    <row r="32" spans="1:7" s="2" customFormat="1" x14ac:dyDescent="0.25">
      <c r="A32" s="12"/>
      <c r="B32" s="13" t="s">
        <v>15</v>
      </c>
      <c r="C32" s="30">
        <f>+C33+C34</f>
        <v>4.5358200000000002</v>
      </c>
      <c r="D32" s="31">
        <f>+D33+D34</f>
        <v>4535.82</v>
      </c>
      <c r="E32" s="22"/>
      <c r="F32" s="29"/>
    </row>
    <row r="33" spans="1:11" s="2" customFormat="1" x14ac:dyDescent="0.25">
      <c r="A33" s="12"/>
      <c r="B33" s="19" t="s">
        <v>16</v>
      </c>
      <c r="C33" s="20">
        <v>4.5358200000000002</v>
      </c>
      <c r="D33" s="21">
        <v>4535.82</v>
      </c>
      <c r="E33" s="22">
        <v>89450</v>
      </c>
      <c r="F33" s="29">
        <v>4113</v>
      </c>
    </row>
    <row r="34" spans="1:11" s="2" customFormat="1" hidden="1" x14ac:dyDescent="0.25">
      <c r="A34" s="12"/>
      <c r="B34" s="19" t="s">
        <v>16</v>
      </c>
      <c r="C34" s="20"/>
      <c r="D34" s="21"/>
      <c r="E34" s="22">
        <v>89023</v>
      </c>
      <c r="F34" s="29">
        <v>4113</v>
      </c>
    </row>
    <row r="35" spans="1:11" s="2" customFormat="1" x14ac:dyDescent="0.25">
      <c r="A35" s="12"/>
      <c r="B35" s="32"/>
      <c r="C35" s="20"/>
      <c r="D35" s="163"/>
      <c r="E35" s="161"/>
      <c r="F35" s="22"/>
    </row>
    <row r="36" spans="1:11" s="18" customFormat="1" x14ac:dyDescent="0.25">
      <c r="A36" s="12"/>
      <c r="B36" s="13" t="s">
        <v>17</v>
      </c>
      <c r="C36" s="13">
        <f>SUM(C37:C57)</f>
        <v>5694</v>
      </c>
      <c r="D36" s="31">
        <f>SUM(D37:D57)</f>
        <v>6404239</v>
      </c>
      <c r="E36" s="33"/>
      <c r="F36" s="16"/>
      <c r="G36" s="2"/>
      <c r="H36" s="2"/>
      <c r="I36" s="2"/>
      <c r="J36" s="2"/>
    </row>
    <row r="37" spans="1:11" s="2" customFormat="1" x14ac:dyDescent="0.25">
      <c r="A37" s="25">
        <v>42053</v>
      </c>
      <c r="B37" s="19" t="s">
        <v>37</v>
      </c>
      <c r="C37" s="181">
        <v>0</v>
      </c>
      <c r="D37" s="164">
        <v>3744000</v>
      </c>
      <c r="E37" s="34">
        <v>13010</v>
      </c>
      <c r="F37" s="29">
        <v>4116</v>
      </c>
      <c r="G37" s="2">
        <v>3744</v>
      </c>
    </row>
    <row r="38" spans="1:11" s="18" customFormat="1" x14ac:dyDescent="0.25">
      <c r="A38" s="12"/>
      <c r="B38" s="19" t="s">
        <v>97</v>
      </c>
      <c r="C38" s="21"/>
      <c r="D38" s="21">
        <v>102369</v>
      </c>
      <c r="E38" s="34">
        <v>13101</v>
      </c>
      <c r="F38" s="29">
        <v>4116</v>
      </c>
      <c r="G38" s="2"/>
      <c r="H38" s="2"/>
      <c r="I38" s="2"/>
      <c r="J38" s="2"/>
      <c r="K38" s="2"/>
    </row>
    <row r="39" spans="1:11" s="2" customFormat="1" x14ac:dyDescent="0.25">
      <c r="A39" s="25"/>
      <c r="B39" s="19" t="s">
        <v>65</v>
      </c>
      <c r="C39" s="20">
        <v>42</v>
      </c>
      <c r="D39" s="21">
        <v>40896</v>
      </c>
      <c r="E39" s="34">
        <v>13101</v>
      </c>
      <c r="F39" s="29" t="s">
        <v>18</v>
      </c>
    </row>
    <row r="40" spans="1:11" s="2" customFormat="1" x14ac:dyDescent="0.25">
      <c r="A40" s="25"/>
      <c r="B40" s="107" t="s">
        <v>98</v>
      </c>
      <c r="C40" s="21"/>
      <c r="D40" s="21">
        <v>130982</v>
      </c>
      <c r="E40" s="35">
        <v>13101</v>
      </c>
      <c r="F40" s="36">
        <v>4116</v>
      </c>
    </row>
    <row r="41" spans="1:11" s="2" customFormat="1" x14ac:dyDescent="0.25">
      <c r="A41" s="25"/>
      <c r="B41" s="107" t="s">
        <v>99</v>
      </c>
      <c r="C41" s="21"/>
      <c r="D41" s="21">
        <v>22000</v>
      </c>
      <c r="E41" s="35">
        <v>13101</v>
      </c>
      <c r="F41" s="36">
        <v>4116</v>
      </c>
    </row>
    <row r="42" spans="1:11" s="18" customFormat="1" x14ac:dyDescent="0.25">
      <c r="A42" s="12"/>
      <c r="B42" s="19" t="s">
        <v>19</v>
      </c>
      <c r="C42" s="21"/>
      <c r="D42" s="21"/>
      <c r="E42" s="34"/>
      <c r="F42" s="29">
        <v>4116</v>
      </c>
      <c r="G42" s="2"/>
      <c r="H42" s="2"/>
      <c r="I42" s="2"/>
      <c r="J42" s="2"/>
      <c r="K42" s="2"/>
    </row>
    <row r="43" spans="1:11" s="18" customFormat="1" x14ac:dyDescent="0.25">
      <c r="A43" s="12"/>
      <c r="B43" s="19" t="s">
        <v>20</v>
      </c>
      <c r="C43" s="21">
        <v>66</v>
      </c>
      <c r="D43" s="21">
        <v>58288</v>
      </c>
      <c r="E43" s="34">
        <v>13234</v>
      </c>
      <c r="F43" s="29">
        <v>4116</v>
      </c>
      <c r="G43" s="2"/>
      <c r="H43" s="2"/>
      <c r="I43" s="2"/>
      <c r="J43" s="2"/>
      <c r="K43" s="2"/>
    </row>
    <row r="44" spans="1:11" s="18" customFormat="1" x14ac:dyDescent="0.25">
      <c r="A44" s="12"/>
      <c r="B44" s="19" t="s">
        <v>21</v>
      </c>
      <c r="C44" s="21"/>
      <c r="D44" s="21"/>
      <c r="E44" s="34"/>
      <c r="F44" s="29">
        <v>4116</v>
      </c>
      <c r="G44" s="2"/>
      <c r="H44" s="2"/>
      <c r="I44" s="2"/>
      <c r="J44" s="2"/>
      <c r="K44" s="2"/>
    </row>
    <row r="45" spans="1:11" s="18" customFormat="1" x14ac:dyDescent="0.25">
      <c r="A45" s="12"/>
      <c r="B45" s="19" t="s">
        <v>22</v>
      </c>
      <c r="C45" s="21"/>
      <c r="D45" s="21">
        <v>44000</v>
      </c>
      <c r="E45" s="34">
        <v>13234</v>
      </c>
      <c r="F45" s="29">
        <v>4116</v>
      </c>
      <c r="G45" s="2"/>
      <c r="H45" s="2"/>
      <c r="I45" s="2"/>
      <c r="J45" s="2"/>
      <c r="K45" s="2"/>
    </row>
    <row r="46" spans="1:11" s="18" customFormat="1" x14ac:dyDescent="0.25">
      <c r="A46" s="12"/>
      <c r="B46" s="107" t="s">
        <v>23</v>
      </c>
      <c r="C46" s="21"/>
      <c r="D46" s="21">
        <v>38094</v>
      </c>
      <c r="E46" s="108">
        <v>13101</v>
      </c>
      <c r="F46" s="29">
        <v>4116</v>
      </c>
      <c r="G46" s="2"/>
      <c r="H46" s="2"/>
      <c r="I46" s="2"/>
      <c r="J46" s="2"/>
      <c r="K46" s="2"/>
    </row>
    <row r="47" spans="1:11" s="18" customFormat="1" x14ac:dyDescent="0.25">
      <c r="A47" s="12"/>
      <c r="B47" s="107" t="s">
        <v>67</v>
      </c>
      <c r="C47" s="21">
        <v>155</v>
      </c>
      <c r="D47" s="21">
        <v>86069</v>
      </c>
      <c r="E47" s="108">
        <v>13234</v>
      </c>
      <c r="F47" s="29">
        <v>4116</v>
      </c>
      <c r="G47" s="2"/>
      <c r="H47" s="2"/>
      <c r="I47" s="2"/>
      <c r="J47" s="2"/>
      <c r="K47" s="2"/>
    </row>
    <row r="48" spans="1:11" s="18" customFormat="1" x14ac:dyDescent="0.25">
      <c r="A48" s="12"/>
      <c r="B48" s="107" t="s">
        <v>25</v>
      </c>
      <c r="C48" s="21"/>
      <c r="D48" s="21">
        <v>133409</v>
      </c>
      <c r="E48" s="34">
        <v>13234</v>
      </c>
      <c r="F48" s="29">
        <v>4116</v>
      </c>
      <c r="G48" s="2"/>
      <c r="H48" s="2"/>
      <c r="I48" s="2"/>
      <c r="J48" s="2"/>
      <c r="K48" s="2"/>
    </row>
    <row r="49" spans="1:11" s="18" customFormat="1" x14ac:dyDescent="0.25">
      <c r="A49" s="12"/>
      <c r="B49" s="107" t="s">
        <v>26</v>
      </c>
      <c r="C49" s="21"/>
      <c r="D49" s="21">
        <v>66000</v>
      </c>
      <c r="E49" s="34">
        <v>13234</v>
      </c>
      <c r="F49" s="29">
        <v>4116</v>
      </c>
      <c r="G49" s="2"/>
      <c r="H49" s="2"/>
      <c r="I49" s="2"/>
      <c r="J49" s="2"/>
      <c r="K49" s="2"/>
    </row>
    <row r="50" spans="1:11" s="18" customFormat="1" x14ac:dyDescent="0.25">
      <c r="A50" s="12"/>
      <c r="B50" s="107" t="s">
        <v>27</v>
      </c>
      <c r="C50" s="21"/>
      <c r="D50" s="21"/>
      <c r="E50" s="34">
        <v>13234</v>
      </c>
      <c r="F50" s="29">
        <v>4116</v>
      </c>
      <c r="G50" s="2"/>
      <c r="H50" s="2"/>
      <c r="I50" s="2"/>
      <c r="J50" s="2"/>
      <c r="K50" s="2"/>
    </row>
    <row r="51" spans="1:11" s="2" customFormat="1" x14ac:dyDescent="0.25">
      <c r="A51" s="25"/>
      <c r="B51" s="107" t="s">
        <v>28</v>
      </c>
      <c r="C51" s="21">
        <v>5376</v>
      </c>
      <c r="D51" s="21">
        <v>528297</v>
      </c>
      <c r="E51" s="35">
        <v>13234</v>
      </c>
      <c r="F51" s="29">
        <v>4116</v>
      </c>
    </row>
    <row r="52" spans="1:11" s="18" customFormat="1" x14ac:dyDescent="0.25">
      <c r="A52" s="12"/>
      <c r="B52" s="107" t="s">
        <v>24</v>
      </c>
      <c r="C52" s="21"/>
      <c r="D52" s="21">
        <v>1387835</v>
      </c>
      <c r="E52" s="34">
        <v>13234</v>
      </c>
      <c r="F52" s="29">
        <v>4116</v>
      </c>
      <c r="G52" s="2"/>
      <c r="H52" s="2"/>
      <c r="I52" s="2"/>
      <c r="J52" s="2"/>
      <c r="K52" s="2"/>
    </row>
    <row r="53" spans="1:11" s="2" customFormat="1" x14ac:dyDescent="0.25">
      <c r="A53" s="25"/>
      <c r="B53" s="107" t="s">
        <v>29</v>
      </c>
      <c r="C53" s="21"/>
      <c r="D53" s="21"/>
      <c r="E53" s="35">
        <v>13234</v>
      </c>
      <c r="F53" s="29" t="s">
        <v>18</v>
      </c>
    </row>
    <row r="54" spans="1:11" s="2" customFormat="1" x14ac:dyDescent="0.25">
      <c r="A54" s="25"/>
      <c r="B54" s="107" t="s">
        <v>66</v>
      </c>
      <c r="C54" s="21">
        <v>55</v>
      </c>
      <c r="D54" s="21">
        <v>22000</v>
      </c>
      <c r="E54" s="35">
        <v>13234</v>
      </c>
      <c r="F54" s="36">
        <v>4116</v>
      </c>
    </row>
    <row r="55" spans="1:11" s="2" customFormat="1" hidden="1" x14ac:dyDescent="0.25">
      <c r="A55" s="25"/>
      <c r="B55" s="107" t="s">
        <v>30</v>
      </c>
      <c r="C55" s="21"/>
      <c r="D55" s="21"/>
      <c r="E55" s="35"/>
      <c r="F55" s="36">
        <v>4116</v>
      </c>
    </row>
    <row r="56" spans="1:11" s="2" customFormat="1" hidden="1" x14ac:dyDescent="0.25">
      <c r="A56" s="25"/>
      <c r="B56" s="107" t="s">
        <v>31</v>
      </c>
      <c r="C56" s="21"/>
      <c r="D56" s="21"/>
      <c r="E56" s="35"/>
      <c r="F56" s="36">
        <v>4116</v>
      </c>
    </row>
    <row r="57" spans="1:11" s="2" customFormat="1" hidden="1" x14ac:dyDescent="0.25">
      <c r="A57" s="25"/>
      <c r="B57" s="107" t="s">
        <v>32</v>
      </c>
      <c r="C57" s="21"/>
      <c r="D57" s="21"/>
      <c r="E57" s="35"/>
      <c r="F57" s="36">
        <v>4116</v>
      </c>
    </row>
    <row r="58" spans="1:11" s="2" customFormat="1" hidden="1" x14ac:dyDescent="0.25">
      <c r="A58" s="25"/>
      <c r="B58" s="23"/>
      <c r="C58" s="37"/>
      <c r="D58" s="21"/>
      <c r="E58" s="35"/>
      <c r="F58" s="36"/>
    </row>
    <row r="59" spans="1:11" s="2" customFormat="1" hidden="1" x14ac:dyDescent="0.25">
      <c r="A59" s="25"/>
      <c r="B59" s="38" t="s">
        <v>33</v>
      </c>
      <c r="C59" s="39">
        <f>+SUM(C60:C100)</f>
        <v>0</v>
      </c>
      <c r="D59" s="40">
        <f>+SUM(D60:D100)</f>
        <v>0</v>
      </c>
      <c r="E59" s="29"/>
      <c r="F59" s="36"/>
    </row>
    <row r="60" spans="1:11" s="2" customFormat="1" hidden="1" x14ac:dyDescent="0.25">
      <c r="A60" s="25"/>
      <c r="B60" s="107"/>
      <c r="C60" s="20"/>
      <c r="D60" s="21"/>
      <c r="E60" s="41"/>
      <c r="F60" s="36">
        <v>4116</v>
      </c>
    </row>
    <row r="61" spans="1:11" s="2" customFormat="1" hidden="1" x14ac:dyDescent="0.25">
      <c r="A61" s="49"/>
      <c r="B61" s="107"/>
      <c r="C61" s="20"/>
      <c r="D61" s="21"/>
      <c r="E61" s="36"/>
      <c r="F61" s="36">
        <v>4116</v>
      </c>
    </row>
    <row r="62" spans="1:11" s="2" customFormat="1" hidden="1" x14ac:dyDescent="0.25">
      <c r="A62" s="49"/>
      <c r="B62" s="107"/>
      <c r="C62" s="20"/>
      <c r="D62" s="21"/>
      <c r="E62" s="36"/>
      <c r="F62" s="36">
        <v>4116</v>
      </c>
    </row>
    <row r="63" spans="1:11" s="2" customFormat="1" hidden="1" x14ac:dyDescent="0.25">
      <c r="A63" s="49"/>
      <c r="B63" s="107"/>
      <c r="C63" s="20"/>
      <c r="D63" s="21"/>
      <c r="E63" s="36"/>
      <c r="F63" s="36">
        <v>4116</v>
      </c>
    </row>
    <row r="64" spans="1:11" s="2" customFormat="1" hidden="1" x14ac:dyDescent="0.25">
      <c r="A64" s="25"/>
      <c r="B64" s="107"/>
      <c r="C64" s="20"/>
      <c r="D64" s="21"/>
      <c r="E64" s="29"/>
      <c r="F64" s="29">
        <v>4116</v>
      </c>
    </row>
    <row r="65" spans="1:6" s="2" customFormat="1" hidden="1" x14ac:dyDescent="0.25">
      <c r="A65" s="25"/>
      <c r="B65" s="107"/>
      <c r="C65" s="20"/>
      <c r="D65" s="21"/>
      <c r="E65" s="29"/>
      <c r="F65" s="29">
        <v>4116</v>
      </c>
    </row>
    <row r="66" spans="1:6" s="2" customFormat="1" hidden="1" x14ac:dyDescent="0.25">
      <c r="A66" s="25"/>
      <c r="B66" s="107"/>
      <c r="C66" s="20"/>
      <c r="D66" s="21"/>
      <c r="E66" s="29"/>
      <c r="F66" s="29">
        <v>4116</v>
      </c>
    </row>
    <row r="67" spans="1:6" s="2" customFormat="1" hidden="1" x14ac:dyDescent="0.25">
      <c r="A67" s="25"/>
      <c r="B67" s="107"/>
      <c r="C67" s="20"/>
      <c r="D67" s="21"/>
      <c r="E67" s="29"/>
      <c r="F67" s="29">
        <v>4116</v>
      </c>
    </row>
    <row r="68" spans="1:6" s="2" customFormat="1" hidden="1" x14ac:dyDescent="0.25">
      <c r="A68" s="25"/>
      <c r="B68" s="107"/>
      <c r="C68" s="20"/>
      <c r="D68" s="21"/>
      <c r="E68" s="29"/>
      <c r="F68" s="29">
        <v>4116</v>
      </c>
    </row>
    <row r="69" spans="1:6" s="2" customFormat="1" hidden="1" x14ac:dyDescent="0.25">
      <c r="A69" s="25"/>
      <c r="B69" s="107"/>
      <c r="C69" s="20"/>
      <c r="D69" s="21"/>
      <c r="E69" s="29"/>
      <c r="F69" s="29">
        <v>4116</v>
      </c>
    </row>
    <row r="70" spans="1:6" s="2" customFormat="1" hidden="1" x14ac:dyDescent="0.25">
      <c r="A70" s="25"/>
      <c r="B70" s="107"/>
      <c r="C70" s="20"/>
      <c r="D70" s="21"/>
      <c r="E70" s="29"/>
      <c r="F70" s="29">
        <v>4116</v>
      </c>
    </row>
    <row r="71" spans="1:6" s="2" customFormat="1" hidden="1" x14ac:dyDescent="0.25">
      <c r="A71" s="25"/>
      <c r="B71" s="107"/>
      <c r="C71" s="20"/>
      <c r="D71" s="21"/>
      <c r="E71" s="29"/>
      <c r="F71" s="29">
        <v>4116</v>
      </c>
    </row>
    <row r="72" spans="1:6" s="2" customFormat="1" hidden="1" x14ac:dyDescent="0.25">
      <c r="A72" s="25"/>
      <c r="B72" s="107"/>
      <c r="C72" s="20"/>
      <c r="D72" s="21"/>
      <c r="E72" s="29"/>
      <c r="F72" s="29">
        <v>4116</v>
      </c>
    </row>
    <row r="73" spans="1:6" s="2" customFormat="1" hidden="1" x14ac:dyDescent="0.25">
      <c r="A73" s="25"/>
      <c r="B73" s="107"/>
      <c r="C73" s="20"/>
      <c r="D73" s="21"/>
      <c r="E73" s="29"/>
      <c r="F73" s="29">
        <v>4116</v>
      </c>
    </row>
    <row r="74" spans="1:6" s="2" customFormat="1" hidden="1" x14ac:dyDescent="0.25">
      <c r="A74" s="25"/>
      <c r="B74" s="107"/>
      <c r="C74" s="20"/>
      <c r="D74" s="21"/>
      <c r="E74" s="29"/>
      <c r="F74" s="29">
        <v>4116</v>
      </c>
    </row>
    <row r="75" spans="1:6" s="2" customFormat="1" hidden="1" x14ac:dyDescent="0.25">
      <c r="A75" s="25"/>
      <c r="B75" s="107"/>
      <c r="C75" s="20"/>
      <c r="D75" s="21"/>
      <c r="E75" s="29"/>
      <c r="F75" s="29">
        <v>4116</v>
      </c>
    </row>
    <row r="76" spans="1:6" s="2" customFormat="1" hidden="1" x14ac:dyDescent="0.25">
      <c r="A76" s="25"/>
      <c r="B76" s="107"/>
      <c r="C76" s="20"/>
      <c r="D76" s="21"/>
      <c r="E76" s="29"/>
      <c r="F76" s="29">
        <v>4116</v>
      </c>
    </row>
    <row r="77" spans="1:6" s="2" customFormat="1" hidden="1" x14ac:dyDescent="0.25">
      <c r="A77" s="25"/>
      <c r="B77" s="107"/>
      <c r="C77" s="20"/>
      <c r="D77" s="21"/>
      <c r="E77" s="29"/>
      <c r="F77" s="29">
        <v>4116</v>
      </c>
    </row>
    <row r="78" spans="1:6" s="2" customFormat="1" hidden="1" x14ac:dyDescent="0.25">
      <c r="A78" s="25"/>
      <c r="B78" s="107"/>
      <c r="C78" s="20"/>
      <c r="D78" s="21"/>
      <c r="E78" s="29"/>
      <c r="F78" s="29">
        <v>4116</v>
      </c>
    </row>
    <row r="79" spans="1:6" s="2" customFormat="1" hidden="1" x14ac:dyDescent="0.25">
      <c r="A79" s="25"/>
      <c r="B79" s="107"/>
      <c r="C79" s="20"/>
      <c r="D79" s="21"/>
      <c r="E79" s="29"/>
      <c r="F79" s="29">
        <v>4116</v>
      </c>
    </row>
    <row r="80" spans="1:6" s="2" customFormat="1" hidden="1" x14ac:dyDescent="0.25">
      <c r="A80" s="25"/>
      <c r="B80" s="107"/>
      <c r="C80" s="20"/>
      <c r="D80" s="21"/>
      <c r="E80" s="29"/>
      <c r="F80" s="29">
        <v>4116</v>
      </c>
    </row>
    <row r="81" spans="1:6" s="2" customFormat="1" hidden="1" x14ac:dyDescent="0.25">
      <c r="A81" s="25"/>
      <c r="B81" s="107"/>
      <c r="C81" s="20"/>
      <c r="D81" s="21"/>
      <c r="E81" s="29"/>
      <c r="F81" s="29">
        <v>4116</v>
      </c>
    </row>
    <row r="82" spans="1:6" s="2" customFormat="1" hidden="1" x14ac:dyDescent="0.25">
      <c r="A82" s="25"/>
      <c r="B82" s="107"/>
      <c r="C82" s="20"/>
      <c r="D82" s="21"/>
      <c r="E82" s="29"/>
      <c r="F82" s="29">
        <v>4116</v>
      </c>
    </row>
    <row r="83" spans="1:6" s="2" customFormat="1" hidden="1" x14ac:dyDescent="0.25">
      <c r="A83" s="25"/>
      <c r="B83" s="107"/>
      <c r="C83" s="20"/>
      <c r="D83" s="21"/>
      <c r="E83" s="29"/>
      <c r="F83" s="29">
        <v>4116</v>
      </c>
    </row>
    <row r="84" spans="1:6" s="2" customFormat="1" hidden="1" x14ac:dyDescent="0.25">
      <c r="A84" s="25"/>
      <c r="B84" s="107"/>
      <c r="C84" s="20"/>
      <c r="D84" s="21"/>
      <c r="E84" s="29"/>
      <c r="F84" s="29">
        <v>4116</v>
      </c>
    </row>
    <row r="85" spans="1:6" s="2" customFormat="1" hidden="1" x14ac:dyDescent="0.25">
      <c r="A85" s="25"/>
      <c r="B85" s="107"/>
      <c r="C85" s="20"/>
      <c r="D85" s="21"/>
      <c r="E85" s="29"/>
      <c r="F85" s="29">
        <v>4116</v>
      </c>
    </row>
    <row r="86" spans="1:6" s="2" customFormat="1" hidden="1" x14ac:dyDescent="0.25">
      <c r="A86" s="25"/>
      <c r="B86" s="107"/>
      <c r="C86" s="20"/>
      <c r="D86" s="21"/>
      <c r="E86" s="29"/>
      <c r="F86" s="29">
        <v>4116</v>
      </c>
    </row>
    <row r="87" spans="1:6" s="2" customFormat="1" hidden="1" x14ac:dyDescent="0.25">
      <c r="A87" s="25"/>
      <c r="B87" s="107"/>
      <c r="C87" s="20"/>
      <c r="D87" s="21"/>
      <c r="E87" s="29"/>
      <c r="F87" s="29">
        <v>4116</v>
      </c>
    </row>
    <row r="88" spans="1:6" s="2" customFormat="1" hidden="1" x14ac:dyDescent="0.25">
      <c r="A88" s="25"/>
      <c r="B88" s="107"/>
      <c r="C88" s="20"/>
      <c r="D88" s="21"/>
      <c r="E88" s="29"/>
      <c r="F88" s="29">
        <v>4116</v>
      </c>
    </row>
    <row r="89" spans="1:6" s="2" customFormat="1" hidden="1" x14ac:dyDescent="0.25">
      <c r="A89" s="25"/>
      <c r="B89" s="107"/>
      <c r="C89" s="20"/>
      <c r="D89" s="21"/>
      <c r="E89" s="29"/>
      <c r="F89" s="29">
        <v>4116</v>
      </c>
    </row>
    <row r="90" spans="1:6" s="2" customFormat="1" hidden="1" x14ac:dyDescent="0.25">
      <c r="A90" s="25"/>
      <c r="B90" s="107"/>
      <c r="C90" s="20"/>
      <c r="D90" s="21"/>
      <c r="E90" s="29"/>
      <c r="F90" s="29">
        <v>4116</v>
      </c>
    </row>
    <row r="91" spans="1:6" s="2" customFormat="1" hidden="1" x14ac:dyDescent="0.25">
      <c r="A91" s="25"/>
      <c r="B91" s="107"/>
      <c r="C91" s="20"/>
      <c r="D91" s="21"/>
      <c r="E91" s="29"/>
      <c r="F91" s="29">
        <v>4116</v>
      </c>
    </row>
    <row r="92" spans="1:6" s="2" customFormat="1" hidden="1" x14ac:dyDescent="0.25">
      <c r="A92" s="25"/>
      <c r="B92" s="107"/>
      <c r="C92" s="20"/>
      <c r="D92" s="21"/>
      <c r="E92" s="29"/>
      <c r="F92" s="29">
        <v>4116</v>
      </c>
    </row>
    <row r="93" spans="1:6" s="2" customFormat="1" hidden="1" x14ac:dyDescent="0.25">
      <c r="A93" s="25"/>
      <c r="B93" s="107"/>
      <c r="C93" s="20"/>
      <c r="D93" s="21"/>
      <c r="E93" s="29"/>
      <c r="F93" s="29">
        <v>4116</v>
      </c>
    </row>
    <row r="94" spans="1:6" s="2" customFormat="1" hidden="1" x14ac:dyDescent="0.25">
      <c r="A94" s="25"/>
      <c r="B94" s="107"/>
      <c r="C94" s="20"/>
      <c r="D94" s="21"/>
      <c r="E94" s="29"/>
      <c r="F94" s="29">
        <v>4116</v>
      </c>
    </row>
    <row r="95" spans="1:6" s="2" customFormat="1" hidden="1" x14ac:dyDescent="0.25">
      <c r="A95" s="25"/>
      <c r="B95" s="107"/>
      <c r="C95" s="20"/>
      <c r="D95" s="20"/>
      <c r="E95" s="29"/>
      <c r="F95" s="29">
        <v>4116</v>
      </c>
    </row>
    <row r="96" spans="1:6" s="2" customFormat="1" hidden="1" x14ac:dyDescent="0.25">
      <c r="A96" s="25"/>
      <c r="B96" s="107"/>
      <c r="C96" s="20"/>
      <c r="D96" s="20"/>
      <c r="E96" s="29"/>
      <c r="F96" s="29">
        <v>4116</v>
      </c>
    </row>
    <row r="97" spans="1:8" s="2" customFormat="1" hidden="1" x14ac:dyDescent="0.25">
      <c r="A97" s="25"/>
      <c r="B97" s="107"/>
      <c r="C97" s="20"/>
      <c r="D97" s="20"/>
      <c r="E97" s="29"/>
      <c r="F97" s="29">
        <v>4116</v>
      </c>
    </row>
    <row r="98" spans="1:8" s="2" customFormat="1" hidden="1" x14ac:dyDescent="0.25">
      <c r="A98" s="25"/>
      <c r="B98" s="107"/>
      <c r="C98" s="20"/>
      <c r="D98" s="20"/>
      <c r="E98" s="29"/>
      <c r="F98" s="29">
        <v>4116</v>
      </c>
    </row>
    <row r="99" spans="1:8" s="2" customFormat="1" hidden="1" x14ac:dyDescent="0.25">
      <c r="A99" s="25"/>
      <c r="B99" s="107"/>
      <c r="C99" s="20"/>
      <c r="D99" s="21"/>
      <c r="E99" s="29"/>
      <c r="F99" s="29">
        <v>4116</v>
      </c>
    </row>
    <row r="100" spans="1:8" x14ac:dyDescent="0.25">
      <c r="A100" s="50"/>
      <c r="B100" s="107"/>
      <c r="C100" s="115"/>
      <c r="D100" s="21"/>
      <c r="E100" s="51"/>
      <c r="F100" s="51"/>
      <c r="G100" s="2"/>
      <c r="H100" s="2"/>
    </row>
    <row r="101" spans="1:8" s="2" customFormat="1" x14ac:dyDescent="0.25">
      <c r="A101" s="25"/>
      <c r="B101" s="38" t="s">
        <v>34</v>
      </c>
      <c r="C101" s="39">
        <f>SUM(C102:C113)</f>
        <v>0</v>
      </c>
      <c r="D101" s="40">
        <f>SUM(D102:D113)</f>
        <v>972546.41</v>
      </c>
      <c r="E101" s="29"/>
      <c r="F101" s="36"/>
    </row>
    <row r="102" spans="1:8" s="2" customFormat="1" x14ac:dyDescent="0.25">
      <c r="A102" s="25">
        <v>42054</v>
      </c>
      <c r="B102" s="107" t="s">
        <v>68</v>
      </c>
      <c r="C102" s="52">
        <v>0</v>
      </c>
      <c r="D102" s="53">
        <v>972546.41</v>
      </c>
      <c r="E102" s="29">
        <v>33019</v>
      </c>
      <c r="F102" s="36" t="s">
        <v>18</v>
      </c>
    </row>
    <row r="103" spans="1:8" s="2" customFormat="1" hidden="1" x14ac:dyDescent="0.25">
      <c r="A103" s="25"/>
      <c r="B103" s="107"/>
      <c r="C103" s="52"/>
      <c r="D103" s="55"/>
      <c r="E103" s="29"/>
      <c r="F103" s="36">
        <v>4116</v>
      </c>
    </row>
    <row r="104" spans="1:8" s="2" customFormat="1" hidden="1" x14ac:dyDescent="0.25">
      <c r="A104" s="25"/>
      <c r="B104" s="107"/>
      <c r="C104" s="52"/>
      <c r="D104" s="55"/>
      <c r="E104" s="29"/>
      <c r="F104" s="36">
        <v>4116</v>
      </c>
    </row>
    <row r="105" spans="1:8" s="2" customFormat="1" hidden="1" x14ac:dyDescent="0.25">
      <c r="A105" s="25"/>
      <c r="B105" s="107"/>
      <c r="C105" s="52"/>
      <c r="D105" s="114"/>
      <c r="E105" s="29"/>
      <c r="F105" s="36">
        <v>4116</v>
      </c>
    </row>
    <row r="106" spans="1:8" s="2" customFormat="1" hidden="1" x14ac:dyDescent="0.25">
      <c r="A106" s="25"/>
      <c r="B106" s="24"/>
      <c r="C106" s="52"/>
      <c r="D106" s="55"/>
      <c r="E106" s="28"/>
      <c r="F106" s="36">
        <v>4116</v>
      </c>
    </row>
    <row r="107" spans="1:8" s="2" customFormat="1" hidden="1" x14ac:dyDescent="0.25">
      <c r="A107" s="25"/>
      <c r="B107" s="24"/>
      <c r="C107" s="53"/>
      <c r="D107" s="55"/>
      <c r="E107" s="28"/>
      <c r="F107" s="36">
        <v>4116</v>
      </c>
    </row>
    <row r="108" spans="1:8" s="2" customFormat="1" hidden="1" x14ac:dyDescent="0.25">
      <c r="A108" s="25"/>
      <c r="B108" s="24"/>
      <c r="C108" s="53"/>
      <c r="D108" s="55"/>
      <c r="E108" s="28"/>
      <c r="F108" s="36">
        <v>4116</v>
      </c>
    </row>
    <row r="109" spans="1:8" s="2" customFormat="1" hidden="1" x14ac:dyDescent="0.25">
      <c r="A109" s="25"/>
      <c r="B109" s="24"/>
      <c r="C109" s="53"/>
      <c r="D109" s="55"/>
      <c r="E109" s="28"/>
      <c r="F109" s="36">
        <v>4116</v>
      </c>
    </row>
    <row r="110" spans="1:8" s="2" customFormat="1" hidden="1" x14ac:dyDescent="0.25">
      <c r="A110" s="25"/>
      <c r="B110" s="24"/>
      <c r="C110" s="53"/>
      <c r="D110" s="55"/>
      <c r="E110" s="28"/>
      <c r="F110" s="36">
        <v>4116</v>
      </c>
    </row>
    <row r="111" spans="1:8" s="2" customFormat="1" hidden="1" x14ac:dyDescent="0.25">
      <c r="A111" s="25"/>
      <c r="B111" s="24"/>
      <c r="C111" s="53"/>
      <c r="D111" s="55"/>
      <c r="E111" s="28"/>
      <c r="F111" s="36">
        <v>4116</v>
      </c>
    </row>
    <row r="112" spans="1:8" s="2" customFormat="1" hidden="1" x14ac:dyDescent="0.25">
      <c r="A112" s="25"/>
      <c r="B112" s="24"/>
      <c r="C112" s="53"/>
      <c r="D112" s="55"/>
      <c r="E112" s="28"/>
      <c r="F112" s="36">
        <v>4116</v>
      </c>
    </row>
    <row r="113" spans="1:7" s="2" customFormat="1" x14ac:dyDescent="0.25">
      <c r="A113" s="25"/>
      <c r="B113" s="54"/>
      <c r="C113" s="47"/>
      <c r="D113" s="55"/>
      <c r="E113" s="28"/>
      <c r="F113" s="36"/>
    </row>
    <row r="114" spans="1:7" s="2" customFormat="1" x14ac:dyDescent="0.25">
      <c r="A114" s="25"/>
      <c r="B114" s="13" t="s">
        <v>35</v>
      </c>
      <c r="C114" s="30">
        <f>+SUM(C115:C118)</f>
        <v>0</v>
      </c>
      <c r="D114" s="31">
        <f>+SUM(D115:D118)</f>
        <v>2908097.87</v>
      </c>
      <c r="E114" s="28"/>
      <c r="F114" s="29"/>
    </row>
    <row r="115" spans="1:7" s="2" customFormat="1" x14ac:dyDescent="0.25">
      <c r="A115" s="25">
        <v>42040</v>
      </c>
      <c r="B115" s="107" t="s">
        <v>60</v>
      </c>
      <c r="C115" s="175">
        <v>0</v>
      </c>
      <c r="D115" s="53">
        <v>2686667.87</v>
      </c>
      <c r="E115" s="28">
        <v>17003</v>
      </c>
      <c r="F115" s="29" t="s">
        <v>18</v>
      </c>
      <c r="G115" s="2">
        <v>2686.6678700000002</v>
      </c>
    </row>
    <row r="116" spans="1:7" s="2" customFormat="1" x14ac:dyDescent="0.25">
      <c r="A116" s="25">
        <v>42059</v>
      </c>
      <c r="B116" s="107" t="s">
        <v>105</v>
      </c>
      <c r="C116" s="52">
        <v>0</v>
      </c>
      <c r="D116" s="53">
        <v>188215.5</v>
      </c>
      <c r="E116" s="28">
        <v>17003</v>
      </c>
      <c r="F116" s="29">
        <v>4116</v>
      </c>
    </row>
    <row r="117" spans="1:7" s="2" customFormat="1" x14ac:dyDescent="0.25">
      <c r="A117" s="25">
        <v>42059</v>
      </c>
      <c r="B117" s="107" t="s">
        <v>105</v>
      </c>
      <c r="C117" s="52">
        <v>0</v>
      </c>
      <c r="D117" s="53">
        <v>33214.5</v>
      </c>
      <c r="E117" s="28">
        <v>17002</v>
      </c>
      <c r="F117" s="29">
        <v>4116</v>
      </c>
    </row>
    <row r="118" spans="1:7" s="2" customFormat="1" hidden="1" x14ac:dyDescent="0.25">
      <c r="A118" s="25"/>
      <c r="B118" s="57"/>
      <c r="C118" s="52"/>
      <c r="D118" s="53"/>
      <c r="E118" s="28"/>
      <c r="F118" s="29"/>
    </row>
    <row r="119" spans="1:7" s="2" customFormat="1" hidden="1" x14ac:dyDescent="0.25">
      <c r="A119" s="25"/>
      <c r="B119" s="30" t="s">
        <v>36</v>
      </c>
      <c r="C119" s="30">
        <f>+SUM(C120:C133)</f>
        <v>0</v>
      </c>
      <c r="D119" s="31">
        <f>+SUM(D120:D133)</f>
        <v>0</v>
      </c>
      <c r="E119" s="28"/>
      <c r="F119" s="29"/>
    </row>
    <row r="120" spans="1:7" s="2" customFormat="1" hidden="1" x14ac:dyDescent="0.25">
      <c r="A120" s="25"/>
      <c r="B120" s="19"/>
      <c r="C120" s="20"/>
      <c r="D120" s="53"/>
      <c r="E120" s="28"/>
      <c r="F120" s="29">
        <v>4116</v>
      </c>
    </row>
    <row r="121" spans="1:7" s="2" customFormat="1" hidden="1" x14ac:dyDescent="0.25">
      <c r="A121" s="25"/>
      <c r="B121" s="19"/>
      <c r="C121" s="20"/>
      <c r="D121" s="53"/>
      <c r="E121" s="28"/>
      <c r="F121" s="29">
        <v>4116</v>
      </c>
    </row>
    <row r="122" spans="1:7" s="2" customFormat="1" hidden="1" x14ac:dyDescent="0.25">
      <c r="A122" s="25"/>
      <c r="B122" s="19"/>
      <c r="C122" s="20"/>
      <c r="D122" s="53"/>
      <c r="E122" s="28"/>
      <c r="F122" s="29">
        <v>4116</v>
      </c>
    </row>
    <row r="123" spans="1:7" s="2" customFormat="1" hidden="1" x14ac:dyDescent="0.25">
      <c r="A123" s="25"/>
      <c r="B123" s="19"/>
      <c r="C123" s="20"/>
      <c r="D123" s="53"/>
      <c r="E123" s="28"/>
      <c r="F123" s="29">
        <v>4116</v>
      </c>
    </row>
    <row r="124" spans="1:7" s="2" customFormat="1" hidden="1" x14ac:dyDescent="0.25">
      <c r="A124" s="25"/>
      <c r="B124" s="19"/>
      <c r="C124" s="20"/>
      <c r="D124" s="53"/>
      <c r="E124" s="28"/>
      <c r="F124" s="29">
        <v>4116</v>
      </c>
    </row>
    <row r="125" spans="1:7" s="2" customFormat="1" hidden="1" x14ac:dyDescent="0.25">
      <c r="A125" s="25"/>
      <c r="B125" s="19"/>
      <c r="C125" s="20"/>
      <c r="D125" s="53"/>
      <c r="E125" s="28"/>
      <c r="F125" s="29">
        <v>4116</v>
      </c>
    </row>
    <row r="126" spans="1:7" s="2" customFormat="1" hidden="1" x14ac:dyDescent="0.25">
      <c r="A126" s="25"/>
      <c r="B126" s="19"/>
      <c r="C126" s="20"/>
      <c r="D126" s="53"/>
      <c r="E126" s="28"/>
      <c r="F126" s="29">
        <v>4116</v>
      </c>
    </row>
    <row r="127" spans="1:7" s="2" customFormat="1" hidden="1" x14ac:dyDescent="0.25">
      <c r="A127" s="25"/>
      <c r="B127" s="19"/>
      <c r="C127" s="20"/>
      <c r="D127" s="53"/>
      <c r="E127" s="28"/>
      <c r="F127" s="29">
        <v>4116</v>
      </c>
    </row>
    <row r="128" spans="1:7" s="2" customFormat="1" hidden="1" x14ac:dyDescent="0.25">
      <c r="A128" s="25"/>
      <c r="B128" s="19"/>
      <c r="C128" s="20"/>
      <c r="D128" s="53"/>
      <c r="E128" s="28"/>
      <c r="F128" s="29">
        <v>4116</v>
      </c>
    </row>
    <row r="129" spans="1:8" s="2" customFormat="1" hidden="1" x14ac:dyDescent="0.25">
      <c r="A129" s="25"/>
      <c r="B129" s="19"/>
      <c r="C129" s="20"/>
      <c r="D129" s="53"/>
      <c r="E129" s="28"/>
      <c r="F129" s="29">
        <v>4116</v>
      </c>
    </row>
    <row r="130" spans="1:8" s="2" customFormat="1" hidden="1" x14ac:dyDescent="0.25">
      <c r="A130" s="25"/>
      <c r="B130" s="19"/>
      <c r="C130" s="20"/>
      <c r="D130" s="53"/>
      <c r="E130" s="28"/>
      <c r="F130" s="29">
        <v>4116</v>
      </c>
    </row>
    <row r="131" spans="1:8" s="2" customFormat="1" hidden="1" x14ac:dyDescent="0.25">
      <c r="A131" s="25"/>
      <c r="B131" s="19"/>
      <c r="C131" s="20"/>
      <c r="D131" s="53"/>
      <c r="E131" s="28"/>
      <c r="F131" s="29">
        <v>4116</v>
      </c>
    </row>
    <row r="132" spans="1:8" s="2" customFormat="1" hidden="1" x14ac:dyDescent="0.25">
      <c r="A132" s="25"/>
      <c r="B132" s="19"/>
      <c r="C132" s="52"/>
      <c r="D132" s="53"/>
      <c r="E132" s="28"/>
      <c r="F132" s="29">
        <v>4116</v>
      </c>
    </row>
    <row r="133" spans="1:8" s="2" customFormat="1" hidden="1" x14ac:dyDescent="0.25">
      <c r="A133" s="25"/>
      <c r="B133" s="23"/>
      <c r="C133" s="52"/>
      <c r="D133" s="53"/>
      <c r="E133" s="28"/>
      <c r="F133" s="29">
        <v>4116</v>
      </c>
    </row>
    <row r="134" spans="1:8" x14ac:dyDescent="0.25">
      <c r="A134" s="50"/>
      <c r="B134" s="58"/>
      <c r="C134" s="46"/>
      <c r="D134" s="56"/>
      <c r="E134" s="60"/>
      <c r="F134" s="51"/>
      <c r="G134" s="2"/>
      <c r="H134" s="2"/>
    </row>
    <row r="135" spans="1:8" s="2" customFormat="1" x14ac:dyDescent="0.25">
      <c r="A135" s="25"/>
      <c r="B135" s="13" t="s">
        <v>38</v>
      </c>
      <c r="C135" s="30">
        <f>+C136</f>
        <v>0</v>
      </c>
      <c r="D135" s="31">
        <f>+D136</f>
        <v>600000</v>
      </c>
      <c r="E135" s="28"/>
      <c r="F135" s="29"/>
    </row>
    <row r="136" spans="1:8" s="2" customFormat="1" x14ac:dyDescent="0.25">
      <c r="A136" s="25">
        <v>42051</v>
      </c>
      <c r="B136" s="19" t="s">
        <v>39</v>
      </c>
      <c r="C136" s="179">
        <v>0</v>
      </c>
      <c r="D136" s="47">
        <v>600000</v>
      </c>
      <c r="E136" s="28">
        <v>22005</v>
      </c>
      <c r="F136" s="29" t="s">
        <v>18</v>
      </c>
      <c r="G136" s="2">
        <v>600000</v>
      </c>
    </row>
    <row r="137" spans="1:8" hidden="1" x14ac:dyDescent="0.25">
      <c r="A137" s="50"/>
      <c r="B137" s="61"/>
      <c r="C137" s="46"/>
      <c r="D137" s="56"/>
      <c r="E137" s="60"/>
      <c r="F137" s="51"/>
      <c r="G137" s="2"/>
      <c r="H137" s="2"/>
    </row>
    <row r="138" spans="1:8" s="2" customFormat="1" hidden="1" x14ac:dyDescent="0.25">
      <c r="A138" s="25"/>
      <c r="B138" s="13" t="s">
        <v>40</v>
      </c>
      <c r="C138" s="30">
        <f>SUM(C139:C151)</f>
        <v>0</v>
      </c>
      <c r="D138" s="31">
        <f>SUM(D139:D151)</f>
        <v>0</v>
      </c>
      <c r="E138" s="28"/>
      <c r="F138" s="29"/>
    </row>
    <row r="139" spans="1:8" s="2" customFormat="1" hidden="1" x14ac:dyDescent="0.25">
      <c r="A139" s="25"/>
      <c r="B139" s="24"/>
      <c r="C139" s="46"/>
      <c r="D139" s="47"/>
      <c r="E139" s="28"/>
      <c r="F139" s="29">
        <v>4116</v>
      </c>
    </row>
    <row r="140" spans="1:8" s="2" customFormat="1" hidden="1" x14ac:dyDescent="0.25">
      <c r="A140" s="25"/>
      <c r="B140" s="24"/>
      <c r="C140" s="46"/>
      <c r="D140" s="47"/>
      <c r="E140" s="28"/>
      <c r="F140" s="29">
        <v>4116</v>
      </c>
    </row>
    <row r="141" spans="1:8" s="2" customFormat="1" hidden="1" x14ac:dyDescent="0.25">
      <c r="A141" s="25"/>
      <c r="B141" s="24"/>
      <c r="C141" s="46"/>
      <c r="D141" s="47"/>
      <c r="E141" s="28"/>
      <c r="F141" s="29">
        <v>4116</v>
      </c>
    </row>
    <row r="142" spans="1:8" s="2" customFormat="1" hidden="1" x14ac:dyDescent="0.25">
      <c r="A142" s="25"/>
      <c r="B142" s="24"/>
      <c r="C142" s="46"/>
      <c r="D142" s="47"/>
      <c r="E142" s="28"/>
      <c r="F142" s="29">
        <v>4116</v>
      </c>
    </row>
    <row r="143" spans="1:8" s="2" customFormat="1" hidden="1" x14ac:dyDescent="0.25">
      <c r="A143" s="25"/>
      <c r="B143" s="24"/>
      <c r="C143" s="46"/>
      <c r="D143" s="47"/>
      <c r="E143" s="28"/>
      <c r="F143" s="29">
        <v>4116</v>
      </c>
    </row>
    <row r="144" spans="1:8" s="2" customFormat="1" hidden="1" x14ac:dyDescent="0.25">
      <c r="A144" s="25"/>
      <c r="B144" s="24"/>
      <c r="C144" s="46"/>
      <c r="D144" s="47"/>
      <c r="E144" s="28"/>
      <c r="F144" s="29">
        <v>4116</v>
      </c>
    </row>
    <row r="145" spans="1:6" s="2" customFormat="1" hidden="1" x14ac:dyDescent="0.25">
      <c r="A145" s="25"/>
      <c r="B145" s="24"/>
      <c r="C145" s="46"/>
      <c r="D145" s="47"/>
      <c r="E145" s="28"/>
      <c r="F145" s="29">
        <v>4116</v>
      </c>
    </row>
    <row r="146" spans="1:6" s="2" customFormat="1" hidden="1" x14ac:dyDescent="0.25">
      <c r="A146" s="25"/>
      <c r="B146" s="24"/>
      <c r="C146" s="46"/>
      <c r="D146" s="47"/>
      <c r="E146" s="28"/>
      <c r="F146" s="29">
        <v>4116</v>
      </c>
    </row>
    <row r="147" spans="1:6" s="2" customFormat="1" hidden="1" x14ac:dyDescent="0.25">
      <c r="A147" s="25"/>
      <c r="B147" s="24"/>
      <c r="C147" s="46"/>
      <c r="D147" s="47"/>
      <c r="E147" s="28"/>
      <c r="F147" s="29">
        <v>4116</v>
      </c>
    </row>
    <row r="148" spans="1:6" s="2" customFormat="1" hidden="1" x14ac:dyDescent="0.25">
      <c r="A148" s="25"/>
      <c r="B148" s="24"/>
      <c r="C148" s="46"/>
      <c r="D148" s="47"/>
      <c r="E148" s="28"/>
      <c r="F148" s="29">
        <v>4116</v>
      </c>
    </row>
    <row r="149" spans="1:6" s="2" customFormat="1" hidden="1" x14ac:dyDescent="0.25">
      <c r="A149" s="25"/>
      <c r="B149" s="24"/>
      <c r="C149" s="46"/>
      <c r="D149" s="47"/>
      <c r="E149" s="28"/>
      <c r="F149" s="29">
        <v>4116</v>
      </c>
    </row>
    <row r="150" spans="1:6" s="2" customFormat="1" hidden="1" x14ac:dyDescent="0.25">
      <c r="A150" s="25"/>
      <c r="B150" s="24"/>
      <c r="C150" s="46"/>
      <c r="D150" s="47"/>
      <c r="E150" s="28"/>
      <c r="F150" s="29">
        <v>4116</v>
      </c>
    </row>
    <row r="151" spans="1:6" s="2" customFormat="1" hidden="1" x14ac:dyDescent="0.25">
      <c r="A151" s="25"/>
      <c r="B151" s="24"/>
      <c r="C151" s="116"/>
      <c r="D151" s="47"/>
      <c r="E151" s="28"/>
      <c r="F151" s="29"/>
    </row>
    <row r="152" spans="1:6" s="2" customFormat="1" hidden="1" x14ac:dyDescent="0.25">
      <c r="A152" s="25"/>
      <c r="B152" s="19"/>
      <c r="C152" s="116"/>
      <c r="D152" s="47"/>
      <c r="E152" s="28"/>
      <c r="F152" s="48"/>
    </row>
    <row r="153" spans="1:6" s="2" customFormat="1" hidden="1" x14ac:dyDescent="0.25">
      <c r="A153" s="25"/>
      <c r="B153" s="13" t="s">
        <v>41</v>
      </c>
      <c r="C153" s="30">
        <f>+SUM(C154:C168)</f>
        <v>0</v>
      </c>
      <c r="D153" s="30">
        <f>+SUM(D154:D168)</f>
        <v>0</v>
      </c>
      <c r="E153" s="28"/>
      <c r="F153" s="48"/>
    </row>
    <row r="154" spans="1:6" s="2" customFormat="1" hidden="1" x14ac:dyDescent="0.25">
      <c r="A154" s="25"/>
      <c r="B154" s="24" t="s">
        <v>93</v>
      </c>
      <c r="C154" s="46"/>
      <c r="D154" s="47"/>
      <c r="E154" s="28">
        <v>35019</v>
      </c>
      <c r="F154" s="48">
        <v>4116</v>
      </c>
    </row>
    <row r="155" spans="1:6" s="2" customFormat="1" hidden="1" x14ac:dyDescent="0.25">
      <c r="A155" s="25"/>
      <c r="B155" s="24" t="s">
        <v>94</v>
      </c>
      <c r="C155" s="46"/>
      <c r="D155" s="47"/>
      <c r="E155" s="28">
        <v>35019</v>
      </c>
      <c r="F155" s="48">
        <v>4116</v>
      </c>
    </row>
    <row r="156" spans="1:6" s="2" customFormat="1" hidden="1" x14ac:dyDescent="0.25">
      <c r="A156" s="25"/>
      <c r="B156" s="24" t="s">
        <v>95</v>
      </c>
      <c r="C156" s="46"/>
      <c r="D156" s="47"/>
      <c r="E156" s="28">
        <v>35019</v>
      </c>
      <c r="F156" s="48">
        <v>4116</v>
      </c>
    </row>
    <row r="157" spans="1:6" s="2" customFormat="1" hidden="1" x14ac:dyDescent="0.25">
      <c r="A157" s="25"/>
      <c r="B157" s="24" t="s">
        <v>96</v>
      </c>
      <c r="C157" s="46"/>
      <c r="D157" s="47"/>
      <c r="E157" s="28">
        <v>35019</v>
      </c>
      <c r="F157" s="48">
        <v>4116</v>
      </c>
    </row>
    <row r="158" spans="1:6" s="2" customFormat="1" hidden="1" x14ac:dyDescent="0.25">
      <c r="A158" s="25"/>
      <c r="B158" s="24" t="s">
        <v>93</v>
      </c>
      <c r="C158" s="46"/>
      <c r="D158" s="47"/>
      <c r="E158" s="28">
        <v>35019</v>
      </c>
      <c r="F158" s="48">
        <v>4116</v>
      </c>
    </row>
    <row r="159" spans="1:6" s="2" customFormat="1" hidden="1" x14ac:dyDescent="0.25">
      <c r="A159" s="25"/>
      <c r="B159" s="24" t="s">
        <v>95</v>
      </c>
      <c r="C159" s="46"/>
      <c r="D159" s="47"/>
      <c r="E159" s="28">
        <v>35019</v>
      </c>
      <c r="F159" s="48">
        <v>4116</v>
      </c>
    </row>
    <row r="160" spans="1:6" s="2" customFormat="1" hidden="1" x14ac:dyDescent="0.25">
      <c r="A160" s="25"/>
      <c r="B160" s="24" t="s">
        <v>93</v>
      </c>
      <c r="C160" s="46"/>
      <c r="D160" s="47"/>
      <c r="E160" s="28">
        <v>35019</v>
      </c>
      <c r="F160" s="48">
        <v>4116</v>
      </c>
    </row>
    <row r="161" spans="1:6" s="2" customFormat="1" hidden="1" x14ac:dyDescent="0.25">
      <c r="A161" s="25"/>
      <c r="B161" s="24" t="s">
        <v>94</v>
      </c>
      <c r="C161" s="46"/>
      <c r="D161" s="47"/>
      <c r="E161" s="28">
        <v>35019</v>
      </c>
      <c r="F161" s="48">
        <v>4116</v>
      </c>
    </row>
    <row r="162" spans="1:6" s="2" customFormat="1" hidden="1" x14ac:dyDescent="0.25">
      <c r="A162" s="25"/>
      <c r="B162" s="24" t="s">
        <v>95</v>
      </c>
      <c r="C162" s="46"/>
      <c r="D162" s="47"/>
      <c r="E162" s="28">
        <v>35019</v>
      </c>
      <c r="F162" s="48">
        <v>4116</v>
      </c>
    </row>
    <row r="163" spans="1:6" s="2" customFormat="1" hidden="1" x14ac:dyDescent="0.25">
      <c r="A163" s="25"/>
      <c r="B163" s="24" t="s">
        <v>96</v>
      </c>
      <c r="C163" s="46"/>
      <c r="D163" s="47"/>
      <c r="E163" s="28">
        <v>35019</v>
      </c>
      <c r="F163" s="48">
        <v>4116</v>
      </c>
    </row>
    <row r="164" spans="1:6" s="2" customFormat="1" hidden="1" x14ac:dyDescent="0.25">
      <c r="A164" s="25"/>
      <c r="B164" s="24" t="s">
        <v>93</v>
      </c>
      <c r="C164" s="46"/>
      <c r="D164" s="47"/>
      <c r="E164" s="28">
        <v>35019</v>
      </c>
      <c r="F164" s="48">
        <v>4116</v>
      </c>
    </row>
    <row r="165" spans="1:6" s="2" customFormat="1" hidden="1" x14ac:dyDescent="0.25">
      <c r="A165" s="25"/>
      <c r="B165" s="24" t="s">
        <v>95</v>
      </c>
      <c r="C165" s="46"/>
      <c r="D165" s="47"/>
      <c r="E165" s="28">
        <v>35019</v>
      </c>
      <c r="F165" s="48">
        <v>4116</v>
      </c>
    </row>
    <row r="166" spans="1:6" s="2" customFormat="1" hidden="1" x14ac:dyDescent="0.25">
      <c r="A166" s="25"/>
      <c r="B166" s="24" t="s">
        <v>95</v>
      </c>
      <c r="C166" s="46"/>
      <c r="D166" s="47"/>
      <c r="E166" s="28">
        <v>35019</v>
      </c>
      <c r="F166" s="48">
        <v>4116</v>
      </c>
    </row>
    <row r="167" spans="1:6" s="2" customFormat="1" hidden="1" x14ac:dyDescent="0.25">
      <c r="A167" s="25"/>
      <c r="B167" s="24" t="s">
        <v>92</v>
      </c>
      <c r="C167" s="46"/>
      <c r="D167" s="47"/>
      <c r="E167" s="28">
        <v>35019</v>
      </c>
      <c r="F167" s="48">
        <v>4116</v>
      </c>
    </row>
    <row r="168" spans="1:6" s="2" customFormat="1" hidden="1" x14ac:dyDescent="0.25">
      <c r="A168" s="25"/>
      <c r="B168" s="24" t="s">
        <v>100</v>
      </c>
      <c r="C168" s="46"/>
      <c r="D168" s="47"/>
      <c r="E168" s="28">
        <v>35015</v>
      </c>
      <c r="F168" s="48">
        <v>4116</v>
      </c>
    </row>
    <row r="169" spans="1:6" s="2" customFormat="1" hidden="1" x14ac:dyDescent="0.25">
      <c r="A169" s="25"/>
      <c r="B169" s="24"/>
      <c r="C169" s="116"/>
      <c r="D169" s="47"/>
      <c r="E169" s="28"/>
      <c r="F169" s="48"/>
    </row>
    <row r="170" spans="1:6" s="2" customFormat="1" hidden="1" x14ac:dyDescent="0.25">
      <c r="A170" s="25"/>
      <c r="B170" s="13" t="s">
        <v>42</v>
      </c>
      <c r="C170" s="30">
        <f>+SUM(C171:C177)</f>
        <v>0</v>
      </c>
      <c r="D170" s="30">
        <f>+SUM(D171:D177)</f>
        <v>0</v>
      </c>
      <c r="E170" s="28"/>
      <c r="F170" s="48"/>
    </row>
    <row r="171" spans="1:6" s="2" customFormat="1" hidden="1" x14ac:dyDescent="0.25">
      <c r="A171" s="25"/>
      <c r="B171" s="24" t="s">
        <v>43</v>
      </c>
      <c r="C171" s="46"/>
      <c r="D171" s="47"/>
      <c r="E171" s="28">
        <v>29008</v>
      </c>
      <c r="F171" s="48">
        <v>4116</v>
      </c>
    </row>
    <row r="172" spans="1:6" s="2" customFormat="1" hidden="1" x14ac:dyDescent="0.25">
      <c r="A172" s="25"/>
      <c r="B172" s="24" t="s">
        <v>43</v>
      </c>
      <c r="C172" s="46"/>
      <c r="D172" s="47"/>
      <c r="E172" s="28">
        <v>29008</v>
      </c>
      <c r="F172" s="48">
        <v>4116</v>
      </c>
    </row>
    <row r="173" spans="1:6" s="2" customFormat="1" hidden="1" x14ac:dyDescent="0.25">
      <c r="A173" s="25"/>
      <c r="B173" s="24" t="s">
        <v>44</v>
      </c>
      <c r="C173" s="46"/>
      <c r="D173" s="47"/>
      <c r="E173" s="28">
        <v>29004</v>
      </c>
      <c r="F173" s="48">
        <v>4116</v>
      </c>
    </row>
    <row r="174" spans="1:6" s="2" customFormat="1" hidden="1" x14ac:dyDescent="0.25">
      <c r="A174" s="25"/>
      <c r="B174" s="24"/>
      <c r="C174" s="46"/>
      <c r="D174" s="47"/>
      <c r="E174" s="28"/>
      <c r="F174" s="48">
        <v>4116</v>
      </c>
    </row>
    <row r="175" spans="1:6" s="2" customFormat="1" hidden="1" x14ac:dyDescent="0.25">
      <c r="A175" s="25"/>
      <c r="B175" s="24"/>
      <c r="C175" s="46"/>
      <c r="D175" s="47"/>
      <c r="E175" s="28"/>
      <c r="F175" s="48">
        <v>4116</v>
      </c>
    </row>
    <row r="176" spans="1:6" s="2" customFormat="1" hidden="1" x14ac:dyDescent="0.25">
      <c r="A176" s="25"/>
      <c r="B176" s="24"/>
      <c r="C176" s="46"/>
      <c r="D176" s="47"/>
      <c r="E176" s="28"/>
      <c r="F176" s="48">
        <v>4116</v>
      </c>
    </row>
    <row r="177" spans="1:6" s="2" customFormat="1" hidden="1" x14ac:dyDescent="0.25">
      <c r="A177" s="25"/>
      <c r="B177" s="24"/>
      <c r="C177" s="116"/>
      <c r="D177" s="47"/>
      <c r="E177" s="28"/>
      <c r="F177" s="48"/>
    </row>
    <row r="178" spans="1:6" s="2" customFormat="1" hidden="1" x14ac:dyDescent="0.25">
      <c r="A178" s="25"/>
      <c r="B178" s="13" t="s">
        <v>45</v>
      </c>
      <c r="C178" s="30">
        <f>+SUM(C179:C204)</f>
        <v>0</v>
      </c>
      <c r="D178" s="31">
        <f>+SUM(D179:D204)</f>
        <v>0</v>
      </c>
      <c r="E178" s="28"/>
      <c r="F178" s="48"/>
    </row>
    <row r="179" spans="1:6" s="2" customFormat="1" hidden="1" x14ac:dyDescent="0.25">
      <c r="A179" s="25"/>
      <c r="B179" s="24"/>
      <c r="C179" s="46"/>
      <c r="D179" s="47"/>
      <c r="E179" s="28"/>
      <c r="F179" s="48">
        <v>4116</v>
      </c>
    </row>
    <row r="180" spans="1:6" s="2" customFormat="1" hidden="1" x14ac:dyDescent="0.25">
      <c r="A180" s="25"/>
      <c r="B180" s="24"/>
      <c r="C180" s="46"/>
      <c r="D180" s="47"/>
      <c r="E180" s="28"/>
      <c r="F180" s="48">
        <v>4116</v>
      </c>
    </row>
    <row r="181" spans="1:6" s="2" customFormat="1" hidden="1" x14ac:dyDescent="0.25">
      <c r="A181" s="25"/>
      <c r="B181" s="24"/>
      <c r="C181" s="46"/>
      <c r="D181" s="47"/>
      <c r="E181" s="28"/>
      <c r="F181" s="48">
        <v>4116</v>
      </c>
    </row>
    <row r="182" spans="1:6" s="2" customFormat="1" hidden="1" x14ac:dyDescent="0.25">
      <c r="A182" s="25"/>
      <c r="B182" s="24"/>
      <c r="C182" s="46"/>
      <c r="D182" s="47"/>
      <c r="E182" s="28"/>
      <c r="F182" s="48">
        <v>4116</v>
      </c>
    </row>
    <row r="183" spans="1:6" s="2" customFormat="1" hidden="1" x14ac:dyDescent="0.25">
      <c r="A183" s="25"/>
      <c r="B183" s="24"/>
      <c r="C183" s="46"/>
      <c r="D183" s="47"/>
      <c r="E183" s="28"/>
      <c r="F183" s="48">
        <v>4116</v>
      </c>
    </row>
    <row r="184" spans="1:6" s="2" customFormat="1" hidden="1" x14ac:dyDescent="0.25">
      <c r="A184" s="25"/>
      <c r="B184" s="24"/>
      <c r="C184" s="46"/>
      <c r="D184" s="47"/>
      <c r="E184" s="28"/>
      <c r="F184" s="48">
        <v>4116</v>
      </c>
    </row>
    <row r="185" spans="1:6" s="2" customFormat="1" hidden="1" x14ac:dyDescent="0.25">
      <c r="A185" s="12"/>
      <c r="B185" s="24"/>
      <c r="C185" s="46"/>
      <c r="D185" s="47"/>
      <c r="E185" s="28"/>
      <c r="F185" s="48">
        <v>4116</v>
      </c>
    </row>
    <row r="186" spans="1:6" s="2" customFormat="1" hidden="1" x14ac:dyDescent="0.25">
      <c r="A186" s="12"/>
      <c r="B186" s="24"/>
      <c r="C186" s="46"/>
      <c r="D186" s="47"/>
      <c r="E186" s="28"/>
      <c r="F186" s="48">
        <v>4116</v>
      </c>
    </row>
    <row r="187" spans="1:6" s="2" customFormat="1" hidden="1" x14ac:dyDescent="0.25">
      <c r="A187" s="12"/>
      <c r="B187" s="24"/>
      <c r="C187" s="46"/>
      <c r="D187" s="47"/>
      <c r="E187" s="28"/>
      <c r="F187" s="48">
        <v>4116</v>
      </c>
    </row>
    <row r="188" spans="1:6" s="2" customFormat="1" hidden="1" x14ac:dyDescent="0.25">
      <c r="A188" s="12"/>
      <c r="B188" s="24"/>
      <c r="C188" s="46"/>
      <c r="D188" s="47"/>
      <c r="E188" s="28"/>
      <c r="F188" s="48">
        <v>4116</v>
      </c>
    </row>
    <row r="189" spans="1:6" s="2" customFormat="1" hidden="1" x14ac:dyDescent="0.25">
      <c r="A189" s="12"/>
      <c r="B189" s="24"/>
      <c r="C189" s="46"/>
      <c r="D189" s="47"/>
      <c r="E189" s="28"/>
      <c r="F189" s="48">
        <v>4116</v>
      </c>
    </row>
    <row r="190" spans="1:6" s="2" customFormat="1" hidden="1" x14ac:dyDescent="0.25">
      <c r="A190" s="25"/>
      <c r="B190" s="24"/>
      <c r="C190" s="46"/>
      <c r="D190" s="47"/>
      <c r="E190" s="28"/>
      <c r="F190" s="48">
        <v>4116</v>
      </c>
    </row>
    <row r="191" spans="1:6" s="2" customFormat="1" hidden="1" x14ac:dyDescent="0.25">
      <c r="A191" s="25"/>
      <c r="B191" s="24"/>
      <c r="C191" s="46"/>
      <c r="D191" s="47"/>
      <c r="E191" s="28"/>
      <c r="F191" s="48">
        <v>4116</v>
      </c>
    </row>
    <row r="192" spans="1:6" s="2" customFormat="1" hidden="1" x14ac:dyDescent="0.25">
      <c r="A192" s="25"/>
      <c r="B192" s="24"/>
      <c r="C192" s="46"/>
      <c r="D192" s="47"/>
      <c r="E192" s="28"/>
      <c r="F192" s="48">
        <v>4116</v>
      </c>
    </row>
    <row r="193" spans="1:8" s="2" customFormat="1" hidden="1" x14ac:dyDescent="0.25">
      <c r="A193" s="25"/>
      <c r="B193" s="24"/>
      <c r="C193" s="46"/>
      <c r="D193" s="47"/>
      <c r="E193" s="28"/>
      <c r="F193" s="48">
        <v>4116</v>
      </c>
    </row>
    <row r="194" spans="1:8" s="2" customFormat="1" hidden="1" x14ac:dyDescent="0.25">
      <c r="A194" s="25"/>
      <c r="B194" s="24"/>
      <c r="C194" s="47"/>
      <c r="D194" s="47"/>
      <c r="E194" s="28"/>
      <c r="F194" s="48">
        <v>4116</v>
      </c>
    </row>
    <row r="195" spans="1:8" s="2" customFormat="1" hidden="1" x14ac:dyDescent="0.25">
      <c r="A195" s="25"/>
      <c r="B195" s="24"/>
      <c r="C195" s="47"/>
      <c r="D195" s="47"/>
      <c r="E195" s="28"/>
      <c r="F195" s="48">
        <v>4116</v>
      </c>
    </row>
    <row r="196" spans="1:8" s="2" customFormat="1" hidden="1" x14ac:dyDescent="0.25">
      <c r="A196" s="25"/>
      <c r="B196" s="24"/>
      <c r="C196" s="47"/>
      <c r="D196" s="47"/>
      <c r="E196" s="28"/>
      <c r="F196" s="48">
        <v>4116</v>
      </c>
    </row>
    <row r="197" spans="1:8" s="2" customFormat="1" hidden="1" x14ac:dyDescent="0.25">
      <c r="A197" s="25"/>
      <c r="B197" s="24"/>
      <c r="C197" s="47"/>
      <c r="D197" s="47"/>
      <c r="E197" s="28"/>
      <c r="F197" s="48">
        <v>4116</v>
      </c>
    </row>
    <row r="198" spans="1:8" s="2" customFormat="1" hidden="1" x14ac:dyDescent="0.25">
      <c r="A198" s="25"/>
      <c r="B198" s="24"/>
      <c r="C198" s="47"/>
      <c r="D198" s="47"/>
      <c r="E198" s="28"/>
      <c r="F198" s="48">
        <v>4116</v>
      </c>
    </row>
    <row r="199" spans="1:8" s="2" customFormat="1" hidden="1" x14ac:dyDescent="0.25">
      <c r="A199" s="25"/>
      <c r="B199" s="24"/>
      <c r="C199" s="47"/>
      <c r="D199" s="47"/>
      <c r="E199" s="28"/>
      <c r="F199" s="48">
        <v>4116</v>
      </c>
    </row>
    <row r="200" spans="1:8" s="2" customFormat="1" hidden="1" x14ac:dyDescent="0.25">
      <c r="A200" s="25"/>
      <c r="B200" s="24"/>
      <c r="C200" s="47"/>
      <c r="D200" s="47"/>
      <c r="E200" s="28"/>
      <c r="F200" s="48">
        <v>4116</v>
      </c>
    </row>
    <row r="201" spans="1:8" s="2" customFormat="1" hidden="1" x14ac:dyDescent="0.25">
      <c r="A201" s="25"/>
      <c r="B201" s="24"/>
      <c r="C201" s="47"/>
      <c r="D201" s="47"/>
      <c r="E201" s="28"/>
      <c r="F201" s="48">
        <v>4116</v>
      </c>
    </row>
    <row r="202" spans="1:8" s="2" customFormat="1" hidden="1" x14ac:dyDescent="0.25">
      <c r="A202" s="25"/>
      <c r="B202" s="24"/>
      <c r="C202" s="46"/>
      <c r="D202" s="47"/>
      <c r="E202" s="28"/>
      <c r="F202" s="48">
        <v>4116</v>
      </c>
    </row>
    <row r="203" spans="1:8" s="2" customFormat="1" hidden="1" x14ac:dyDescent="0.25">
      <c r="A203" s="12"/>
      <c r="B203" s="24"/>
      <c r="C203" s="46"/>
      <c r="D203" s="47"/>
      <c r="E203" s="28"/>
      <c r="F203" s="48">
        <v>4116</v>
      </c>
    </row>
    <row r="204" spans="1:8" s="2" customFormat="1" hidden="1" x14ac:dyDescent="0.25">
      <c r="A204" s="12"/>
      <c r="B204" s="23"/>
      <c r="C204" s="47"/>
      <c r="D204" s="47"/>
      <c r="E204" s="28"/>
      <c r="F204" s="48"/>
    </row>
    <row r="205" spans="1:8" s="2" customFormat="1" hidden="1" x14ac:dyDescent="0.25">
      <c r="A205" s="25"/>
      <c r="B205" s="30" t="s">
        <v>46</v>
      </c>
      <c r="C205" s="30">
        <f>+SUM(C206:C207)</f>
        <v>0</v>
      </c>
      <c r="D205" s="31">
        <f>+SUM(D206:D207)</f>
        <v>0</v>
      </c>
      <c r="E205" s="28"/>
      <c r="F205" s="48"/>
    </row>
    <row r="206" spans="1:8" hidden="1" x14ac:dyDescent="0.25">
      <c r="A206" s="25"/>
      <c r="B206" s="24"/>
      <c r="C206" s="46"/>
      <c r="D206" s="47"/>
      <c r="E206" s="60"/>
      <c r="F206" s="48" t="s">
        <v>47</v>
      </c>
      <c r="G206" s="2"/>
      <c r="H206" s="2"/>
    </row>
    <row r="207" spans="1:8" hidden="1" x14ac:dyDescent="0.25">
      <c r="A207" s="25"/>
      <c r="B207" s="24"/>
      <c r="C207" s="46"/>
      <c r="D207" s="47"/>
      <c r="E207" s="60"/>
      <c r="F207" s="48"/>
      <c r="G207" s="2"/>
      <c r="H207" s="2"/>
    </row>
    <row r="208" spans="1:8" x14ac:dyDescent="0.25">
      <c r="A208" s="25"/>
      <c r="B208" s="44"/>
      <c r="C208" s="46"/>
      <c r="D208" s="47"/>
      <c r="E208" s="60"/>
      <c r="F208" s="48"/>
      <c r="G208" s="2"/>
      <c r="H208" s="2"/>
    </row>
    <row r="209" spans="1:7" s="2" customFormat="1" x14ac:dyDescent="0.25">
      <c r="A209" s="25"/>
      <c r="B209" s="13" t="s">
        <v>48</v>
      </c>
      <c r="C209" s="27">
        <f>SUM(C210:C320)</f>
        <v>0</v>
      </c>
      <c r="D209" s="27">
        <f>SUM(D210:D320)</f>
        <v>1020382.33</v>
      </c>
      <c r="E209" s="28"/>
      <c r="F209" s="22"/>
    </row>
    <row r="210" spans="1:7" s="2" customFormat="1" x14ac:dyDescent="0.25">
      <c r="A210" s="25">
        <v>42046</v>
      </c>
      <c r="B210" s="24" t="s">
        <v>104</v>
      </c>
      <c r="C210" s="176">
        <v>0</v>
      </c>
      <c r="D210" s="55">
        <v>345496.86</v>
      </c>
      <c r="E210" s="28">
        <v>33030</v>
      </c>
      <c r="F210" s="48" t="s">
        <v>49</v>
      </c>
      <c r="G210" s="2">
        <v>345.49686000000003</v>
      </c>
    </row>
    <row r="211" spans="1:7" s="2" customFormat="1" hidden="1" x14ac:dyDescent="0.25">
      <c r="A211" s="25"/>
      <c r="B211" s="24"/>
      <c r="C211" s="53"/>
      <c r="D211" s="55"/>
      <c r="E211" s="28"/>
      <c r="F211" s="48" t="s">
        <v>49</v>
      </c>
    </row>
    <row r="212" spans="1:7" s="2" customFormat="1" hidden="1" x14ac:dyDescent="0.25">
      <c r="A212" s="25"/>
      <c r="B212" s="24"/>
      <c r="C212" s="53"/>
      <c r="D212" s="55"/>
      <c r="E212" s="28"/>
      <c r="F212" s="48">
        <v>4122</v>
      </c>
    </row>
    <row r="213" spans="1:7" s="2" customFormat="1" hidden="1" x14ac:dyDescent="0.25">
      <c r="A213" s="25"/>
      <c r="B213" s="24"/>
      <c r="C213" s="55"/>
      <c r="D213" s="55"/>
      <c r="E213" s="28"/>
      <c r="F213" s="48">
        <v>4122</v>
      </c>
    </row>
    <row r="214" spans="1:7" s="2" customFormat="1" hidden="1" x14ac:dyDescent="0.25">
      <c r="A214" s="25"/>
      <c r="B214" s="24"/>
      <c r="C214" s="55"/>
      <c r="D214" s="55"/>
      <c r="E214" s="28"/>
      <c r="F214" s="48">
        <v>4122</v>
      </c>
    </row>
    <row r="215" spans="1:7" s="2" customFormat="1" hidden="1" x14ac:dyDescent="0.25">
      <c r="A215" s="25"/>
      <c r="B215" s="24"/>
      <c r="C215" s="52"/>
      <c r="D215" s="55"/>
      <c r="E215" s="28"/>
      <c r="F215" s="48">
        <v>4122</v>
      </c>
    </row>
    <row r="216" spans="1:7" s="2" customFormat="1" hidden="1" x14ac:dyDescent="0.25">
      <c r="A216" s="25"/>
      <c r="B216" s="24"/>
      <c r="C216" s="52"/>
      <c r="D216" s="55"/>
      <c r="E216" s="28"/>
      <c r="F216" s="48">
        <v>4122</v>
      </c>
    </row>
    <row r="217" spans="1:7" s="2" customFormat="1" hidden="1" x14ac:dyDescent="0.25">
      <c r="A217" s="25"/>
      <c r="B217" s="24"/>
      <c r="C217" s="52"/>
      <c r="D217" s="55"/>
      <c r="E217" s="28"/>
      <c r="F217" s="48">
        <v>4122</v>
      </c>
    </row>
    <row r="218" spans="1:7" s="2" customFormat="1" hidden="1" x14ac:dyDescent="0.25">
      <c r="A218" s="25"/>
      <c r="B218" s="24"/>
      <c r="C218" s="52"/>
      <c r="D218" s="55"/>
      <c r="E218" s="28"/>
      <c r="F218" s="48">
        <v>4122</v>
      </c>
    </row>
    <row r="219" spans="1:7" s="2" customFormat="1" hidden="1" x14ac:dyDescent="0.25">
      <c r="A219" s="25"/>
      <c r="B219" s="24"/>
      <c r="C219" s="52"/>
      <c r="D219" s="55"/>
      <c r="E219" s="28"/>
      <c r="F219" s="48">
        <v>4122</v>
      </c>
    </row>
    <row r="220" spans="1:7" s="2" customFormat="1" hidden="1" x14ac:dyDescent="0.25">
      <c r="A220" s="25"/>
      <c r="B220" s="24"/>
      <c r="C220" s="52"/>
      <c r="D220" s="55"/>
      <c r="E220" s="28"/>
      <c r="F220" s="48">
        <v>4122</v>
      </c>
    </row>
    <row r="221" spans="1:7" s="2" customFormat="1" hidden="1" x14ac:dyDescent="0.25">
      <c r="A221" s="25"/>
      <c r="B221" s="24"/>
      <c r="C221" s="52"/>
      <c r="D221" s="55"/>
      <c r="E221" s="28"/>
      <c r="F221" s="48">
        <v>4122</v>
      </c>
    </row>
    <row r="222" spans="1:7" s="2" customFormat="1" hidden="1" x14ac:dyDescent="0.25">
      <c r="A222" s="25"/>
      <c r="B222" s="24"/>
      <c r="C222" s="52"/>
      <c r="D222" s="55"/>
      <c r="E222" s="28"/>
      <c r="F222" s="48">
        <v>4122</v>
      </c>
    </row>
    <row r="223" spans="1:7" s="2" customFormat="1" hidden="1" x14ac:dyDescent="0.25">
      <c r="A223" s="25"/>
      <c r="B223" s="24"/>
      <c r="C223" s="52"/>
      <c r="D223" s="55"/>
      <c r="E223" s="28"/>
      <c r="F223" s="48">
        <v>4122</v>
      </c>
    </row>
    <row r="224" spans="1:7" s="2" customFormat="1" hidden="1" x14ac:dyDescent="0.25">
      <c r="A224" s="25"/>
      <c r="B224" s="24"/>
      <c r="C224" s="52"/>
      <c r="D224" s="55"/>
      <c r="E224" s="28"/>
      <c r="F224" s="48">
        <v>4122</v>
      </c>
    </row>
    <row r="225" spans="1:6" s="2" customFormat="1" hidden="1" x14ac:dyDescent="0.25">
      <c r="A225" s="25"/>
      <c r="B225" s="24"/>
      <c r="C225" s="52"/>
      <c r="D225" s="55"/>
      <c r="E225" s="28"/>
      <c r="F225" s="48">
        <v>4122</v>
      </c>
    </row>
    <row r="226" spans="1:6" s="2" customFormat="1" hidden="1" x14ac:dyDescent="0.25">
      <c r="A226" s="25"/>
      <c r="B226" s="24"/>
      <c r="C226" s="52"/>
      <c r="D226" s="55"/>
      <c r="E226" s="28"/>
      <c r="F226" s="48">
        <v>4122</v>
      </c>
    </row>
    <row r="227" spans="1:6" s="2" customFormat="1" hidden="1" x14ac:dyDescent="0.25">
      <c r="A227" s="25"/>
      <c r="B227" s="24"/>
      <c r="C227" s="52"/>
      <c r="D227" s="55"/>
      <c r="E227" s="28"/>
      <c r="F227" s="48">
        <v>4122</v>
      </c>
    </row>
    <row r="228" spans="1:6" s="2" customFormat="1" hidden="1" x14ac:dyDescent="0.25">
      <c r="A228" s="25"/>
      <c r="B228" s="24"/>
      <c r="C228" s="52"/>
      <c r="D228" s="55"/>
      <c r="E228" s="28"/>
      <c r="F228" s="48">
        <v>4122</v>
      </c>
    </row>
    <row r="229" spans="1:6" s="2" customFormat="1" hidden="1" x14ac:dyDescent="0.25">
      <c r="A229" s="25"/>
      <c r="B229" s="24"/>
      <c r="C229" s="52"/>
      <c r="D229" s="55"/>
      <c r="E229" s="28"/>
      <c r="F229" s="48">
        <v>4122</v>
      </c>
    </row>
    <row r="230" spans="1:6" s="2" customFormat="1" hidden="1" x14ac:dyDescent="0.25">
      <c r="A230" s="25"/>
      <c r="B230" s="24"/>
      <c r="C230" s="52"/>
      <c r="D230" s="55"/>
      <c r="E230" s="28"/>
      <c r="F230" s="48">
        <v>4122</v>
      </c>
    </row>
    <row r="231" spans="1:6" s="2" customFormat="1" hidden="1" x14ac:dyDescent="0.25">
      <c r="A231" s="25"/>
      <c r="B231" s="24"/>
      <c r="C231" s="52"/>
      <c r="D231" s="55"/>
      <c r="E231" s="28"/>
      <c r="F231" s="48">
        <v>4122</v>
      </c>
    </row>
    <row r="232" spans="1:6" s="2" customFormat="1" hidden="1" x14ac:dyDescent="0.25">
      <c r="A232" s="25"/>
      <c r="B232" s="24"/>
      <c r="C232" s="52"/>
      <c r="D232" s="55"/>
      <c r="E232" s="28"/>
      <c r="F232" s="48">
        <v>4122</v>
      </c>
    </row>
    <row r="233" spans="1:6" s="2" customFormat="1" hidden="1" x14ac:dyDescent="0.25">
      <c r="A233" s="25"/>
      <c r="B233" s="24"/>
      <c r="C233" s="52"/>
      <c r="D233" s="55"/>
      <c r="E233" s="28"/>
      <c r="F233" s="48">
        <v>4122</v>
      </c>
    </row>
    <row r="234" spans="1:6" s="2" customFormat="1" hidden="1" x14ac:dyDescent="0.25">
      <c r="A234" s="25"/>
      <c r="B234" s="24"/>
      <c r="C234" s="52"/>
      <c r="D234" s="55"/>
      <c r="E234" s="28"/>
      <c r="F234" s="48">
        <v>4122</v>
      </c>
    </row>
    <row r="235" spans="1:6" s="2" customFormat="1" hidden="1" x14ac:dyDescent="0.25">
      <c r="A235" s="25"/>
      <c r="B235" s="24"/>
      <c r="C235" s="52"/>
      <c r="D235" s="55"/>
      <c r="E235" s="28"/>
      <c r="F235" s="48">
        <v>4122</v>
      </c>
    </row>
    <row r="236" spans="1:6" s="2" customFormat="1" hidden="1" x14ac:dyDescent="0.25">
      <c r="A236" s="25"/>
      <c r="B236" s="24"/>
      <c r="C236" s="52"/>
      <c r="D236" s="55"/>
      <c r="E236" s="28"/>
      <c r="F236" s="48">
        <v>4122</v>
      </c>
    </row>
    <row r="237" spans="1:6" s="2" customFormat="1" hidden="1" x14ac:dyDescent="0.25">
      <c r="A237" s="25"/>
      <c r="B237" s="24"/>
      <c r="C237" s="52"/>
      <c r="D237" s="55"/>
      <c r="E237" s="28"/>
      <c r="F237" s="48">
        <v>4122</v>
      </c>
    </row>
    <row r="238" spans="1:6" s="2" customFormat="1" hidden="1" x14ac:dyDescent="0.25">
      <c r="A238" s="25"/>
      <c r="B238" s="24"/>
      <c r="C238" s="52"/>
      <c r="D238" s="55"/>
      <c r="E238" s="28"/>
      <c r="F238" s="48">
        <v>4122</v>
      </c>
    </row>
    <row r="239" spans="1:6" s="2" customFormat="1" hidden="1" x14ac:dyDescent="0.25">
      <c r="A239" s="25"/>
      <c r="B239" s="24"/>
      <c r="C239" s="52"/>
      <c r="D239" s="55"/>
      <c r="E239" s="28"/>
      <c r="F239" s="48">
        <v>4122</v>
      </c>
    </row>
    <row r="240" spans="1:6" s="2" customFormat="1" hidden="1" x14ac:dyDescent="0.25">
      <c r="A240" s="25"/>
      <c r="B240" s="24"/>
      <c r="C240" s="52"/>
      <c r="D240" s="55"/>
      <c r="E240" s="28"/>
      <c r="F240" s="48">
        <v>4122</v>
      </c>
    </row>
    <row r="241" spans="1:6" s="2" customFormat="1" hidden="1" x14ac:dyDescent="0.25">
      <c r="A241" s="25"/>
      <c r="B241" s="24"/>
      <c r="C241" s="52"/>
      <c r="D241" s="55"/>
      <c r="E241" s="28"/>
      <c r="F241" s="48">
        <v>4122</v>
      </c>
    </row>
    <row r="242" spans="1:6" s="2" customFormat="1" hidden="1" x14ac:dyDescent="0.25">
      <c r="A242" s="25"/>
      <c r="B242" s="24"/>
      <c r="C242" s="52"/>
      <c r="D242" s="55"/>
      <c r="E242" s="28"/>
      <c r="F242" s="48">
        <v>4122</v>
      </c>
    </row>
    <row r="243" spans="1:6" s="2" customFormat="1" hidden="1" x14ac:dyDescent="0.25">
      <c r="A243" s="25"/>
      <c r="B243" s="24"/>
      <c r="C243" s="52"/>
      <c r="D243" s="55"/>
      <c r="E243" s="28"/>
      <c r="F243" s="48">
        <v>4122</v>
      </c>
    </row>
    <row r="244" spans="1:6" s="2" customFormat="1" hidden="1" x14ac:dyDescent="0.25">
      <c r="A244" s="25"/>
      <c r="B244" s="24"/>
      <c r="C244" s="52"/>
      <c r="D244" s="55"/>
      <c r="E244" s="28"/>
      <c r="F244" s="48">
        <v>4122</v>
      </c>
    </row>
    <row r="245" spans="1:6" s="2" customFormat="1" hidden="1" x14ac:dyDescent="0.25">
      <c r="A245" s="25"/>
      <c r="B245" s="24"/>
      <c r="C245" s="52"/>
      <c r="D245" s="55"/>
      <c r="E245" s="28"/>
      <c r="F245" s="48">
        <v>4122</v>
      </c>
    </row>
    <row r="246" spans="1:6" s="2" customFormat="1" hidden="1" x14ac:dyDescent="0.25">
      <c r="A246" s="25"/>
      <c r="B246" s="24"/>
      <c r="C246" s="52"/>
      <c r="D246" s="55"/>
      <c r="E246" s="28"/>
      <c r="F246" s="48">
        <v>4122</v>
      </c>
    </row>
    <row r="247" spans="1:6" s="2" customFormat="1" hidden="1" x14ac:dyDescent="0.25">
      <c r="A247" s="25"/>
      <c r="B247" s="24"/>
      <c r="C247" s="52"/>
      <c r="D247" s="55"/>
      <c r="E247" s="28"/>
      <c r="F247" s="48">
        <v>4122</v>
      </c>
    </row>
    <row r="248" spans="1:6" s="2" customFormat="1" hidden="1" x14ac:dyDescent="0.25">
      <c r="A248" s="25"/>
      <c r="B248" s="24"/>
      <c r="C248" s="52"/>
      <c r="D248" s="55"/>
      <c r="E248" s="28"/>
      <c r="F248" s="48">
        <v>4122</v>
      </c>
    </row>
    <row r="249" spans="1:6" s="2" customFormat="1" hidden="1" x14ac:dyDescent="0.25">
      <c r="A249" s="25"/>
      <c r="B249" s="24"/>
      <c r="C249" s="52"/>
      <c r="D249" s="55"/>
      <c r="E249" s="28"/>
      <c r="F249" s="48">
        <v>4122</v>
      </c>
    </row>
    <row r="250" spans="1:6" s="2" customFormat="1" hidden="1" x14ac:dyDescent="0.25">
      <c r="A250" s="25"/>
      <c r="B250" s="24"/>
      <c r="C250" s="52"/>
      <c r="D250" s="55"/>
      <c r="E250" s="28"/>
      <c r="F250" s="48">
        <v>4122</v>
      </c>
    </row>
    <row r="251" spans="1:6" s="2" customFormat="1" hidden="1" x14ac:dyDescent="0.25">
      <c r="A251" s="25"/>
      <c r="B251" s="24"/>
      <c r="C251" s="52"/>
      <c r="D251" s="55"/>
      <c r="E251" s="28"/>
      <c r="F251" s="48">
        <v>4122</v>
      </c>
    </row>
    <row r="252" spans="1:6" s="2" customFormat="1" hidden="1" x14ac:dyDescent="0.25">
      <c r="A252" s="25"/>
      <c r="B252" s="24"/>
      <c r="C252" s="52"/>
      <c r="D252" s="55"/>
      <c r="E252" s="28"/>
      <c r="F252" s="48">
        <v>4122</v>
      </c>
    </row>
    <row r="253" spans="1:6" s="2" customFormat="1" hidden="1" x14ac:dyDescent="0.25">
      <c r="A253" s="25"/>
      <c r="B253" s="24"/>
      <c r="C253" s="52"/>
      <c r="D253" s="55"/>
      <c r="E253" s="28"/>
      <c r="F253" s="48">
        <v>4122</v>
      </c>
    </row>
    <row r="254" spans="1:6" s="2" customFormat="1" hidden="1" x14ac:dyDescent="0.25">
      <c r="A254" s="25"/>
      <c r="B254" s="24"/>
      <c r="C254" s="52"/>
      <c r="D254" s="55"/>
      <c r="E254" s="28"/>
      <c r="F254" s="48">
        <v>4122</v>
      </c>
    </row>
    <row r="255" spans="1:6" s="2" customFormat="1" hidden="1" x14ac:dyDescent="0.25">
      <c r="A255" s="25"/>
      <c r="B255" s="24"/>
      <c r="C255" s="52"/>
      <c r="D255" s="55"/>
      <c r="E255" s="28"/>
      <c r="F255" s="48">
        <v>4122</v>
      </c>
    </row>
    <row r="256" spans="1:6" s="2" customFormat="1" hidden="1" x14ac:dyDescent="0.25">
      <c r="A256" s="25"/>
      <c r="B256" s="24"/>
      <c r="C256" s="52"/>
      <c r="D256" s="55"/>
      <c r="E256" s="28"/>
      <c r="F256" s="48">
        <v>4122</v>
      </c>
    </row>
    <row r="257" spans="1:7" s="2" customFormat="1" hidden="1" x14ac:dyDescent="0.25">
      <c r="A257" s="25"/>
      <c r="B257" s="24"/>
      <c r="C257" s="55"/>
      <c r="D257" s="55"/>
      <c r="E257" s="28"/>
      <c r="F257" s="48">
        <v>4122</v>
      </c>
    </row>
    <row r="258" spans="1:7" s="2" customFormat="1" hidden="1" x14ac:dyDescent="0.25">
      <c r="A258" s="25"/>
      <c r="B258" s="24"/>
      <c r="C258" s="55"/>
      <c r="D258" s="55"/>
      <c r="E258" s="28"/>
      <c r="F258" s="48">
        <v>4122</v>
      </c>
    </row>
    <row r="259" spans="1:7" s="2" customFormat="1" hidden="1" x14ac:dyDescent="0.25">
      <c r="A259" s="25"/>
      <c r="B259" s="24"/>
      <c r="C259" s="55"/>
      <c r="D259" s="55"/>
      <c r="E259" s="28"/>
      <c r="F259" s="48">
        <v>4122</v>
      </c>
    </row>
    <row r="260" spans="1:7" s="2" customFormat="1" hidden="1" x14ac:dyDescent="0.25">
      <c r="A260" s="25"/>
      <c r="B260" s="24"/>
      <c r="C260" s="55"/>
      <c r="D260" s="55"/>
      <c r="E260" s="28"/>
      <c r="F260" s="48">
        <v>4122</v>
      </c>
    </row>
    <row r="261" spans="1:7" s="2" customFormat="1" hidden="1" x14ac:dyDescent="0.25">
      <c r="A261" s="25"/>
      <c r="B261" s="24"/>
      <c r="C261" s="55"/>
      <c r="D261" s="55"/>
      <c r="E261" s="28"/>
      <c r="F261" s="48">
        <v>4122</v>
      </c>
    </row>
    <row r="262" spans="1:7" s="2" customFormat="1" hidden="1" x14ac:dyDescent="0.25">
      <c r="A262" s="25"/>
      <c r="B262" s="24"/>
      <c r="C262" s="55"/>
      <c r="D262" s="55"/>
      <c r="E262" s="28"/>
      <c r="F262" s="48">
        <v>4122</v>
      </c>
    </row>
    <row r="263" spans="1:7" s="2" customFormat="1" hidden="1" x14ac:dyDescent="0.25">
      <c r="A263" s="25"/>
      <c r="B263" s="24"/>
      <c r="C263" s="55"/>
      <c r="D263" s="55"/>
      <c r="E263" s="28"/>
      <c r="F263" s="48">
        <v>4122</v>
      </c>
    </row>
    <row r="264" spans="1:7" s="2" customFormat="1" hidden="1" x14ac:dyDescent="0.25">
      <c r="A264" s="25"/>
      <c r="B264" s="24"/>
      <c r="C264" s="55"/>
      <c r="D264" s="55"/>
      <c r="E264" s="28"/>
      <c r="F264" s="48">
        <v>4122</v>
      </c>
    </row>
    <row r="265" spans="1:7" s="2" customFormat="1" hidden="1" x14ac:dyDescent="0.25">
      <c r="A265" s="25"/>
      <c r="B265" s="24"/>
      <c r="C265" s="52"/>
      <c r="D265" s="55"/>
      <c r="E265" s="28"/>
      <c r="F265" s="48">
        <v>4122</v>
      </c>
    </row>
    <row r="266" spans="1:7" s="2" customFormat="1" hidden="1" x14ac:dyDescent="0.25">
      <c r="A266" s="25"/>
      <c r="B266" s="24"/>
      <c r="C266" s="52"/>
      <c r="D266" s="55"/>
      <c r="E266" s="28"/>
      <c r="F266" s="48">
        <v>4122</v>
      </c>
    </row>
    <row r="267" spans="1:7" s="2" customFormat="1" hidden="1" x14ac:dyDescent="0.25">
      <c r="A267" s="25"/>
      <c r="B267" s="24"/>
      <c r="C267" s="52"/>
      <c r="D267" s="55"/>
      <c r="E267" s="28"/>
      <c r="F267" s="48">
        <v>4122</v>
      </c>
    </row>
    <row r="268" spans="1:7" s="2" customFormat="1" hidden="1" x14ac:dyDescent="0.25">
      <c r="A268" s="25"/>
      <c r="B268" s="24"/>
      <c r="C268" s="52"/>
      <c r="D268" s="55"/>
      <c r="E268" s="28"/>
      <c r="F268" s="48">
        <v>4122</v>
      </c>
    </row>
    <row r="269" spans="1:7" s="2" customFormat="1" hidden="1" x14ac:dyDescent="0.25">
      <c r="A269" s="25"/>
      <c r="B269" s="24"/>
      <c r="C269" s="52"/>
      <c r="D269" s="55"/>
      <c r="E269" s="22"/>
      <c r="F269" s="48">
        <v>4122</v>
      </c>
    </row>
    <row r="270" spans="1:7" s="2" customFormat="1" hidden="1" x14ac:dyDescent="0.25">
      <c r="A270" s="25"/>
      <c r="B270" s="24"/>
      <c r="C270" s="52"/>
      <c r="D270" s="55"/>
      <c r="E270" s="22"/>
      <c r="F270" s="48">
        <v>4122</v>
      </c>
    </row>
    <row r="271" spans="1:7" s="2" customFormat="1" hidden="1" x14ac:dyDescent="0.25">
      <c r="A271" s="25"/>
      <c r="B271" s="24"/>
      <c r="C271" s="52"/>
      <c r="D271" s="55"/>
      <c r="E271" s="22"/>
      <c r="F271" s="48">
        <v>4122</v>
      </c>
    </row>
    <row r="272" spans="1:7" s="2" customFormat="1" x14ac:dyDescent="0.25">
      <c r="A272" s="25"/>
      <c r="B272" s="24" t="s">
        <v>69</v>
      </c>
      <c r="C272" s="175">
        <v>0</v>
      </c>
      <c r="D272" s="55">
        <v>674885.47</v>
      </c>
      <c r="E272" s="22">
        <v>33030</v>
      </c>
      <c r="F272" s="48">
        <v>4122</v>
      </c>
      <c r="G272" s="2">
        <v>674.88547000000005</v>
      </c>
    </row>
    <row r="273" spans="1:8" s="2" customFormat="1" hidden="1" x14ac:dyDescent="0.25">
      <c r="A273" s="25"/>
      <c r="B273" s="24"/>
      <c r="C273" s="52"/>
      <c r="D273" s="55"/>
      <c r="E273" s="22"/>
      <c r="F273" s="48">
        <v>4122</v>
      </c>
    </row>
    <row r="274" spans="1:8" s="2" customFormat="1" hidden="1" x14ac:dyDescent="0.25">
      <c r="A274" s="25"/>
      <c r="B274" s="24"/>
      <c r="C274" s="52"/>
      <c r="D274" s="55"/>
      <c r="E274" s="22"/>
      <c r="F274" s="48">
        <v>4122</v>
      </c>
    </row>
    <row r="275" spans="1:8" s="2" customFormat="1" hidden="1" x14ac:dyDescent="0.25">
      <c r="A275" s="25"/>
      <c r="B275" s="24"/>
      <c r="C275" s="52"/>
      <c r="D275" s="55"/>
      <c r="E275" s="22"/>
      <c r="F275" s="48">
        <v>4122</v>
      </c>
    </row>
    <row r="276" spans="1:8" s="2" customFormat="1" hidden="1" x14ac:dyDescent="0.25">
      <c r="A276" s="25"/>
      <c r="B276" s="24"/>
      <c r="C276" s="52"/>
      <c r="D276" s="55"/>
      <c r="E276" s="22"/>
      <c r="F276" s="48">
        <v>4122</v>
      </c>
    </row>
    <row r="277" spans="1:8" s="2" customFormat="1" hidden="1" x14ac:dyDescent="0.25">
      <c r="A277" s="25"/>
      <c r="B277" s="24"/>
      <c r="C277" s="52"/>
      <c r="D277" s="55"/>
      <c r="E277" s="22"/>
      <c r="F277" s="48">
        <v>4122</v>
      </c>
    </row>
    <row r="278" spans="1:8" s="2" customFormat="1" hidden="1" x14ac:dyDescent="0.25">
      <c r="A278" s="25"/>
      <c r="B278" s="24"/>
      <c r="C278" s="52"/>
      <c r="D278" s="55"/>
      <c r="E278" s="22"/>
      <c r="F278" s="48">
        <v>4122</v>
      </c>
      <c r="H278" s="1"/>
    </row>
    <row r="279" spans="1:8" s="2" customFormat="1" hidden="1" x14ac:dyDescent="0.25">
      <c r="A279" s="25"/>
      <c r="B279" s="24"/>
      <c r="C279" s="52"/>
      <c r="D279" s="55"/>
      <c r="E279" s="22"/>
      <c r="F279" s="48">
        <v>4122</v>
      </c>
      <c r="H279" s="1"/>
    </row>
    <row r="280" spans="1:8" s="2" customFormat="1" hidden="1" x14ac:dyDescent="0.25">
      <c r="A280" s="25"/>
      <c r="B280" s="24"/>
      <c r="C280" s="52"/>
      <c r="D280" s="55"/>
      <c r="E280" s="22"/>
      <c r="F280" s="48">
        <v>4122</v>
      </c>
      <c r="H280" s="1"/>
    </row>
    <row r="281" spans="1:8" s="2" customFormat="1" hidden="1" x14ac:dyDescent="0.25">
      <c r="A281" s="25"/>
      <c r="B281" s="24"/>
      <c r="C281" s="52"/>
      <c r="D281" s="55"/>
      <c r="E281" s="22"/>
      <c r="F281" s="48">
        <v>4122</v>
      </c>
      <c r="H281" s="1"/>
    </row>
    <row r="282" spans="1:8" s="2" customFormat="1" hidden="1" x14ac:dyDescent="0.25">
      <c r="A282" s="25"/>
      <c r="B282" s="24"/>
      <c r="C282" s="52"/>
      <c r="D282" s="55"/>
      <c r="E282" s="22"/>
      <c r="F282" s="48">
        <v>4122</v>
      </c>
      <c r="H282" s="1"/>
    </row>
    <row r="283" spans="1:8" s="2" customFormat="1" hidden="1" x14ac:dyDescent="0.25">
      <c r="A283" s="25"/>
      <c r="B283" s="24"/>
      <c r="C283" s="52"/>
      <c r="D283" s="55"/>
      <c r="E283" s="22"/>
      <c r="F283" s="48">
        <v>4122</v>
      </c>
      <c r="H283" s="1"/>
    </row>
    <row r="284" spans="1:8" s="2" customFormat="1" hidden="1" x14ac:dyDescent="0.25">
      <c r="A284" s="25"/>
      <c r="B284" s="24"/>
      <c r="C284" s="52"/>
      <c r="D284" s="55"/>
      <c r="E284" s="22"/>
      <c r="F284" s="48">
        <v>4122</v>
      </c>
      <c r="H284" s="1"/>
    </row>
    <row r="285" spans="1:8" s="2" customFormat="1" hidden="1" x14ac:dyDescent="0.25">
      <c r="A285" s="25"/>
      <c r="B285" s="24"/>
      <c r="C285" s="52"/>
      <c r="D285" s="55"/>
      <c r="E285" s="22"/>
      <c r="F285" s="48">
        <v>4122</v>
      </c>
      <c r="H285" s="1"/>
    </row>
    <row r="286" spans="1:8" s="2" customFormat="1" hidden="1" x14ac:dyDescent="0.25">
      <c r="A286" s="25"/>
      <c r="B286" s="24"/>
      <c r="C286" s="52"/>
      <c r="D286" s="55"/>
      <c r="E286" s="22"/>
      <c r="F286" s="48">
        <v>4122</v>
      </c>
      <c r="H286" s="1"/>
    </row>
    <row r="287" spans="1:8" s="2" customFormat="1" hidden="1" x14ac:dyDescent="0.25">
      <c r="A287" s="25"/>
      <c r="B287" s="24"/>
      <c r="C287" s="52"/>
      <c r="D287" s="55"/>
      <c r="E287" s="22"/>
      <c r="F287" s="48">
        <v>4122</v>
      </c>
      <c r="H287" s="1"/>
    </row>
    <row r="288" spans="1:8" s="2" customFormat="1" hidden="1" x14ac:dyDescent="0.25">
      <c r="A288" s="25"/>
      <c r="B288" s="24"/>
      <c r="C288" s="52"/>
      <c r="D288" s="55"/>
      <c r="E288" s="22"/>
      <c r="F288" s="48">
        <v>4122</v>
      </c>
      <c r="H288" s="1"/>
    </row>
    <row r="289" spans="1:8" s="2" customFormat="1" hidden="1" x14ac:dyDescent="0.25">
      <c r="A289" s="25"/>
      <c r="B289" s="24"/>
      <c r="C289" s="52"/>
      <c r="D289" s="55"/>
      <c r="E289" s="22"/>
      <c r="F289" s="48">
        <v>4122</v>
      </c>
      <c r="H289" s="1"/>
    </row>
    <row r="290" spans="1:8" s="2" customFormat="1" hidden="1" x14ac:dyDescent="0.25">
      <c r="A290" s="25"/>
      <c r="B290" s="24"/>
      <c r="C290" s="52"/>
      <c r="D290" s="55"/>
      <c r="E290" s="22"/>
      <c r="F290" s="48">
        <v>4122</v>
      </c>
      <c r="H290" s="1"/>
    </row>
    <row r="291" spans="1:8" s="2" customFormat="1" hidden="1" x14ac:dyDescent="0.25">
      <c r="A291" s="25"/>
      <c r="B291" s="24"/>
      <c r="C291" s="52"/>
      <c r="D291" s="55"/>
      <c r="E291" s="22"/>
      <c r="F291" s="48">
        <v>4122</v>
      </c>
      <c r="H291" s="1"/>
    </row>
    <row r="292" spans="1:8" s="2" customFormat="1" hidden="1" x14ac:dyDescent="0.25">
      <c r="A292" s="25"/>
      <c r="B292" s="24"/>
      <c r="C292" s="52"/>
      <c r="D292" s="55"/>
      <c r="E292" s="22"/>
      <c r="F292" s="48">
        <v>4122</v>
      </c>
      <c r="H292" s="1"/>
    </row>
    <row r="293" spans="1:8" s="2" customFormat="1" hidden="1" x14ac:dyDescent="0.25">
      <c r="A293" s="25"/>
      <c r="B293" s="24"/>
      <c r="C293" s="52"/>
      <c r="D293" s="55"/>
      <c r="E293" s="22"/>
      <c r="F293" s="48">
        <v>4122</v>
      </c>
      <c r="H293" s="1"/>
    </row>
    <row r="294" spans="1:8" s="2" customFormat="1" hidden="1" x14ac:dyDescent="0.25">
      <c r="A294" s="25"/>
      <c r="B294" s="24"/>
      <c r="C294" s="52"/>
      <c r="D294" s="55"/>
      <c r="E294" s="22"/>
      <c r="F294" s="48">
        <v>4122</v>
      </c>
      <c r="H294" s="1"/>
    </row>
    <row r="295" spans="1:8" s="2" customFormat="1" hidden="1" x14ac:dyDescent="0.25">
      <c r="A295" s="25"/>
      <c r="B295" s="24"/>
      <c r="C295" s="52"/>
      <c r="D295" s="55"/>
      <c r="E295" s="22"/>
      <c r="F295" s="48">
        <v>4122</v>
      </c>
      <c r="H295" s="1"/>
    </row>
    <row r="296" spans="1:8" s="2" customFormat="1" hidden="1" x14ac:dyDescent="0.25">
      <c r="A296" s="25"/>
      <c r="B296" s="24"/>
      <c r="C296" s="52"/>
      <c r="D296" s="55"/>
      <c r="E296" s="22"/>
      <c r="F296" s="48">
        <v>4122</v>
      </c>
      <c r="H296" s="1"/>
    </row>
    <row r="297" spans="1:8" s="2" customFormat="1" hidden="1" x14ac:dyDescent="0.25">
      <c r="A297" s="25"/>
      <c r="B297" s="24"/>
      <c r="C297" s="52"/>
      <c r="D297" s="55"/>
      <c r="E297" s="22"/>
      <c r="F297" s="48">
        <v>4122</v>
      </c>
      <c r="H297" s="1"/>
    </row>
    <row r="298" spans="1:8" s="2" customFormat="1" hidden="1" x14ac:dyDescent="0.25">
      <c r="A298" s="25"/>
      <c r="B298" s="24"/>
      <c r="C298" s="52"/>
      <c r="D298" s="55"/>
      <c r="E298" s="22"/>
      <c r="F298" s="48">
        <v>4122</v>
      </c>
      <c r="H298" s="1"/>
    </row>
    <row r="299" spans="1:8" s="2" customFormat="1" hidden="1" x14ac:dyDescent="0.25">
      <c r="A299" s="25"/>
      <c r="B299" s="24"/>
      <c r="C299" s="52"/>
      <c r="D299" s="55"/>
      <c r="E299" s="22"/>
      <c r="F299" s="48">
        <v>4122</v>
      </c>
      <c r="H299" s="1"/>
    </row>
    <row r="300" spans="1:8" s="2" customFormat="1" hidden="1" x14ac:dyDescent="0.25">
      <c r="A300" s="25"/>
      <c r="B300" s="24"/>
      <c r="C300" s="52"/>
      <c r="D300" s="55"/>
      <c r="E300" s="22"/>
      <c r="F300" s="48">
        <v>4122</v>
      </c>
      <c r="H300" s="1"/>
    </row>
    <row r="301" spans="1:8" s="2" customFormat="1" hidden="1" x14ac:dyDescent="0.25">
      <c r="A301" s="25"/>
      <c r="B301" s="24"/>
      <c r="C301" s="52"/>
      <c r="D301" s="55"/>
      <c r="E301" s="22"/>
      <c r="F301" s="48">
        <v>4122</v>
      </c>
      <c r="H301" s="1"/>
    </row>
    <row r="302" spans="1:8" s="2" customFormat="1" hidden="1" x14ac:dyDescent="0.25">
      <c r="A302" s="25"/>
      <c r="B302" s="24"/>
      <c r="C302" s="52"/>
      <c r="D302" s="55"/>
      <c r="E302" s="22"/>
      <c r="F302" s="48">
        <v>4122</v>
      </c>
      <c r="H302" s="1"/>
    </row>
    <row r="303" spans="1:8" s="2" customFormat="1" hidden="1" x14ac:dyDescent="0.25">
      <c r="A303" s="25"/>
      <c r="B303" s="24"/>
      <c r="C303" s="52"/>
      <c r="D303" s="55"/>
      <c r="E303" s="22"/>
      <c r="F303" s="48">
        <v>4122</v>
      </c>
      <c r="H303" s="1"/>
    </row>
    <row r="304" spans="1:8" s="2" customFormat="1" hidden="1" x14ac:dyDescent="0.25">
      <c r="A304" s="25"/>
      <c r="B304" s="24"/>
      <c r="C304" s="52"/>
      <c r="D304" s="55"/>
      <c r="E304" s="22"/>
      <c r="F304" s="48">
        <v>4122</v>
      </c>
      <c r="H304" s="1"/>
    </row>
    <row r="305" spans="1:8" s="2" customFormat="1" hidden="1" x14ac:dyDescent="0.25">
      <c r="A305" s="25"/>
      <c r="B305" s="24"/>
      <c r="C305" s="52"/>
      <c r="D305" s="55"/>
      <c r="E305" s="22"/>
      <c r="F305" s="48">
        <v>4122</v>
      </c>
      <c r="H305" s="1"/>
    </row>
    <row r="306" spans="1:8" s="2" customFormat="1" hidden="1" x14ac:dyDescent="0.25">
      <c r="A306" s="25"/>
      <c r="B306" s="24"/>
      <c r="C306" s="55"/>
      <c r="D306" s="55"/>
      <c r="E306" s="28"/>
      <c r="F306" s="48">
        <v>4122</v>
      </c>
      <c r="H306" s="1"/>
    </row>
    <row r="307" spans="1:8" s="2" customFormat="1" hidden="1" x14ac:dyDescent="0.25">
      <c r="A307" s="25"/>
      <c r="B307" s="24"/>
      <c r="C307" s="55"/>
      <c r="D307" s="55"/>
      <c r="E307" s="28"/>
      <c r="F307" s="48">
        <v>4122</v>
      </c>
      <c r="H307" s="1"/>
    </row>
    <row r="308" spans="1:8" s="2" customFormat="1" hidden="1" x14ac:dyDescent="0.25">
      <c r="A308" s="25"/>
      <c r="B308" s="24"/>
      <c r="C308" s="55"/>
      <c r="D308" s="55"/>
      <c r="E308" s="28"/>
      <c r="F308" s="48">
        <v>4122</v>
      </c>
      <c r="H308" s="1"/>
    </row>
    <row r="309" spans="1:8" s="2" customFormat="1" hidden="1" x14ac:dyDescent="0.25">
      <c r="A309" s="25"/>
      <c r="B309" s="24"/>
      <c r="C309" s="55"/>
      <c r="D309" s="55"/>
      <c r="E309" s="28"/>
      <c r="F309" s="48">
        <v>4122</v>
      </c>
      <c r="H309" s="1"/>
    </row>
    <row r="310" spans="1:8" s="2" customFormat="1" hidden="1" x14ac:dyDescent="0.25">
      <c r="A310" s="25"/>
      <c r="B310" s="24"/>
      <c r="C310" s="55"/>
      <c r="D310" s="55"/>
      <c r="E310" s="28"/>
      <c r="F310" s="48">
        <v>4122</v>
      </c>
      <c r="H310" s="1"/>
    </row>
    <row r="311" spans="1:8" s="2" customFormat="1" hidden="1" x14ac:dyDescent="0.25">
      <c r="A311" s="25"/>
      <c r="B311" s="24"/>
      <c r="C311" s="55"/>
      <c r="D311" s="55"/>
      <c r="E311" s="28"/>
      <c r="F311" s="48">
        <v>4122</v>
      </c>
      <c r="H311" s="1"/>
    </row>
    <row r="312" spans="1:8" s="2" customFormat="1" hidden="1" x14ac:dyDescent="0.25">
      <c r="A312" s="25"/>
      <c r="B312" s="24"/>
      <c r="C312" s="55"/>
      <c r="D312" s="55"/>
      <c r="E312" s="28"/>
      <c r="F312" s="48">
        <v>4122</v>
      </c>
      <c r="H312" s="1"/>
    </row>
    <row r="313" spans="1:8" s="2" customFormat="1" hidden="1" x14ac:dyDescent="0.25">
      <c r="A313" s="25"/>
      <c r="B313" s="24"/>
      <c r="C313" s="55"/>
      <c r="D313" s="55"/>
      <c r="E313" s="28"/>
      <c r="F313" s="48">
        <v>4122</v>
      </c>
      <c r="H313" s="1"/>
    </row>
    <row r="314" spans="1:8" s="2" customFormat="1" hidden="1" x14ac:dyDescent="0.25">
      <c r="A314" s="25"/>
      <c r="B314" s="24"/>
      <c r="C314" s="55"/>
      <c r="D314" s="55"/>
      <c r="E314" s="28"/>
      <c r="F314" s="48">
        <v>4122</v>
      </c>
      <c r="H314" s="1"/>
    </row>
    <row r="315" spans="1:8" s="2" customFormat="1" hidden="1" x14ac:dyDescent="0.25">
      <c r="A315" s="25"/>
      <c r="B315" s="24"/>
      <c r="C315" s="55"/>
      <c r="D315" s="55"/>
      <c r="E315" s="28"/>
      <c r="F315" s="48">
        <v>4122</v>
      </c>
      <c r="H315" s="1"/>
    </row>
    <row r="316" spans="1:8" s="2" customFormat="1" hidden="1" x14ac:dyDescent="0.25">
      <c r="A316" s="25"/>
      <c r="B316" s="24"/>
      <c r="C316" s="55"/>
      <c r="D316" s="55"/>
      <c r="E316" s="28"/>
      <c r="F316" s="48">
        <v>4122</v>
      </c>
      <c r="H316" s="1"/>
    </row>
    <row r="317" spans="1:8" s="2" customFormat="1" hidden="1" x14ac:dyDescent="0.25">
      <c r="A317" s="25"/>
      <c r="B317" s="24"/>
      <c r="C317" s="55"/>
      <c r="D317" s="55"/>
      <c r="E317" s="28"/>
      <c r="F317" s="48">
        <v>4122</v>
      </c>
      <c r="H317" s="1"/>
    </row>
    <row r="318" spans="1:8" s="2" customFormat="1" hidden="1" x14ac:dyDescent="0.25">
      <c r="A318" s="25"/>
      <c r="B318" s="24"/>
      <c r="C318" s="55"/>
      <c r="D318" s="55"/>
      <c r="E318" s="28"/>
      <c r="F318" s="48">
        <v>4122</v>
      </c>
    </row>
    <row r="319" spans="1:8" s="2" customFormat="1" hidden="1" x14ac:dyDescent="0.25">
      <c r="A319" s="25"/>
      <c r="B319" s="24"/>
      <c r="C319" s="55"/>
      <c r="D319" s="55"/>
      <c r="E319" s="28"/>
      <c r="F319" s="48">
        <v>4122</v>
      </c>
    </row>
    <row r="320" spans="1:8" s="2" customFormat="1" hidden="1" x14ac:dyDescent="0.25">
      <c r="A320" s="25"/>
      <c r="B320" s="24"/>
      <c r="C320" s="55"/>
      <c r="D320" s="55"/>
      <c r="E320" s="28"/>
      <c r="F320" s="48">
        <v>4122</v>
      </c>
    </row>
    <row r="321" spans="1:8" s="2" customFormat="1" x14ac:dyDescent="0.25">
      <c r="A321" s="25"/>
      <c r="B321" s="24"/>
      <c r="C321" s="55"/>
      <c r="D321" s="55"/>
      <c r="E321" s="28"/>
      <c r="F321" s="29"/>
    </row>
    <row r="322" spans="1:8" s="2" customFormat="1" hidden="1" x14ac:dyDescent="0.25">
      <c r="A322" s="25"/>
      <c r="B322" s="30" t="s">
        <v>50</v>
      </c>
      <c r="C322" s="26">
        <f>SUM(C323:C327)</f>
        <v>0</v>
      </c>
      <c r="D322" s="27">
        <f>+SUM(D323:D327)</f>
        <v>0</v>
      </c>
      <c r="E322" s="28"/>
      <c r="F322" s="29"/>
    </row>
    <row r="323" spans="1:8" s="2" customFormat="1" hidden="1" x14ac:dyDescent="0.25">
      <c r="A323" s="12"/>
      <c r="B323" s="24"/>
      <c r="C323" s="52"/>
      <c r="D323" s="55"/>
      <c r="E323" s="22"/>
      <c r="F323" s="48">
        <v>4123</v>
      </c>
    </row>
    <row r="324" spans="1:8" s="2" customFormat="1" hidden="1" x14ac:dyDescent="0.25">
      <c r="A324" s="49"/>
      <c r="B324" s="24"/>
      <c r="C324" s="52"/>
      <c r="D324" s="55"/>
      <c r="E324" s="62"/>
      <c r="F324" s="48">
        <v>4123</v>
      </c>
    </row>
    <row r="325" spans="1:8" s="2" customFormat="1" hidden="1" x14ac:dyDescent="0.25">
      <c r="A325" s="49"/>
      <c r="B325" s="24"/>
      <c r="C325" s="52"/>
      <c r="D325" s="55"/>
      <c r="E325" s="62"/>
      <c r="F325" s="48">
        <v>4123</v>
      </c>
    </row>
    <row r="326" spans="1:8" s="2" customFormat="1" hidden="1" x14ac:dyDescent="0.25">
      <c r="A326" s="49"/>
      <c r="B326" s="24"/>
      <c r="C326" s="52"/>
      <c r="D326" s="55"/>
      <c r="E326" s="62"/>
      <c r="F326" s="48">
        <v>4123</v>
      </c>
    </row>
    <row r="327" spans="1:8" hidden="1" x14ac:dyDescent="0.25">
      <c r="A327" s="50"/>
      <c r="B327" s="64"/>
      <c r="C327" s="65"/>
      <c r="D327" s="56"/>
      <c r="E327" s="60"/>
      <c r="F327" s="48"/>
      <c r="G327" s="2"/>
      <c r="H327" s="2"/>
    </row>
    <row r="328" spans="1:8" s="2" customFormat="1" hidden="1" x14ac:dyDescent="0.25">
      <c r="A328" s="25"/>
      <c r="B328" s="66" t="s">
        <v>51</v>
      </c>
      <c r="C328" s="30">
        <f>+C329</f>
        <v>0</v>
      </c>
      <c r="D328" s="31">
        <f>+D329</f>
        <v>0</v>
      </c>
      <c r="E328" s="28"/>
      <c r="F328" s="29"/>
    </row>
    <row r="329" spans="1:8" s="45" customFormat="1" hidden="1" x14ac:dyDescent="0.25">
      <c r="A329" s="43"/>
      <c r="B329" s="44"/>
      <c r="C329" s="47"/>
      <c r="D329" s="47"/>
      <c r="E329" s="67"/>
      <c r="F329" s="68">
        <v>4151</v>
      </c>
      <c r="G329" s="2"/>
      <c r="H329" s="2"/>
    </row>
    <row r="330" spans="1:8" s="2" customFormat="1" hidden="1" x14ac:dyDescent="0.25">
      <c r="A330" s="25"/>
      <c r="B330" s="23"/>
      <c r="C330" s="46"/>
      <c r="D330" s="47"/>
      <c r="E330" s="28"/>
      <c r="F330" s="48"/>
    </row>
    <row r="331" spans="1:8" s="2" customFormat="1" hidden="1" x14ac:dyDescent="0.25">
      <c r="A331" s="25"/>
      <c r="B331" s="69" t="s">
        <v>52</v>
      </c>
      <c r="C331" s="30">
        <f>+SUM(C332:C335)</f>
        <v>0</v>
      </c>
      <c r="D331" s="31">
        <f>+SUM(D332:D335)</f>
        <v>0</v>
      </c>
      <c r="E331" s="28"/>
      <c r="F331" s="48"/>
    </row>
    <row r="332" spans="1:8" s="45" customFormat="1" hidden="1" x14ac:dyDescent="0.25">
      <c r="A332" s="43"/>
      <c r="B332" s="24"/>
      <c r="C332" s="53"/>
      <c r="D332" s="55"/>
      <c r="E332" s="67"/>
      <c r="F332" s="68">
        <v>4152</v>
      </c>
      <c r="G332" s="2"/>
      <c r="H332" s="2"/>
    </row>
    <row r="333" spans="1:8" s="45" customFormat="1" hidden="1" x14ac:dyDescent="0.25">
      <c r="A333" s="43"/>
      <c r="B333" s="24"/>
      <c r="C333" s="53"/>
      <c r="D333" s="55"/>
      <c r="E333" s="67"/>
      <c r="F333" s="68">
        <v>4152</v>
      </c>
      <c r="G333" s="2"/>
      <c r="H333" s="2"/>
    </row>
    <row r="334" spans="1:8" s="45" customFormat="1" hidden="1" x14ac:dyDescent="0.25">
      <c r="A334" s="43"/>
      <c r="B334" s="24"/>
      <c r="C334" s="53"/>
      <c r="D334" s="55"/>
      <c r="E334" s="67"/>
      <c r="F334" s="68">
        <v>4152</v>
      </c>
      <c r="G334" s="2"/>
      <c r="H334" s="2"/>
    </row>
    <row r="335" spans="1:8" s="45" customFormat="1" hidden="1" x14ac:dyDescent="0.25">
      <c r="A335" s="43"/>
      <c r="B335" s="24"/>
      <c r="C335" s="53"/>
      <c r="D335" s="55"/>
      <c r="E335" s="67"/>
      <c r="F335" s="68">
        <v>4152</v>
      </c>
      <c r="G335" s="2"/>
      <c r="H335" s="2"/>
    </row>
    <row r="336" spans="1:8" hidden="1" x14ac:dyDescent="0.25">
      <c r="A336" s="50"/>
      <c r="B336" s="24"/>
      <c r="C336" s="59"/>
      <c r="D336" s="55"/>
      <c r="E336" s="60"/>
      <c r="F336" s="63"/>
      <c r="G336" s="2"/>
      <c r="H336" s="2"/>
    </row>
    <row r="337" spans="1:6" s="2" customFormat="1" x14ac:dyDescent="0.25">
      <c r="A337" s="25"/>
      <c r="B337" s="70" t="s">
        <v>53</v>
      </c>
      <c r="C337" s="26">
        <f>+C331+C209+C138+C135+C114+C101+C36+C12+C7+C119+C328+C322+C205+C59+C153+C178+C18+C170+C32</f>
        <v>11600.74482</v>
      </c>
      <c r="D337" s="27">
        <f>+D331+D209+D138+D135+D114+D101+D36+D12+D7+D119+D328+D322+D205+D59+D153+D178+D18+D170+D32</f>
        <v>12473003.43</v>
      </c>
      <c r="E337" s="71"/>
      <c r="F337" s="22"/>
    </row>
    <row r="338" spans="1:6" s="2" customFormat="1" ht="16.5" thickBot="1" x14ac:dyDescent="0.3">
      <c r="A338" s="72"/>
      <c r="B338" s="73"/>
      <c r="C338" s="74"/>
      <c r="D338" s="75"/>
      <c r="E338" s="76"/>
      <c r="F338" s="77"/>
    </row>
    <row r="339" spans="1:6" s="2" customFormat="1" x14ac:dyDescent="0.25">
      <c r="A339" s="78"/>
      <c r="B339" s="7"/>
      <c r="C339" s="7"/>
      <c r="D339" s="79"/>
      <c r="E339" s="80"/>
      <c r="F339" s="80"/>
    </row>
    <row r="340" spans="1:6" s="2" customFormat="1" ht="16.5" thickBot="1" x14ac:dyDescent="0.3">
      <c r="A340" s="78"/>
      <c r="B340" s="7"/>
      <c r="C340" s="7"/>
      <c r="D340" s="79"/>
      <c r="E340" s="80"/>
      <c r="F340" s="80"/>
    </row>
    <row r="341" spans="1:6" s="2" customFormat="1" x14ac:dyDescent="0.25">
      <c r="A341" s="3"/>
      <c r="B341" s="4"/>
      <c r="C341" s="4"/>
      <c r="D341" s="5"/>
      <c r="E341" s="81"/>
      <c r="F341" s="81"/>
    </row>
    <row r="342" spans="1:6" s="2" customFormat="1" ht="16.5" thickBot="1" x14ac:dyDescent="0.3">
      <c r="A342" s="8" t="s">
        <v>1</v>
      </c>
      <c r="B342" s="9" t="s">
        <v>54</v>
      </c>
      <c r="C342" s="9" t="s">
        <v>3</v>
      </c>
      <c r="D342" s="10" t="s">
        <v>4</v>
      </c>
      <c r="E342" s="82" t="s">
        <v>5</v>
      </c>
      <c r="F342" s="82" t="s">
        <v>6</v>
      </c>
    </row>
    <row r="343" spans="1:6" s="2" customFormat="1" x14ac:dyDescent="0.25">
      <c r="A343" s="25"/>
      <c r="B343" s="13" t="s">
        <v>14</v>
      </c>
      <c r="C343" s="39">
        <f>+SUM(C344:C376)</f>
        <v>0</v>
      </c>
      <c r="D343" s="40">
        <f>+SUM(D344:D376)</f>
        <v>392034</v>
      </c>
      <c r="E343" s="48"/>
      <c r="F343" s="48"/>
    </row>
    <row r="344" spans="1:6" s="2" customFormat="1" hidden="1" x14ac:dyDescent="0.25">
      <c r="A344" s="25"/>
      <c r="B344" s="44"/>
      <c r="C344" s="53"/>
      <c r="D344" s="47"/>
      <c r="E344" s="48"/>
      <c r="F344" s="48">
        <v>4213</v>
      </c>
    </row>
    <row r="345" spans="1:6" s="2" customFormat="1" hidden="1" x14ac:dyDescent="0.25">
      <c r="A345" s="25"/>
      <c r="B345" s="44"/>
      <c r="C345" s="53"/>
      <c r="D345" s="21"/>
      <c r="E345" s="48"/>
      <c r="F345" s="48">
        <v>4213</v>
      </c>
    </row>
    <row r="346" spans="1:6" s="2" customFormat="1" hidden="1" x14ac:dyDescent="0.25">
      <c r="A346" s="25"/>
      <c r="B346" s="44"/>
      <c r="C346" s="53"/>
      <c r="D346" s="21"/>
      <c r="E346" s="48"/>
      <c r="F346" s="48">
        <v>4213</v>
      </c>
    </row>
    <row r="347" spans="1:6" s="2" customFormat="1" hidden="1" x14ac:dyDescent="0.25">
      <c r="A347" s="25"/>
      <c r="B347" s="44"/>
      <c r="C347" s="53"/>
      <c r="D347" s="21"/>
      <c r="E347" s="48"/>
      <c r="F347" s="48">
        <v>4213</v>
      </c>
    </row>
    <row r="348" spans="1:6" s="2" customFormat="1" hidden="1" x14ac:dyDescent="0.25">
      <c r="A348" s="25"/>
      <c r="B348" s="44"/>
      <c r="C348" s="53"/>
      <c r="D348" s="21"/>
      <c r="E348" s="48"/>
      <c r="F348" s="48">
        <v>4213</v>
      </c>
    </row>
    <row r="349" spans="1:6" s="2" customFormat="1" hidden="1" x14ac:dyDescent="0.25">
      <c r="A349" s="25"/>
      <c r="B349" s="44"/>
      <c r="C349" s="53"/>
      <c r="D349" s="20"/>
      <c r="E349" s="48"/>
      <c r="F349" s="48">
        <v>4213</v>
      </c>
    </row>
    <row r="350" spans="1:6" s="2" customFormat="1" hidden="1" x14ac:dyDescent="0.25">
      <c r="A350" s="25"/>
      <c r="B350" s="44"/>
      <c r="C350" s="53"/>
      <c r="D350" s="20"/>
      <c r="E350" s="48"/>
      <c r="F350" s="48">
        <v>4213</v>
      </c>
    </row>
    <row r="351" spans="1:6" s="2" customFormat="1" hidden="1" x14ac:dyDescent="0.25">
      <c r="A351" s="25"/>
      <c r="B351" s="44"/>
      <c r="C351" s="53"/>
      <c r="D351" s="20"/>
      <c r="E351" s="48"/>
      <c r="F351" s="48">
        <v>4213</v>
      </c>
    </row>
    <row r="352" spans="1:6" s="2" customFormat="1" hidden="1" x14ac:dyDescent="0.25">
      <c r="A352" s="25"/>
      <c r="B352" s="44"/>
      <c r="C352" s="53"/>
      <c r="D352" s="20"/>
      <c r="E352" s="48"/>
      <c r="F352" s="48">
        <v>4213</v>
      </c>
    </row>
    <row r="353" spans="1:6" s="2" customFormat="1" hidden="1" x14ac:dyDescent="0.25">
      <c r="A353" s="25"/>
      <c r="B353" s="44"/>
      <c r="C353" s="53"/>
      <c r="D353" s="20"/>
      <c r="E353" s="48"/>
      <c r="F353" s="48">
        <v>4213</v>
      </c>
    </row>
    <row r="354" spans="1:6" s="2" customFormat="1" hidden="1" x14ac:dyDescent="0.25">
      <c r="A354" s="25"/>
      <c r="B354" s="44"/>
      <c r="C354" s="53"/>
      <c r="D354" s="20"/>
      <c r="E354" s="48"/>
      <c r="F354" s="48">
        <v>4213</v>
      </c>
    </row>
    <row r="355" spans="1:6" s="2" customFormat="1" hidden="1" x14ac:dyDescent="0.25">
      <c r="A355" s="25"/>
      <c r="B355" s="44"/>
      <c r="C355" s="53"/>
      <c r="D355" s="20"/>
      <c r="E355" s="48"/>
      <c r="F355" s="48">
        <v>4213</v>
      </c>
    </row>
    <row r="356" spans="1:6" s="2" customFormat="1" hidden="1" x14ac:dyDescent="0.25">
      <c r="A356" s="25"/>
      <c r="B356" s="44"/>
      <c r="C356" s="53"/>
      <c r="D356" s="20"/>
      <c r="E356" s="48"/>
      <c r="F356" s="48">
        <v>4213</v>
      </c>
    </row>
    <row r="357" spans="1:6" s="2" customFormat="1" hidden="1" x14ac:dyDescent="0.25">
      <c r="A357" s="25"/>
      <c r="B357" s="44"/>
      <c r="C357" s="53"/>
      <c r="D357" s="20"/>
      <c r="E357" s="48"/>
      <c r="F357" s="48">
        <v>4213</v>
      </c>
    </row>
    <row r="358" spans="1:6" s="2" customFormat="1" hidden="1" x14ac:dyDescent="0.25">
      <c r="A358" s="25"/>
      <c r="B358" s="44"/>
      <c r="C358" s="53"/>
      <c r="D358" s="20"/>
      <c r="E358" s="48"/>
      <c r="F358" s="48">
        <v>4213</v>
      </c>
    </row>
    <row r="359" spans="1:6" s="2" customFormat="1" hidden="1" x14ac:dyDescent="0.25">
      <c r="A359" s="25"/>
      <c r="B359" s="44"/>
      <c r="C359" s="53"/>
      <c r="D359" s="20"/>
      <c r="E359" s="48"/>
      <c r="F359" s="48">
        <v>4213</v>
      </c>
    </row>
    <row r="360" spans="1:6" s="2" customFormat="1" hidden="1" x14ac:dyDescent="0.25">
      <c r="A360" s="25"/>
      <c r="B360" s="44"/>
      <c r="C360" s="53"/>
      <c r="D360" s="20"/>
      <c r="E360" s="48"/>
      <c r="F360" s="48">
        <v>4213</v>
      </c>
    </row>
    <row r="361" spans="1:6" s="2" customFormat="1" hidden="1" x14ac:dyDescent="0.25">
      <c r="A361" s="25"/>
      <c r="B361" s="44"/>
      <c r="C361" s="53"/>
      <c r="D361" s="20"/>
      <c r="E361" s="48"/>
      <c r="F361" s="48">
        <v>4213</v>
      </c>
    </row>
    <row r="362" spans="1:6" s="2" customFormat="1" hidden="1" x14ac:dyDescent="0.25">
      <c r="A362" s="25"/>
      <c r="B362" s="44"/>
      <c r="C362" s="20"/>
      <c r="D362" s="21"/>
      <c r="E362" s="48"/>
      <c r="F362" s="48">
        <v>4213</v>
      </c>
    </row>
    <row r="363" spans="1:6" s="2" customFormat="1" hidden="1" x14ac:dyDescent="0.25">
      <c r="A363" s="25"/>
      <c r="B363" s="24"/>
      <c r="C363" s="20"/>
      <c r="D363" s="21"/>
      <c r="E363" s="48"/>
      <c r="F363" s="48">
        <v>4213</v>
      </c>
    </row>
    <row r="364" spans="1:6" s="2" customFormat="1" hidden="1" x14ac:dyDescent="0.25">
      <c r="A364" s="25"/>
      <c r="B364" s="44"/>
      <c r="C364" s="20"/>
      <c r="D364" s="21"/>
      <c r="E364" s="48"/>
      <c r="F364" s="48">
        <v>4213</v>
      </c>
    </row>
    <row r="365" spans="1:6" s="2" customFormat="1" hidden="1" x14ac:dyDescent="0.25">
      <c r="A365" s="25"/>
      <c r="B365" s="44"/>
      <c r="C365" s="20"/>
      <c r="D365" s="21"/>
      <c r="E365" s="48"/>
      <c r="F365" s="48">
        <v>4213</v>
      </c>
    </row>
    <row r="366" spans="1:6" s="2" customFormat="1" hidden="1" x14ac:dyDescent="0.25">
      <c r="A366" s="25"/>
      <c r="B366" s="44"/>
      <c r="C366" s="20"/>
      <c r="D366" s="21"/>
      <c r="E366" s="48"/>
      <c r="F366" s="48">
        <v>4213</v>
      </c>
    </row>
    <row r="367" spans="1:6" s="2" customFormat="1" hidden="1" x14ac:dyDescent="0.25">
      <c r="A367" s="25"/>
      <c r="B367" s="44"/>
      <c r="C367" s="20"/>
      <c r="D367" s="21"/>
      <c r="E367" s="48"/>
      <c r="F367" s="48">
        <v>4213</v>
      </c>
    </row>
    <row r="368" spans="1:6" s="2" customFormat="1" hidden="1" x14ac:dyDescent="0.25">
      <c r="A368" s="25"/>
      <c r="B368" s="44"/>
      <c r="C368" s="20"/>
      <c r="D368" s="21"/>
      <c r="E368" s="48"/>
      <c r="F368" s="48">
        <v>4213</v>
      </c>
    </row>
    <row r="369" spans="1:6" s="2" customFormat="1" hidden="1" x14ac:dyDescent="0.25">
      <c r="A369" s="25"/>
      <c r="B369" s="44"/>
      <c r="C369" s="20"/>
      <c r="D369" s="21"/>
      <c r="E369" s="48"/>
      <c r="F369" s="48">
        <v>4213</v>
      </c>
    </row>
    <row r="370" spans="1:6" s="2" customFormat="1" hidden="1" x14ac:dyDescent="0.25">
      <c r="A370" s="25"/>
      <c r="B370" s="44"/>
      <c r="C370" s="20"/>
      <c r="D370" s="21"/>
      <c r="E370" s="48"/>
      <c r="F370" s="48">
        <v>4213</v>
      </c>
    </row>
    <row r="371" spans="1:6" s="2" customFormat="1" hidden="1" x14ac:dyDescent="0.25">
      <c r="A371" s="25"/>
      <c r="B371" s="44"/>
      <c r="C371" s="20"/>
      <c r="D371" s="21"/>
      <c r="E371" s="48"/>
      <c r="F371" s="48">
        <v>4213</v>
      </c>
    </row>
    <row r="372" spans="1:6" s="2" customFormat="1" x14ac:dyDescent="0.25">
      <c r="A372" s="25"/>
      <c r="B372" s="44" t="s">
        <v>110</v>
      </c>
      <c r="C372" s="20">
        <v>0</v>
      </c>
      <c r="D372" s="21">
        <v>392034</v>
      </c>
      <c r="E372" s="48">
        <v>90909</v>
      </c>
      <c r="F372" s="48">
        <v>4213</v>
      </c>
    </row>
    <row r="373" spans="1:6" s="2" customFormat="1" hidden="1" x14ac:dyDescent="0.25">
      <c r="A373" s="25"/>
      <c r="B373" s="44"/>
      <c r="C373" s="20"/>
      <c r="D373" s="21"/>
      <c r="E373" s="48"/>
      <c r="F373" s="48">
        <v>4213</v>
      </c>
    </row>
    <row r="374" spans="1:6" s="2" customFormat="1" hidden="1" x14ac:dyDescent="0.25">
      <c r="A374" s="25"/>
      <c r="B374" s="44"/>
      <c r="C374" s="20"/>
      <c r="D374" s="21"/>
      <c r="E374" s="48"/>
      <c r="F374" s="48">
        <v>4213</v>
      </c>
    </row>
    <row r="375" spans="1:6" s="2" customFormat="1" hidden="1" x14ac:dyDescent="0.25">
      <c r="A375" s="25"/>
      <c r="B375" s="44"/>
      <c r="C375" s="20"/>
      <c r="D375" s="21"/>
      <c r="E375" s="48"/>
      <c r="F375" s="48">
        <v>4213</v>
      </c>
    </row>
    <row r="376" spans="1:6" s="2" customFormat="1" hidden="1" x14ac:dyDescent="0.25">
      <c r="A376" s="25"/>
      <c r="B376" s="44"/>
      <c r="C376" s="20"/>
      <c r="D376" s="40"/>
      <c r="E376" s="48"/>
      <c r="F376" s="48"/>
    </row>
    <row r="377" spans="1:6" s="2" customFormat="1" hidden="1" x14ac:dyDescent="0.25">
      <c r="A377" s="25"/>
      <c r="B377" s="23"/>
      <c r="C377" s="20"/>
      <c r="D377" s="40"/>
      <c r="E377" s="48"/>
      <c r="F377" s="48"/>
    </row>
    <row r="378" spans="1:6" s="2" customFormat="1" hidden="1" x14ac:dyDescent="0.25">
      <c r="A378" s="25"/>
      <c r="B378" s="13" t="s">
        <v>45</v>
      </c>
      <c r="C378" s="39">
        <f>+SUM(C379:C430)</f>
        <v>0</v>
      </c>
      <c r="D378" s="40">
        <f>+SUM(D379:D430)</f>
        <v>0</v>
      </c>
      <c r="E378" s="48"/>
      <c r="F378" s="48"/>
    </row>
    <row r="379" spans="1:6" s="2" customFormat="1" hidden="1" x14ac:dyDescent="0.25">
      <c r="A379" s="25"/>
      <c r="B379" s="44"/>
      <c r="C379" s="53"/>
      <c r="D379" s="21"/>
      <c r="E379" s="48"/>
      <c r="F379" s="48">
        <v>4216</v>
      </c>
    </row>
    <row r="380" spans="1:6" s="2" customFormat="1" hidden="1" x14ac:dyDescent="0.25">
      <c r="A380" s="25"/>
      <c r="B380" s="44"/>
      <c r="C380" s="53"/>
      <c r="D380" s="21"/>
      <c r="E380" s="48"/>
      <c r="F380" s="48">
        <v>4216</v>
      </c>
    </row>
    <row r="381" spans="1:6" s="2" customFormat="1" hidden="1" x14ac:dyDescent="0.25">
      <c r="A381" s="25"/>
      <c r="B381" s="44"/>
      <c r="C381" s="53"/>
      <c r="D381" s="21"/>
      <c r="E381" s="48"/>
      <c r="F381" s="48">
        <v>4216</v>
      </c>
    </row>
    <row r="382" spans="1:6" s="2" customFormat="1" hidden="1" x14ac:dyDescent="0.25">
      <c r="A382" s="25"/>
      <c r="B382" s="44"/>
      <c r="C382" s="53"/>
      <c r="D382" s="21"/>
      <c r="E382" s="48"/>
      <c r="F382" s="48">
        <v>4216</v>
      </c>
    </row>
    <row r="383" spans="1:6" s="2" customFormat="1" hidden="1" x14ac:dyDescent="0.25">
      <c r="A383" s="25"/>
      <c r="B383" s="44"/>
      <c r="C383" s="53"/>
      <c r="D383" s="21"/>
      <c r="E383" s="48"/>
      <c r="F383" s="48">
        <v>4216</v>
      </c>
    </row>
    <row r="384" spans="1:6" s="2" customFormat="1" hidden="1" x14ac:dyDescent="0.25">
      <c r="A384" s="25"/>
      <c r="B384" s="44"/>
      <c r="C384" s="53"/>
      <c r="D384" s="21"/>
      <c r="E384" s="48"/>
      <c r="F384" s="48">
        <v>4216</v>
      </c>
    </row>
    <row r="385" spans="1:6" s="2" customFormat="1" hidden="1" x14ac:dyDescent="0.25">
      <c r="A385" s="25"/>
      <c r="B385" s="44"/>
      <c r="C385" s="53"/>
      <c r="D385" s="21"/>
      <c r="E385" s="48"/>
      <c r="F385" s="48">
        <v>4216</v>
      </c>
    </row>
    <row r="386" spans="1:6" s="2" customFormat="1" hidden="1" x14ac:dyDescent="0.25">
      <c r="A386" s="25"/>
      <c r="B386" s="44"/>
      <c r="C386" s="53"/>
      <c r="D386" s="21"/>
      <c r="E386" s="48"/>
      <c r="F386" s="48">
        <v>4216</v>
      </c>
    </row>
    <row r="387" spans="1:6" s="2" customFormat="1" hidden="1" x14ac:dyDescent="0.25">
      <c r="A387" s="25"/>
      <c r="B387" s="44"/>
      <c r="C387" s="53"/>
      <c r="D387" s="21"/>
      <c r="E387" s="48"/>
      <c r="F387" s="48">
        <v>4216</v>
      </c>
    </row>
    <row r="388" spans="1:6" s="2" customFormat="1" hidden="1" x14ac:dyDescent="0.25">
      <c r="A388" s="25"/>
      <c r="B388" s="44"/>
      <c r="C388" s="53"/>
      <c r="D388" s="21"/>
      <c r="E388" s="48"/>
      <c r="F388" s="48">
        <v>4216</v>
      </c>
    </row>
    <row r="389" spans="1:6" s="2" customFormat="1" hidden="1" x14ac:dyDescent="0.25">
      <c r="A389" s="25"/>
      <c r="B389" s="44"/>
      <c r="C389" s="53"/>
      <c r="D389" s="21"/>
      <c r="E389" s="48"/>
      <c r="F389" s="48">
        <v>4216</v>
      </c>
    </row>
    <row r="390" spans="1:6" s="2" customFormat="1" hidden="1" x14ac:dyDescent="0.25">
      <c r="A390" s="25"/>
      <c r="B390" s="44"/>
      <c r="C390" s="53"/>
      <c r="D390" s="21"/>
      <c r="E390" s="48"/>
      <c r="F390" s="48">
        <v>4216</v>
      </c>
    </row>
    <row r="391" spans="1:6" s="2" customFormat="1" hidden="1" x14ac:dyDescent="0.25">
      <c r="A391" s="25"/>
      <c r="B391" s="44"/>
      <c r="C391" s="53"/>
      <c r="D391" s="21"/>
      <c r="E391" s="48"/>
      <c r="F391" s="48">
        <v>4216</v>
      </c>
    </row>
    <row r="392" spans="1:6" s="2" customFormat="1" hidden="1" x14ac:dyDescent="0.25">
      <c r="A392" s="25"/>
      <c r="B392" s="44"/>
      <c r="C392" s="53"/>
      <c r="D392" s="21"/>
      <c r="E392" s="48"/>
      <c r="F392" s="48">
        <v>4216</v>
      </c>
    </row>
    <row r="393" spans="1:6" s="2" customFormat="1" hidden="1" x14ac:dyDescent="0.25">
      <c r="A393" s="25"/>
      <c r="B393" s="44"/>
      <c r="C393" s="53"/>
      <c r="D393" s="21"/>
      <c r="E393" s="48"/>
      <c r="F393" s="48">
        <v>4216</v>
      </c>
    </row>
    <row r="394" spans="1:6" s="2" customFormat="1" hidden="1" x14ac:dyDescent="0.25">
      <c r="A394" s="25"/>
      <c r="B394" s="44"/>
      <c r="C394" s="53"/>
      <c r="D394" s="21"/>
      <c r="E394" s="48"/>
      <c r="F394" s="48">
        <v>4216</v>
      </c>
    </row>
    <row r="395" spans="1:6" s="2" customFormat="1" hidden="1" x14ac:dyDescent="0.25">
      <c r="A395" s="25"/>
      <c r="B395" s="44"/>
      <c r="C395" s="53"/>
      <c r="D395" s="21"/>
      <c r="E395" s="48"/>
      <c r="F395" s="48">
        <v>4216</v>
      </c>
    </row>
    <row r="396" spans="1:6" s="2" customFormat="1" hidden="1" x14ac:dyDescent="0.25">
      <c r="A396" s="25"/>
      <c r="B396" s="44"/>
      <c r="C396" s="53"/>
      <c r="D396" s="21"/>
      <c r="E396" s="48"/>
      <c r="F396" s="48">
        <v>4216</v>
      </c>
    </row>
    <row r="397" spans="1:6" s="2" customFormat="1" hidden="1" x14ac:dyDescent="0.25">
      <c r="A397" s="25"/>
      <c r="B397" s="44"/>
      <c r="C397" s="53"/>
      <c r="D397" s="21"/>
      <c r="E397" s="48"/>
      <c r="F397" s="48">
        <v>4216</v>
      </c>
    </row>
    <row r="398" spans="1:6" s="2" customFormat="1" hidden="1" x14ac:dyDescent="0.25">
      <c r="A398" s="25"/>
      <c r="B398" s="44"/>
      <c r="C398" s="53"/>
      <c r="D398" s="21"/>
      <c r="E398" s="48"/>
      <c r="F398" s="48">
        <v>4216</v>
      </c>
    </row>
    <row r="399" spans="1:6" s="2" customFormat="1" hidden="1" x14ac:dyDescent="0.25">
      <c r="A399" s="25"/>
      <c r="B399" s="44"/>
      <c r="C399" s="53"/>
      <c r="D399" s="21"/>
      <c r="E399" s="48"/>
      <c r="F399" s="48">
        <v>4216</v>
      </c>
    </row>
    <row r="400" spans="1:6" s="2" customFormat="1" hidden="1" x14ac:dyDescent="0.25">
      <c r="A400" s="25"/>
      <c r="B400" s="44"/>
      <c r="C400" s="53"/>
      <c r="D400" s="21"/>
      <c r="E400" s="48"/>
      <c r="F400" s="48">
        <v>4216</v>
      </c>
    </row>
    <row r="401" spans="1:6" s="2" customFormat="1" hidden="1" x14ac:dyDescent="0.25">
      <c r="A401" s="25"/>
      <c r="B401" s="44"/>
      <c r="C401" s="20"/>
      <c r="D401" s="21"/>
      <c r="E401" s="48"/>
      <c r="F401" s="48">
        <v>4216</v>
      </c>
    </row>
    <row r="402" spans="1:6" s="2" customFormat="1" hidden="1" x14ac:dyDescent="0.25">
      <c r="A402" s="25"/>
      <c r="B402" s="44"/>
      <c r="C402" s="20"/>
      <c r="D402" s="21"/>
      <c r="E402" s="48"/>
      <c r="F402" s="48">
        <v>4216</v>
      </c>
    </row>
    <row r="403" spans="1:6" s="2" customFormat="1" hidden="1" x14ac:dyDescent="0.25">
      <c r="A403" s="25"/>
      <c r="B403" s="44"/>
      <c r="C403" s="20"/>
      <c r="D403" s="21"/>
      <c r="E403" s="48"/>
      <c r="F403" s="48">
        <v>4216</v>
      </c>
    </row>
    <row r="404" spans="1:6" s="2" customFormat="1" hidden="1" x14ac:dyDescent="0.25">
      <c r="A404" s="25"/>
      <c r="B404" s="24"/>
      <c r="C404" s="20"/>
      <c r="D404" s="47"/>
      <c r="E404" s="48"/>
      <c r="F404" s="48">
        <v>4216</v>
      </c>
    </row>
    <row r="405" spans="1:6" s="2" customFormat="1" hidden="1" x14ac:dyDescent="0.25">
      <c r="A405" s="25"/>
      <c r="B405" s="24"/>
      <c r="C405" s="20"/>
      <c r="D405" s="47"/>
      <c r="E405" s="48"/>
      <c r="F405" s="48">
        <v>4216</v>
      </c>
    </row>
    <row r="406" spans="1:6" s="2" customFormat="1" hidden="1" x14ac:dyDescent="0.25">
      <c r="A406" s="25"/>
      <c r="B406" s="24"/>
      <c r="C406" s="20"/>
      <c r="D406" s="47"/>
      <c r="E406" s="48"/>
      <c r="F406" s="48">
        <v>4216</v>
      </c>
    </row>
    <row r="407" spans="1:6" s="2" customFormat="1" hidden="1" x14ac:dyDescent="0.25">
      <c r="A407" s="25"/>
      <c r="B407" s="44"/>
      <c r="C407" s="20"/>
      <c r="D407" s="47"/>
      <c r="E407" s="48"/>
      <c r="F407" s="48">
        <v>4216</v>
      </c>
    </row>
    <row r="408" spans="1:6" s="2" customFormat="1" hidden="1" x14ac:dyDescent="0.25">
      <c r="A408" s="25"/>
      <c r="B408" s="24"/>
      <c r="C408" s="20"/>
      <c r="D408" s="47"/>
      <c r="E408" s="48"/>
      <c r="F408" s="48">
        <v>4216</v>
      </c>
    </row>
    <row r="409" spans="1:6" s="2" customFormat="1" hidden="1" x14ac:dyDescent="0.25">
      <c r="A409" s="25"/>
      <c r="B409" s="24"/>
      <c r="C409" s="53"/>
      <c r="D409" s="47"/>
      <c r="E409" s="48"/>
      <c r="F409" s="48">
        <v>4216</v>
      </c>
    </row>
    <row r="410" spans="1:6" s="2" customFormat="1" hidden="1" x14ac:dyDescent="0.25">
      <c r="A410" s="25"/>
      <c r="B410" s="24"/>
      <c r="C410" s="53"/>
      <c r="D410" s="47"/>
      <c r="E410" s="48"/>
      <c r="F410" s="48">
        <v>4216</v>
      </c>
    </row>
    <row r="411" spans="1:6" s="2" customFormat="1" hidden="1" x14ac:dyDescent="0.25">
      <c r="A411" s="25"/>
      <c r="B411" s="24"/>
      <c r="C411" s="53"/>
      <c r="D411" s="21"/>
      <c r="E411" s="48"/>
      <c r="F411" s="48">
        <v>4216</v>
      </c>
    </row>
    <row r="412" spans="1:6" s="2" customFormat="1" hidden="1" x14ac:dyDescent="0.25">
      <c r="A412" s="25"/>
      <c r="B412" s="24"/>
      <c r="C412" s="53"/>
      <c r="D412" s="21"/>
      <c r="E412" s="48"/>
      <c r="F412" s="48">
        <v>4216</v>
      </c>
    </row>
    <row r="413" spans="1:6" s="2" customFormat="1" hidden="1" x14ac:dyDescent="0.25">
      <c r="A413" s="25"/>
      <c r="B413" s="24"/>
      <c r="C413" s="53"/>
      <c r="D413" s="21"/>
      <c r="E413" s="48"/>
      <c r="F413" s="48">
        <v>4216</v>
      </c>
    </row>
    <row r="414" spans="1:6" s="2" customFormat="1" hidden="1" x14ac:dyDescent="0.25">
      <c r="A414" s="25"/>
      <c r="B414" s="24"/>
      <c r="C414" s="53"/>
      <c r="D414" s="21"/>
      <c r="E414" s="48"/>
      <c r="F414" s="48">
        <v>4216</v>
      </c>
    </row>
    <row r="415" spans="1:6" s="2" customFormat="1" hidden="1" x14ac:dyDescent="0.25">
      <c r="A415" s="25"/>
      <c r="B415" s="24"/>
      <c r="C415" s="53"/>
      <c r="D415" s="21"/>
      <c r="E415" s="48"/>
      <c r="F415" s="48">
        <v>4216</v>
      </c>
    </row>
    <row r="416" spans="1:6" s="2" customFormat="1" hidden="1" x14ac:dyDescent="0.25">
      <c r="A416" s="25"/>
      <c r="B416" s="24"/>
      <c r="C416" s="53"/>
      <c r="D416" s="21"/>
      <c r="E416" s="48"/>
      <c r="F416" s="48">
        <v>4216</v>
      </c>
    </row>
    <row r="417" spans="1:6" s="2" customFormat="1" hidden="1" x14ac:dyDescent="0.25">
      <c r="A417" s="25"/>
      <c r="B417" s="24"/>
      <c r="C417" s="53"/>
      <c r="D417" s="21"/>
      <c r="E417" s="48"/>
      <c r="F417" s="48">
        <v>4216</v>
      </c>
    </row>
    <row r="418" spans="1:6" s="2" customFormat="1" hidden="1" x14ac:dyDescent="0.25">
      <c r="A418" s="25"/>
      <c r="B418" s="24"/>
      <c r="C418" s="53"/>
      <c r="D418" s="21"/>
      <c r="E418" s="48"/>
      <c r="F418" s="48">
        <v>4216</v>
      </c>
    </row>
    <row r="419" spans="1:6" s="2" customFormat="1" hidden="1" x14ac:dyDescent="0.25">
      <c r="A419" s="25"/>
      <c r="B419" s="24"/>
      <c r="C419" s="53"/>
      <c r="D419" s="21"/>
      <c r="E419" s="48"/>
      <c r="F419" s="48">
        <v>4216</v>
      </c>
    </row>
    <row r="420" spans="1:6" s="2" customFormat="1" hidden="1" x14ac:dyDescent="0.25">
      <c r="A420" s="25"/>
      <c r="B420" s="24"/>
      <c r="C420" s="53"/>
      <c r="D420" s="21"/>
      <c r="E420" s="48"/>
      <c r="F420" s="48">
        <v>4216</v>
      </c>
    </row>
    <row r="421" spans="1:6" s="2" customFormat="1" hidden="1" x14ac:dyDescent="0.25">
      <c r="A421" s="25"/>
      <c r="B421" s="24"/>
      <c r="C421" s="53"/>
      <c r="D421" s="21"/>
      <c r="E421" s="48"/>
      <c r="F421" s="48">
        <v>4216</v>
      </c>
    </row>
    <row r="422" spans="1:6" s="2" customFormat="1" hidden="1" x14ac:dyDescent="0.25">
      <c r="A422" s="25"/>
      <c r="B422" s="24"/>
      <c r="C422" s="53"/>
      <c r="D422" s="21"/>
      <c r="E422" s="48"/>
      <c r="F422" s="48">
        <v>4216</v>
      </c>
    </row>
    <row r="423" spans="1:6" s="2" customFormat="1" hidden="1" x14ac:dyDescent="0.25">
      <c r="A423" s="25"/>
      <c r="B423" s="24"/>
      <c r="C423" s="53"/>
      <c r="D423" s="21"/>
      <c r="E423" s="48"/>
      <c r="F423" s="48">
        <v>4216</v>
      </c>
    </row>
    <row r="424" spans="1:6" s="2" customFormat="1" hidden="1" x14ac:dyDescent="0.25">
      <c r="A424" s="25"/>
      <c r="B424" s="24"/>
      <c r="C424" s="53"/>
      <c r="D424" s="21"/>
      <c r="E424" s="48"/>
      <c r="F424" s="48">
        <v>4216</v>
      </c>
    </row>
    <row r="425" spans="1:6" s="2" customFormat="1" hidden="1" x14ac:dyDescent="0.25">
      <c r="A425" s="25"/>
      <c r="B425" s="24"/>
      <c r="C425" s="53"/>
      <c r="D425" s="21"/>
      <c r="E425" s="48"/>
      <c r="F425" s="48">
        <v>4216</v>
      </c>
    </row>
    <row r="426" spans="1:6" s="2" customFormat="1" hidden="1" x14ac:dyDescent="0.25">
      <c r="A426" s="25"/>
      <c r="B426" s="24"/>
      <c r="C426" s="53"/>
      <c r="D426" s="21"/>
      <c r="E426" s="48"/>
      <c r="F426" s="48">
        <v>4216</v>
      </c>
    </row>
    <row r="427" spans="1:6" s="2" customFormat="1" hidden="1" x14ac:dyDescent="0.25">
      <c r="A427" s="25"/>
      <c r="B427" s="24"/>
      <c r="C427" s="53"/>
      <c r="D427" s="21"/>
      <c r="E427" s="48"/>
      <c r="F427" s="48">
        <v>4216</v>
      </c>
    </row>
    <row r="428" spans="1:6" s="2" customFormat="1" hidden="1" x14ac:dyDescent="0.25">
      <c r="A428" s="25"/>
      <c r="B428" s="24"/>
      <c r="C428" s="53"/>
      <c r="D428" s="21"/>
      <c r="E428" s="48"/>
      <c r="F428" s="48">
        <v>4216</v>
      </c>
    </row>
    <row r="429" spans="1:6" s="2" customFormat="1" hidden="1" x14ac:dyDescent="0.25">
      <c r="A429" s="25"/>
      <c r="B429" s="24"/>
      <c r="C429" s="20"/>
      <c r="D429" s="21"/>
      <c r="E429" s="48"/>
      <c r="F429" s="48">
        <v>4216</v>
      </c>
    </row>
    <row r="430" spans="1:6" s="2" customFormat="1" hidden="1" x14ac:dyDescent="0.25">
      <c r="A430" s="25"/>
      <c r="B430" s="23"/>
      <c r="C430" s="20"/>
      <c r="D430" s="21"/>
      <c r="E430" s="48"/>
      <c r="F430" s="48"/>
    </row>
    <row r="431" spans="1:6" s="2" customFormat="1" hidden="1" x14ac:dyDescent="0.25">
      <c r="A431" s="25"/>
      <c r="B431" s="30" t="s">
        <v>36</v>
      </c>
      <c r="C431" s="39">
        <f>+C432+C433</f>
        <v>0</v>
      </c>
      <c r="D431" s="39">
        <f>+D432+D433</f>
        <v>0</v>
      </c>
      <c r="E431" s="48"/>
      <c r="F431" s="48"/>
    </row>
    <row r="432" spans="1:6" s="2" customFormat="1" hidden="1" x14ac:dyDescent="0.25">
      <c r="A432" s="25"/>
      <c r="B432" s="24"/>
      <c r="C432" s="20"/>
      <c r="D432" s="21"/>
      <c r="E432" s="48"/>
      <c r="F432" s="48">
        <v>4216</v>
      </c>
    </row>
    <row r="433" spans="1:8" s="2" customFormat="1" hidden="1" x14ac:dyDescent="0.25">
      <c r="A433" s="25"/>
      <c r="B433" s="24"/>
      <c r="C433" s="20"/>
      <c r="D433" s="21"/>
      <c r="E433" s="48"/>
      <c r="F433" s="48">
        <v>4216</v>
      </c>
    </row>
    <row r="434" spans="1:8" s="2" customFormat="1" x14ac:dyDescent="0.25">
      <c r="A434" s="25"/>
      <c r="B434" s="23"/>
      <c r="C434" s="20"/>
      <c r="D434" s="21"/>
      <c r="E434" s="48"/>
      <c r="F434" s="48"/>
    </row>
    <row r="435" spans="1:8" s="2" customFormat="1" x14ac:dyDescent="0.25">
      <c r="A435" s="25"/>
      <c r="B435" s="38" t="s">
        <v>91</v>
      </c>
      <c r="C435" s="40">
        <f>+C437+C436+C438</f>
        <v>0</v>
      </c>
      <c r="D435" s="40">
        <f>+D437+D436+D438</f>
        <v>5171285.2200000007</v>
      </c>
      <c r="E435" s="48"/>
      <c r="F435" s="48"/>
    </row>
    <row r="436" spans="1:8" s="2" customFormat="1" x14ac:dyDescent="0.25">
      <c r="A436" s="25">
        <v>42034</v>
      </c>
      <c r="B436" s="24" t="s">
        <v>103</v>
      </c>
      <c r="C436" s="174">
        <v>0</v>
      </c>
      <c r="D436" s="21">
        <v>4395592.4400000004</v>
      </c>
      <c r="E436" s="48">
        <v>17871</v>
      </c>
      <c r="F436" s="48">
        <v>4216</v>
      </c>
      <c r="G436" s="2">
        <v>4395.5924400000004</v>
      </c>
    </row>
    <row r="437" spans="1:8" x14ac:dyDescent="0.25">
      <c r="A437" s="25">
        <v>42034</v>
      </c>
      <c r="B437" s="24" t="s">
        <v>103</v>
      </c>
      <c r="C437" s="174">
        <v>0</v>
      </c>
      <c r="D437" s="21">
        <v>775692.78</v>
      </c>
      <c r="E437" s="48">
        <v>17870</v>
      </c>
      <c r="F437" s="48">
        <v>4216</v>
      </c>
      <c r="G437" s="2">
        <v>775.69277999999997</v>
      </c>
      <c r="H437" s="2"/>
    </row>
    <row r="438" spans="1:8" x14ac:dyDescent="0.25">
      <c r="A438" s="25"/>
      <c r="B438" s="24"/>
      <c r="C438" s="20"/>
      <c r="D438" s="21"/>
      <c r="E438" s="48"/>
      <c r="F438" s="48">
        <v>4216</v>
      </c>
      <c r="G438" s="2"/>
      <c r="H438" s="2"/>
    </row>
    <row r="439" spans="1:8" s="2" customFormat="1" hidden="1" x14ac:dyDescent="0.25">
      <c r="A439" s="25"/>
      <c r="B439" s="13"/>
      <c r="C439" s="39"/>
      <c r="D439" s="40"/>
      <c r="E439" s="48"/>
      <c r="F439" s="48"/>
    </row>
    <row r="440" spans="1:8" s="2" customFormat="1" hidden="1" x14ac:dyDescent="0.25">
      <c r="A440" s="25"/>
      <c r="B440" s="13" t="s">
        <v>48</v>
      </c>
      <c r="C440" s="39">
        <f>SUM(C441:C455)</f>
        <v>0</v>
      </c>
      <c r="D440" s="39">
        <f>SUM(D441:D455)</f>
        <v>0</v>
      </c>
      <c r="E440" s="48"/>
      <c r="F440" s="48"/>
    </row>
    <row r="441" spans="1:8" s="2" customFormat="1" hidden="1" x14ac:dyDescent="0.25">
      <c r="A441" s="25"/>
      <c r="B441" s="23"/>
      <c r="C441" s="52"/>
      <c r="D441" s="55"/>
      <c r="E441" s="22"/>
      <c r="F441" s="48">
        <v>4222</v>
      </c>
      <c r="H441" s="1"/>
    </row>
    <row r="442" spans="1:8" s="2" customFormat="1" hidden="1" x14ac:dyDescent="0.25">
      <c r="A442" s="25"/>
      <c r="B442" s="23"/>
      <c r="C442" s="52"/>
      <c r="D442" s="55"/>
      <c r="E442" s="22"/>
      <c r="F442" s="48">
        <v>4222</v>
      </c>
      <c r="H442" s="1"/>
    </row>
    <row r="443" spans="1:8" s="2" customFormat="1" hidden="1" x14ac:dyDescent="0.25">
      <c r="A443" s="25"/>
      <c r="B443" s="23"/>
      <c r="C443" s="20"/>
      <c r="D443" s="55"/>
      <c r="E443" s="48"/>
      <c r="F443" s="48">
        <v>4222</v>
      </c>
    </row>
    <row r="444" spans="1:8" s="2" customFormat="1" hidden="1" x14ac:dyDescent="0.25">
      <c r="A444" s="25"/>
      <c r="B444" s="23"/>
      <c r="C444" s="20"/>
      <c r="D444" s="55"/>
      <c r="E444" s="48"/>
      <c r="F444" s="48">
        <v>4222</v>
      </c>
    </row>
    <row r="445" spans="1:8" s="2" customFormat="1" hidden="1" x14ac:dyDescent="0.25">
      <c r="A445" s="25"/>
      <c r="B445" s="23"/>
      <c r="C445" s="20"/>
      <c r="D445" s="55"/>
      <c r="E445" s="48"/>
      <c r="F445" s="48">
        <v>4222</v>
      </c>
    </row>
    <row r="446" spans="1:8" s="2" customFormat="1" hidden="1" x14ac:dyDescent="0.25">
      <c r="A446" s="25"/>
      <c r="B446" s="23"/>
      <c r="C446" s="20"/>
      <c r="D446" s="55"/>
      <c r="E446" s="48"/>
      <c r="F446" s="48">
        <v>4222</v>
      </c>
    </row>
    <row r="447" spans="1:8" s="2" customFormat="1" hidden="1" x14ac:dyDescent="0.25">
      <c r="A447" s="25"/>
      <c r="B447" s="23"/>
      <c r="C447" s="20"/>
      <c r="D447" s="55"/>
      <c r="E447" s="48"/>
      <c r="F447" s="48">
        <v>4222</v>
      </c>
    </row>
    <row r="448" spans="1:8" s="2" customFormat="1" hidden="1" x14ac:dyDescent="0.25">
      <c r="A448" s="25"/>
      <c r="B448" s="23"/>
      <c r="C448" s="20"/>
      <c r="D448" s="55"/>
      <c r="E448" s="48"/>
      <c r="F448" s="48">
        <v>4222</v>
      </c>
    </row>
    <row r="449" spans="1:8" s="2" customFormat="1" hidden="1" x14ac:dyDescent="0.25">
      <c r="A449" s="25"/>
      <c r="B449" s="24"/>
      <c r="C449" s="20"/>
      <c r="D449" s="55"/>
      <c r="E449" s="48"/>
      <c r="F449" s="48">
        <v>4222</v>
      </c>
      <c r="H449" s="1"/>
    </row>
    <row r="450" spans="1:8" s="2" customFormat="1" hidden="1" x14ac:dyDescent="0.25">
      <c r="A450" s="25"/>
      <c r="B450" s="23"/>
      <c r="C450" s="20"/>
      <c r="D450" s="55"/>
      <c r="E450" s="48"/>
      <c r="F450" s="48">
        <v>4222</v>
      </c>
    </row>
    <row r="451" spans="1:8" s="2" customFormat="1" hidden="1" x14ac:dyDescent="0.25">
      <c r="A451" s="25"/>
      <c r="B451" s="23"/>
      <c r="C451" s="20"/>
      <c r="D451" s="55"/>
      <c r="E451" s="48"/>
      <c r="F451" s="48">
        <v>4222</v>
      </c>
    </row>
    <row r="452" spans="1:8" s="2" customFormat="1" hidden="1" x14ac:dyDescent="0.25">
      <c r="A452" s="25"/>
      <c r="B452" s="23"/>
      <c r="C452" s="20"/>
      <c r="D452" s="55"/>
      <c r="E452" s="48"/>
      <c r="F452" s="48">
        <v>4222</v>
      </c>
    </row>
    <row r="453" spans="1:8" s="2" customFormat="1" hidden="1" x14ac:dyDescent="0.25">
      <c r="A453" s="25"/>
      <c r="B453" s="23"/>
      <c r="C453" s="20"/>
      <c r="D453" s="55"/>
      <c r="E453" s="48"/>
      <c r="F453" s="48">
        <v>4222</v>
      </c>
    </row>
    <row r="454" spans="1:8" s="2" customFormat="1" hidden="1" x14ac:dyDescent="0.25">
      <c r="A454" s="25"/>
      <c r="B454" s="23"/>
      <c r="C454" s="46"/>
      <c r="D454" s="55"/>
      <c r="E454" s="48"/>
      <c r="F454" s="48">
        <v>4222</v>
      </c>
    </row>
    <row r="455" spans="1:8" s="2" customFormat="1" hidden="1" x14ac:dyDescent="0.25">
      <c r="A455" s="25"/>
      <c r="B455" s="23"/>
      <c r="C455" s="20"/>
      <c r="D455" s="55"/>
      <c r="E455" s="48"/>
      <c r="F455" s="48">
        <v>4222</v>
      </c>
    </row>
    <row r="456" spans="1:8" hidden="1" x14ac:dyDescent="0.25">
      <c r="A456" s="50"/>
      <c r="B456" s="83"/>
      <c r="C456" s="84"/>
      <c r="D456" s="55"/>
      <c r="E456" s="85"/>
      <c r="F456" s="63"/>
      <c r="G456" s="2"/>
      <c r="H456" s="2"/>
    </row>
    <row r="457" spans="1:8" s="2" customFormat="1" hidden="1" x14ac:dyDescent="0.25">
      <c r="A457" s="25"/>
      <c r="B457" s="30" t="s">
        <v>50</v>
      </c>
      <c r="C457" s="30">
        <f>+SUM(C458:C471)</f>
        <v>0</v>
      </c>
      <c r="D457" s="31">
        <f>+SUM(D458:D471)</f>
        <v>0</v>
      </c>
      <c r="E457" s="48"/>
      <c r="F457" s="48"/>
    </row>
    <row r="458" spans="1:8" s="2" customFormat="1" hidden="1" x14ac:dyDescent="0.25">
      <c r="A458" s="25"/>
      <c r="B458" s="23"/>
      <c r="C458" s="46"/>
      <c r="D458" s="47"/>
      <c r="E458" s="22"/>
      <c r="F458" s="48">
        <v>4223</v>
      </c>
    </row>
    <row r="459" spans="1:8" s="2" customFormat="1" hidden="1" x14ac:dyDescent="0.25">
      <c r="A459" s="25"/>
      <c r="B459" s="23"/>
      <c r="C459" s="46"/>
      <c r="D459" s="47"/>
      <c r="E459" s="22"/>
      <c r="F459" s="48">
        <v>4223</v>
      </c>
    </row>
    <row r="460" spans="1:8" s="2" customFormat="1" hidden="1" x14ac:dyDescent="0.25">
      <c r="A460" s="25"/>
      <c r="B460" s="23"/>
      <c r="C460" s="46"/>
      <c r="D460" s="47"/>
      <c r="E460" s="22"/>
      <c r="F460" s="48">
        <v>4223</v>
      </c>
    </row>
    <row r="461" spans="1:8" s="2" customFormat="1" hidden="1" x14ac:dyDescent="0.25">
      <c r="A461" s="25"/>
      <c r="B461" s="23"/>
      <c r="C461" s="46"/>
      <c r="D461" s="47"/>
      <c r="E461" s="22"/>
      <c r="F461" s="48">
        <v>4223</v>
      </c>
    </row>
    <row r="462" spans="1:8" s="2" customFormat="1" hidden="1" x14ac:dyDescent="0.25">
      <c r="A462" s="25"/>
      <c r="B462" s="23"/>
      <c r="C462" s="46"/>
      <c r="D462" s="47"/>
      <c r="E462" s="22"/>
      <c r="F462" s="48">
        <v>4223</v>
      </c>
    </row>
    <row r="463" spans="1:8" s="2" customFormat="1" hidden="1" x14ac:dyDescent="0.25">
      <c r="A463" s="25"/>
      <c r="B463" s="23"/>
      <c r="C463" s="46"/>
      <c r="D463" s="21"/>
      <c r="E463" s="22"/>
      <c r="F463" s="48">
        <v>4223</v>
      </c>
    </row>
    <row r="464" spans="1:8" s="2" customFormat="1" hidden="1" x14ac:dyDescent="0.25">
      <c r="A464" s="25"/>
      <c r="B464" s="23"/>
      <c r="C464" s="46"/>
      <c r="D464" s="21"/>
      <c r="E464" s="22"/>
      <c r="F464" s="48">
        <v>4223</v>
      </c>
    </row>
    <row r="465" spans="1:8" s="2" customFormat="1" hidden="1" x14ac:dyDescent="0.25">
      <c r="A465" s="25"/>
      <c r="B465" s="23"/>
      <c r="C465" s="46"/>
      <c r="D465" s="21"/>
      <c r="E465" s="22"/>
      <c r="F465" s="48">
        <v>4223</v>
      </c>
    </row>
    <row r="466" spans="1:8" s="2" customFormat="1" hidden="1" x14ac:dyDescent="0.25">
      <c r="A466" s="25"/>
      <c r="B466" s="23"/>
      <c r="C466" s="46"/>
      <c r="D466" s="21"/>
      <c r="E466" s="22"/>
      <c r="F466" s="48">
        <v>4223</v>
      </c>
    </row>
    <row r="467" spans="1:8" s="2" customFormat="1" hidden="1" x14ac:dyDescent="0.25">
      <c r="A467" s="25"/>
      <c r="B467" s="23"/>
      <c r="C467" s="46"/>
      <c r="D467" s="21"/>
      <c r="E467" s="22"/>
      <c r="F467" s="48">
        <v>4223</v>
      </c>
    </row>
    <row r="468" spans="1:8" s="2" customFormat="1" hidden="1" x14ac:dyDescent="0.25">
      <c r="A468" s="25"/>
      <c r="B468" s="23"/>
      <c r="C468" s="46"/>
      <c r="D468" s="21"/>
      <c r="E468" s="22"/>
      <c r="F468" s="48">
        <v>4223</v>
      </c>
    </row>
    <row r="469" spans="1:8" s="2" customFormat="1" hidden="1" x14ac:dyDescent="0.25">
      <c r="A469" s="25"/>
      <c r="B469" s="23"/>
      <c r="C469" s="46"/>
      <c r="D469" s="21"/>
      <c r="E469" s="22"/>
      <c r="F469" s="48">
        <v>4223</v>
      </c>
    </row>
    <row r="470" spans="1:8" s="2" customFormat="1" hidden="1" x14ac:dyDescent="0.25">
      <c r="A470" s="25"/>
      <c r="B470" s="23"/>
      <c r="C470" s="46"/>
      <c r="D470" s="21"/>
      <c r="E470" s="22"/>
      <c r="F470" s="48">
        <v>4223</v>
      </c>
    </row>
    <row r="471" spans="1:8" s="2" customFormat="1" hidden="1" x14ac:dyDescent="0.25">
      <c r="A471" s="25"/>
      <c r="B471" s="23"/>
      <c r="C471" s="46"/>
      <c r="D471" s="21"/>
      <c r="E471" s="22"/>
      <c r="F471" s="48"/>
      <c r="G471" s="1"/>
    </row>
    <row r="472" spans="1:8" s="2" customFormat="1" x14ac:dyDescent="0.25">
      <c r="A472" s="25"/>
      <c r="B472" s="24"/>
      <c r="C472" s="46"/>
      <c r="D472" s="86"/>
      <c r="E472" s="48"/>
      <c r="F472" s="48"/>
      <c r="G472" s="1"/>
    </row>
    <row r="473" spans="1:8" s="2" customFormat="1" x14ac:dyDescent="0.25">
      <c r="A473" s="25"/>
      <c r="B473" s="70" t="s">
        <v>55</v>
      </c>
      <c r="C473" s="26">
        <f>+C440+C457+C343+C378+C435+C431</f>
        <v>0</v>
      </c>
      <c r="D473" s="26">
        <f>+D440+D457+D343+D378+D435+D431</f>
        <v>5563319.2200000007</v>
      </c>
      <c r="E473" s="71"/>
      <c r="F473" s="28"/>
      <c r="G473" s="1"/>
    </row>
    <row r="474" spans="1:8" s="2" customFormat="1" ht="16.5" thickBot="1" x14ac:dyDescent="0.3">
      <c r="A474" s="72"/>
      <c r="B474" s="73"/>
      <c r="C474" s="74"/>
      <c r="D474" s="75"/>
      <c r="E474" s="76"/>
      <c r="F474" s="76"/>
      <c r="G474" s="1"/>
    </row>
    <row r="475" spans="1:8" s="2" customFormat="1" x14ac:dyDescent="0.25">
      <c r="A475" s="87"/>
      <c r="D475" s="45"/>
      <c r="E475" s="88"/>
      <c r="F475" s="88"/>
      <c r="G475" s="1"/>
    </row>
    <row r="476" spans="1:8" s="2" customFormat="1" ht="16.5" thickBot="1" x14ac:dyDescent="0.3">
      <c r="A476" s="89"/>
      <c r="B476" s="90"/>
      <c r="C476" s="90"/>
      <c r="D476" s="91"/>
      <c r="E476" s="92"/>
      <c r="F476" s="92"/>
      <c r="G476" s="1"/>
    </row>
    <row r="477" spans="1:8" s="2" customFormat="1" x14ac:dyDescent="0.25">
      <c r="A477" s="93"/>
      <c r="B477" s="94"/>
      <c r="C477" s="94"/>
      <c r="D477" s="5"/>
      <c r="E477" s="95"/>
      <c r="F477" s="165"/>
      <c r="G477" s="88"/>
      <c r="H477" s="1"/>
    </row>
    <row r="478" spans="1:8" s="2" customFormat="1" ht="16.5" thickBot="1" x14ac:dyDescent="0.3">
      <c r="A478" s="93"/>
      <c r="B478" s="9" t="s">
        <v>56</v>
      </c>
      <c r="C478" s="9" t="s">
        <v>3</v>
      </c>
      <c r="D478" s="10" t="s">
        <v>4</v>
      </c>
      <c r="E478" s="95"/>
      <c r="F478" s="165"/>
      <c r="G478" s="88"/>
      <c r="H478" s="1"/>
    </row>
    <row r="479" spans="1:8" s="2" customFormat="1" x14ac:dyDescent="0.25">
      <c r="A479" s="93"/>
      <c r="B479" s="96"/>
      <c r="C479" s="96"/>
      <c r="D479" s="97"/>
      <c r="E479" s="95"/>
      <c r="F479" s="165"/>
      <c r="G479" s="88"/>
      <c r="H479" s="1"/>
    </row>
    <row r="480" spans="1:8" s="2" customFormat="1" x14ac:dyDescent="0.25">
      <c r="A480" s="98"/>
      <c r="B480" s="99" t="s">
        <v>57</v>
      </c>
      <c r="C480" s="99">
        <f>+C337</f>
        <v>11600.74482</v>
      </c>
      <c r="D480" s="56">
        <f>+D337</f>
        <v>12473003.43</v>
      </c>
      <c r="E480" s="100"/>
      <c r="F480" s="80"/>
      <c r="G480" s="88" t="s">
        <v>61</v>
      </c>
      <c r="H480" s="1">
        <f>'[1]Vstupni Seznam'!$M$1</f>
        <v>951693271.66000009</v>
      </c>
    </row>
    <row r="481" spans="1:9" s="2" customFormat="1" x14ac:dyDescent="0.25">
      <c r="A481" s="98"/>
      <c r="B481" s="99" t="s">
        <v>58</v>
      </c>
      <c r="C481" s="99">
        <f>+C473</f>
        <v>0</v>
      </c>
      <c r="D481" s="122">
        <f>+D473</f>
        <v>5563319.2200000007</v>
      </c>
      <c r="E481" s="101"/>
      <c r="F481" s="92"/>
      <c r="G481" s="88" t="s">
        <v>62</v>
      </c>
      <c r="H481" s="1">
        <f>27388800*3</f>
        <v>82166400</v>
      </c>
    </row>
    <row r="482" spans="1:9" s="2" customFormat="1" x14ac:dyDescent="0.25">
      <c r="A482" s="98"/>
      <c r="B482" s="99"/>
      <c r="C482" s="99"/>
      <c r="D482" s="56"/>
      <c r="E482" s="101"/>
      <c r="F482" s="92"/>
      <c r="G482" s="88" t="s">
        <v>64</v>
      </c>
      <c r="H482" s="1">
        <f>+D38+D39+D40+D41+D42+D43+D44+D45+D46+D47+D48+D49+D50+D51+D52+D53+D54+D55+D56+D57+D372</f>
        <v>3052273</v>
      </c>
    </row>
    <row r="483" spans="1:9" s="2" customFormat="1" x14ac:dyDescent="0.25">
      <c r="A483" s="98"/>
      <c r="B483" s="102" t="s">
        <v>59</v>
      </c>
      <c r="C483" s="102">
        <f>+C480+C481</f>
        <v>11600.74482</v>
      </c>
      <c r="D483" s="27">
        <f>SUM(D480:D481)</f>
        <v>18036322.649999999</v>
      </c>
      <c r="E483" s="101"/>
      <c r="F483" s="92"/>
      <c r="G483" s="2" t="s">
        <v>63</v>
      </c>
      <c r="H483" s="1">
        <f>H480-H481-H478-H479+H482</f>
        <v>872579144.66000009</v>
      </c>
    </row>
    <row r="484" spans="1:9" s="2" customFormat="1" ht="16.5" thickBot="1" x14ac:dyDescent="0.3">
      <c r="A484" s="98"/>
      <c r="B484" s="103"/>
      <c r="C484" s="103"/>
      <c r="D484" s="75"/>
      <c r="E484" s="100"/>
      <c r="F484" s="80"/>
      <c r="H484" s="1">
        <f>+H483-D483</f>
        <v>854542822.01000011</v>
      </c>
      <c r="I484" s="109" t="s">
        <v>101</v>
      </c>
    </row>
    <row r="485" spans="1:9" s="2" customFormat="1" x14ac:dyDescent="0.25">
      <c r="A485" s="87"/>
      <c r="D485" s="45"/>
      <c r="E485" s="1"/>
      <c r="G485" s="1" t="s">
        <v>109</v>
      </c>
      <c r="H485" s="1">
        <f>15221+36300+7480+141555.72+26736119.48</f>
        <v>26936676.199999999</v>
      </c>
      <c r="I485" s="180">
        <v>42073</v>
      </c>
    </row>
    <row r="486" spans="1:9" ht="16.5" thickBot="1" x14ac:dyDescent="0.3">
      <c r="B486" s="130"/>
      <c r="C486" s="131"/>
      <c r="D486" s="154"/>
      <c r="E486" s="104"/>
      <c r="F486" s="104"/>
      <c r="G486" s="1"/>
      <c r="H486" s="1">
        <f>+H484-H485</f>
        <v>827606145.81000006</v>
      </c>
      <c r="I486" s="45" t="s">
        <v>111</v>
      </c>
    </row>
    <row r="487" spans="1:9" ht="16.5" thickBot="1" x14ac:dyDescent="0.3">
      <c r="B487" s="170" t="s">
        <v>79</v>
      </c>
      <c r="C487" s="137" t="s">
        <v>80</v>
      </c>
      <c r="D487" s="137" t="s">
        <v>80</v>
      </c>
      <c r="E487" s="140" t="s">
        <v>82</v>
      </c>
      <c r="F487" s="140" t="s">
        <v>81</v>
      </c>
      <c r="G487" s="138" t="s">
        <v>83</v>
      </c>
      <c r="H487" s="139" t="s">
        <v>84</v>
      </c>
    </row>
    <row r="488" spans="1:9" s="119" customFormat="1" x14ac:dyDescent="0.25">
      <c r="A488" s="110" t="e">
        <f>IF(#REF!=#REF!,1,IF(#REF!&gt;#REF!,0,-1))</f>
        <v>#REF!</v>
      </c>
      <c r="B488" s="158">
        <v>4111</v>
      </c>
      <c r="C488" s="143"/>
      <c r="D488" s="155">
        <f>SUMIF(C506:C534,B488,G506:G534)</f>
        <v>0</v>
      </c>
      <c r="E488" s="141">
        <f t="shared" ref="E488:E499" si="0">SUMIF($F$7:$F$536,B488,$C$7:$C$536)</f>
        <v>0</v>
      </c>
      <c r="F488" s="141">
        <f t="shared" ref="F488:F499" si="1">SUMIF($F$7:$F$486,B488,$D$7:$D$486)</f>
        <v>0</v>
      </c>
      <c r="G488" s="141">
        <f>C488-E488*1000</f>
        <v>0</v>
      </c>
      <c r="H488" s="141">
        <f>+D488-F488</f>
        <v>0</v>
      </c>
    </row>
    <row r="489" spans="1:9" x14ac:dyDescent="0.25">
      <c r="B489" s="159">
        <v>4113</v>
      </c>
      <c r="C489" s="144">
        <v>5906744.8200000003</v>
      </c>
      <c r="D489" s="155">
        <v>567737.81999999995</v>
      </c>
      <c r="E489" s="142">
        <f t="shared" si="0"/>
        <v>5906.7448200000008</v>
      </c>
      <c r="F489" s="141">
        <f t="shared" si="1"/>
        <v>567737.81999999995</v>
      </c>
      <c r="G489" s="141">
        <f t="shared" ref="G489:G499" si="2">C489-E489*1000</f>
        <v>0</v>
      </c>
      <c r="H489" s="141">
        <f t="shared" ref="H489:H499" si="3">+D489-F489</f>
        <v>0</v>
      </c>
      <c r="I489" s="119" t="s">
        <v>108</v>
      </c>
    </row>
    <row r="490" spans="1:9" x14ac:dyDescent="0.25">
      <c r="B490" s="159">
        <v>4116</v>
      </c>
      <c r="C490" s="144">
        <v>5694000</v>
      </c>
      <c r="D490" s="155">
        <v>10884883.279999999</v>
      </c>
      <c r="E490" s="142">
        <f t="shared" si="0"/>
        <v>5694</v>
      </c>
      <c r="F490" s="141">
        <f t="shared" si="1"/>
        <v>10884883.280000001</v>
      </c>
      <c r="G490" s="141">
        <f t="shared" si="2"/>
        <v>0</v>
      </c>
      <c r="H490" s="141">
        <f t="shared" si="3"/>
        <v>0</v>
      </c>
      <c r="I490" s="119"/>
    </row>
    <row r="491" spans="1:9" x14ac:dyDescent="0.25">
      <c r="B491" s="159">
        <v>4119</v>
      </c>
      <c r="C491" s="144"/>
      <c r="D491" s="155">
        <f>SUMIF(C511:C537,B491,G509:G537)</f>
        <v>0</v>
      </c>
      <c r="E491" s="142">
        <f t="shared" si="0"/>
        <v>0</v>
      </c>
      <c r="F491" s="141">
        <f t="shared" si="1"/>
        <v>0</v>
      </c>
      <c r="G491" s="141">
        <f t="shared" si="2"/>
        <v>0</v>
      </c>
      <c r="H491" s="141">
        <f t="shared" si="3"/>
        <v>0</v>
      </c>
      <c r="I491" s="119"/>
    </row>
    <row r="492" spans="1:9" x14ac:dyDescent="0.25">
      <c r="B492" s="159">
        <v>4122</v>
      </c>
      <c r="C492" s="144"/>
      <c r="D492" s="155">
        <v>1020382.33</v>
      </c>
      <c r="E492" s="142">
        <f t="shared" si="0"/>
        <v>0</v>
      </c>
      <c r="F492" s="141">
        <f t="shared" si="1"/>
        <v>1020382.33</v>
      </c>
      <c r="G492" s="141">
        <f t="shared" si="2"/>
        <v>0</v>
      </c>
      <c r="H492" s="141">
        <f t="shared" si="3"/>
        <v>0</v>
      </c>
      <c r="I492" s="119" t="s">
        <v>107</v>
      </c>
    </row>
    <row r="493" spans="1:9" x14ac:dyDescent="0.25">
      <c r="B493" s="159">
        <v>4123</v>
      </c>
      <c r="C493" s="144"/>
      <c r="D493" s="155">
        <f t="shared" ref="D493:D499" si="4">SUMIF(C511:C539,B493,G511:G539)</f>
        <v>0</v>
      </c>
      <c r="E493" s="142">
        <f t="shared" si="0"/>
        <v>0</v>
      </c>
      <c r="F493" s="141">
        <f t="shared" si="1"/>
        <v>0</v>
      </c>
      <c r="G493" s="141">
        <f t="shared" si="2"/>
        <v>0</v>
      </c>
      <c r="H493" s="141">
        <f t="shared" si="3"/>
        <v>0</v>
      </c>
      <c r="I493" s="119"/>
    </row>
    <row r="494" spans="1:9" x14ac:dyDescent="0.25">
      <c r="B494" s="159">
        <v>4151</v>
      </c>
      <c r="C494" s="144"/>
      <c r="D494" s="155">
        <f t="shared" si="4"/>
        <v>0</v>
      </c>
      <c r="E494" s="142">
        <f t="shared" si="0"/>
        <v>0</v>
      </c>
      <c r="F494" s="141">
        <f t="shared" si="1"/>
        <v>0</v>
      </c>
      <c r="G494" s="141">
        <f t="shared" si="2"/>
        <v>0</v>
      </c>
      <c r="H494" s="141">
        <f t="shared" si="3"/>
        <v>0</v>
      </c>
      <c r="I494" s="119"/>
    </row>
    <row r="495" spans="1:9" x14ac:dyDescent="0.25">
      <c r="B495" s="159">
        <v>4152</v>
      </c>
      <c r="C495" s="144"/>
      <c r="D495" s="155">
        <f t="shared" si="4"/>
        <v>0</v>
      </c>
      <c r="E495" s="142">
        <f t="shared" si="0"/>
        <v>0</v>
      </c>
      <c r="F495" s="141">
        <f t="shared" si="1"/>
        <v>0</v>
      </c>
      <c r="G495" s="141">
        <f t="shared" si="2"/>
        <v>0</v>
      </c>
      <c r="H495" s="141">
        <f t="shared" si="3"/>
        <v>0</v>
      </c>
      <c r="I495" s="119"/>
    </row>
    <row r="496" spans="1:9" x14ac:dyDescent="0.25">
      <c r="B496" s="159">
        <v>4213</v>
      </c>
      <c r="C496" s="144"/>
      <c r="D496" s="155">
        <v>392034</v>
      </c>
      <c r="E496" s="142">
        <f t="shared" si="0"/>
        <v>0</v>
      </c>
      <c r="F496" s="141">
        <f t="shared" si="1"/>
        <v>392034</v>
      </c>
      <c r="G496" s="141">
        <f t="shared" si="2"/>
        <v>0</v>
      </c>
      <c r="H496" s="141">
        <f t="shared" si="3"/>
        <v>0</v>
      </c>
      <c r="I496" s="119"/>
    </row>
    <row r="497" spans="2:9" x14ac:dyDescent="0.25">
      <c r="B497" s="159">
        <v>4216</v>
      </c>
      <c r="C497" s="144"/>
      <c r="D497" s="155">
        <v>5171285.22</v>
      </c>
      <c r="E497" s="142">
        <f t="shared" si="0"/>
        <v>0</v>
      </c>
      <c r="F497" s="141">
        <f t="shared" si="1"/>
        <v>5171285.2200000007</v>
      </c>
      <c r="G497" s="141">
        <f t="shared" si="2"/>
        <v>0</v>
      </c>
      <c r="H497" s="141">
        <f t="shared" si="3"/>
        <v>0</v>
      </c>
      <c r="I497" s="119"/>
    </row>
    <row r="498" spans="2:9" x14ac:dyDescent="0.25">
      <c r="B498" s="159">
        <v>4222</v>
      </c>
      <c r="C498" s="144"/>
      <c r="D498" s="155">
        <f t="shared" si="4"/>
        <v>0</v>
      </c>
      <c r="E498" s="142">
        <f t="shared" si="0"/>
        <v>0</v>
      </c>
      <c r="F498" s="141">
        <f t="shared" si="1"/>
        <v>0</v>
      </c>
      <c r="G498" s="141">
        <f t="shared" si="2"/>
        <v>0</v>
      </c>
      <c r="H498" s="141">
        <f t="shared" si="3"/>
        <v>0</v>
      </c>
      <c r="I498" s="119"/>
    </row>
    <row r="499" spans="2:9" x14ac:dyDescent="0.25">
      <c r="B499" s="159">
        <v>4223</v>
      </c>
      <c r="C499" s="144"/>
      <c r="D499" s="155">
        <f t="shared" si="4"/>
        <v>0</v>
      </c>
      <c r="E499" s="142">
        <f t="shared" si="0"/>
        <v>0</v>
      </c>
      <c r="F499" s="141">
        <f t="shared" si="1"/>
        <v>0</v>
      </c>
      <c r="G499" s="141">
        <f t="shared" si="2"/>
        <v>0</v>
      </c>
      <c r="H499" s="141">
        <f t="shared" si="3"/>
        <v>0</v>
      </c>
      <c r="I499" s="119"/>
    </row>
    <row r="500" spans="2:9" x14ac:dyDescent="0.25">
      <c r="B500" s="132"/>
      <c r="C500" s="144">
        <f t="shared" ref="C500:H500" si="5">+SUM(C488:C499)</f>
        <v>11600744.82</v>
      </c>
      <c r="D500" s="156">
        <f t="shared" si="5"/>
        <v>18036322.649999999</v>
      </c>
      <c r="E500" s="144">
        <f t="shared" si="5"/>
        <v>11600.74482</v>
      </c>
      <c r="F500" s="144">
        <f t="shared" si="5"/>
        <v>18036322.650000002</v>
      </c>
      <c r="G500" s="141">
        <f t="shared" si="5"/>
        <v>0</v>
      </c>
      <c r="H500" s="141">
        <f t="shared" si="5"/>
        <v>0</v>
      </c>
      <c r="I500" s="119"/>
    </row>
    <row r="501" spans="2:9" ht="16.5" thickBot="1" x14ac:dyDescent="0.3">
      <c r="B501" s="133"/>
      <c r="C501" s="145"/>
      <c r="D501" s="157"/>
      <c r="E501" s="134"/>
      <c r="F501" s="134"/>
      <c r="G501" s="135"/>
      <c r="H501" s="136"/>
      <c r="I501" s="119"/>
    </row>
    <row r="502" spans="2:9" x14ac:dyDescent="0.25">
      <c r="H502" s="2"/>
    </row>
    <row r="503" spans="2:9" x14ac:dyDescent="0.25">
      <c r="B503" s="177"/>
      <c r="C503" s="2" t="s">
        <v>106</v>
      </c>
      <c r="H503" s="2"/>
    </row>
    <row r="504" spans="2:9" x14ac:dyDescent="0.25">
      <c r="H504" s="2"/>
    </row>
    <row r="505" spans="2:9" x14ac:dyDescent="0.25">
      <c r="B505"/>
      <c r="C505"/>
      <c r="D505"/>
      <c r="E505" s="178"/>
      <c r="F505" s="178"/>
      <c r="G505" s="178"/>
      <c r="H505"/>
    </row>
    <row r="506" spans="2:9" x14ac:dyDescent="0.25">
      <c r="B506"/>
      <c r="C506"/>
      <c r="D506"/>
      <c r="E506" s="178"/>
      <c r="F506" s="178"/>
      <c r="G506" s="178"/>
      <c r="H506"/>
    </row>
    <row r="507" spans="2:9" x14ac:dyDescent="0.25">
      <c r="B507"/>
      <c r="C507"/>
      <c r="D507"/>
      <c r="E507" s="178"/>
      <c r="F507" s="178"/>
      <c r="G507" s="178"/>
      <c r="H507"/>
    </row>
    <row r="508" spans="2:9" x14ac:dyDescent="0.25">
      <c r="B508"/>
      <c r="C508"/>
      <c r="D508"/>
      <c r="E508" s="178"/>
      <c r="F508" s="178"/>
      <c r="G508" s="178"/>
      <c r="H508"/>
    </row>
    <row r="509" spans="2:9" x14ac:dyDescent="0.25">
      <c r="B509"/>
      <c r="D509"/>
      <c r="E509" s="178"/>
      <c r="F509" s="178"/>
      <c r="G509"/>
      <c r="H509"/>
    </row>
    <row r="510" spans="2:9" x14ac:dyDescent="0.25">
      <c r="B510"/>
      <c r="D510"/>
      <c r="E510" s="178"/>
      <c r="F510" s="178"/>
      <c r="G510" s="178"/>
    </row>
    <row r="511" spans="2:9" x14ac:dyDescent="0.25">
      <c r="B511"/>
      <c r="C511"/>
      <c r="D511"/>
      <c r="E511" s="178"/>
      <c r="F511" s="178"/>
      <c r="G511" s="178"/>
    </row>
    <row r="512" spans="2:9" x14ac:dyDescent="0.25">
      <c r="B512"/>
      <c r="C512"/>
      <c r="D512"/>
      <c r="E512" s="178"/>
      <c r="F512" s="178"/>
      <c r="G512" s="178"/>
      <c r="H512"/>
    </row>
    <row r="513" spans="2:8" x14ac:dyDescent="0.25">
      <c r="B513"/>
      <c r="C513"/>
      <c r="D513"/>
      <c r="E513" s="178"/>
      <c r="F513" s="178"/>
      <c r="G513"/>
      <c r="H513"/>
    </row>
    <row r="514" spans="2:8" x14ac:dyDescent="0.25">
      <c r="B514"/>
      <c r="C514"/>
      <c r="D514"/>
      <c r="E514" s="178"/>
      <c r="F514" s="178"/>
      <c r="G514" s="178"/>
      <c r="H514"/>
    </row>
    <row r="515" spans="2:8" x14ac:dyDescent="0.25">
      <c r="B515"/>
      <c r="C515"/>
      <c r="D515"/>
      <c r="E515" s="178"/>
      <c r="F515" s="178"/>
      <c r="G515" s="178"/>
      <c r="H515"/>
    </row>
    <row r="516" spans="2:8" x14ac:dyDescent="0.25">
      <c r="B516"/>
      <c r="C516"/>
      <c r="D516"/>
      <c r="E516" s="178"/>
      <c r="F516" s="178"/>
      <c r="G516" s="178"/>
      <c r="H516"/>
    </row>
    <row r="517" spans="2:8" x14ac:dyDescent="0.25">
      <c r="B517"/>
      <c r="C517"/>
      <c r="D517"/>
      <c r="E517" s="178"/>
      <c r="F517" s="178"/>
      <c r="G517" s="178"/>
      <c r="H517"/>
    </row>
    <row r="518" spans="2:8" x14ac:dyDescent="0.25">
      <c r="B518"/>
      <c r="C518"/>
      <c r="D518"/>
      <c r="E518" s="178"/>
      <c r="F518" s="178"/>
      <c r="G518" s="178"/>
      <c r="H518"/>
    </row>
    <row r="519" spans="2:8" x14ac:dyDescent="0.25">
      <c r="B519"/>
      <c r="C519"/>
      <c r="D519"/>
      <c r="E519"/>
      <c r="F519"/>
      <c r="G519" s="178"/>
      <c r="H519"/>
    </row>
    <row r="520" spans="2:8" x14ac:dyDescent="0.25">
      <c r="B520"/>
      <c r="C520"/>
      <c r="D520"/>
      <c r="E520" s="178"/>
      <c r="F520" s="178"/>
      <c r="G520" s="178"/>
      <c r="H520"/>
    </row>
    <row r="521" spans="2:8" x14ac:dyDescent="0.25">
      <c r="B521"/>
      <c r="C521"/>
      <c r="D521"/>
      <c r="E521" s="178"/>
      <c r="F521" s="178"/>
      <c r="G521" s="178"/>
      <c r="H521"/>
    </row>
    <row r="522" spans="2:8" x14ac:dyDescent="0.25">
      <c r="B522"/>
      <c r="C522"/>
      <c r="D522"/>
      <c r="E522" s="178"/>
      <c r="F522" s="178"/>
      <c r="G522" s="178"/>
      <c r="H522"/>
    </row>
    <row r="523" spans="2:8" x14ac:dyDescent="0.25">
      <c r="B523"/>
      <c r="C523"/>
      <c r="D523"/>
      <c r="E523"/>
      <c r="F523"/>
      <c r="G523"/>
      <c r="H523"/>
    </row>
    <row r="524" spans="2:8" x14ac:dyDescent="0.25">
      <c r="B524"/>
      <c r="C524"/>
      <c r="D524"/>
      <c r="E524" s="178"/>
      <c r="F524" s="178"/>
      <c r="G524"/>
      <c r="H524"/>
    </row>
    <row r="525" spans="2:8" x14ac:dyDescent="0.25">
      <c r="B525"/>
      <c r="C525"/>
      <c r="D525"/>
      <c r="E525" s="178"/>
      <c r="F525" s="178"/>
      <c r="G525" s="178"/>
      <c r="H525"/>
    </row>
    <row r="526" spans="2:8" x14ac:dyDescent="0.25">
      <c r="B526"/>
      <c r="C526"/>
      <c r="D526"/>
      <c r="E526" s="178"/>
      <c r="F526" s="178"/>
      <c r="G526" s="178"/>
      <c r="H526"/>
    </row>
    <row r="527" spans="2:8" x14ac:dyDescent="0.25">
      <c r="B527"/>
      <c r="C527"/>
      <c r="D527"/>
      <c r="E527"/>
      <c r="F527"/>
      <c r="G527" s="178"/>
      <c r="H527"/>
    </row>
    <row r="528" spans="2:8" x14ac:dyDescent="0.25">
      <c r="B528"/>
      <c r="C528"/>
      <c r="D528"/>
      <c r="E528"/>
      <c r="F528"/>
      <c r="G528" s="178"/>
      <c r="H528"/>
    </row>
    <row r="529" spans="2:8" x14ac:dyDescent="0.25">
      <c r="B529"/>
      <c r="C529"/>
      <c r="D529"/>
      <c r="E529" s="178"/>
      <c r="F529" s="178"/>
      <c r="G529" s="178"/>
      <c r="H529"/>
    </row>
    <row r="530" spans="2:8" x14ac:dyDescent="0.25">
      <c r="B530"/>
      <c r="C530"/>
      <c r="D530"/>
      <c r="E530"/>
      <c r="F530"/>
      <c r="G530" s="178"/>
      <c r="H530"/>
    </row>
    <row r="531" spans="2:8" x14ac:dyDescent="0.25">
      <c r="B531"/>
      <c r="C531"/>
      <c r="D531"/>
      <c r="E531"/>
      <c r="F531"/>
      <c r="G531"/>
      <c r="H531"/>
    </row>
    <row r="532" spans="2:8" x14ac:dyDescent="0.25">
      <c r="B532"/>
      <c r="C532"/>
      <c r="D532"/>
      <c r="E532"/>
      <c r="F532"/>
      <c r="G532"/>
      <c r="H532"/>
    </row>
    <row r="533" spans="2:8" x14ac:dyDescent="0.25">
      <c r="B533"/>
      <c r="C533"/>
      <c r="D533"/>
      <c r="E533"/>
      <c r="F533"/>
      <c r="G533" s="178"/>
      <c r="H533"/>
    </row>
    <row r="534" spans="2:8" x14ac:dyDescent="0.25">
      <c r="B534"/>
      <c r="C534"/>
      <c r="D534"/>
      <c r="E534"/>
      <c r="F534"/>
      <c r="G534"/>
      <c r="H534"/>
    </row>
    <row r="535" spans="2:8" x14ac:dyDescent="0.25">
      <c r="B535"/>
      <c r="C535"/>
      <c r="D535"/>
      <c r="E535"/>
      <c r="F535"/>
      <c r="G535"/>
      <c r="H535"/>
    </row>
    <row r="572" spans="1:8" x14ac:dyDescent="0.25">
      <c r="A572" s="166"/>
      <c r="B572" s="111"/>
      <c r="C572" s="111"/>
      <c r="D572" s="167"/>
      <c r="E572" s="112"/>
      <c r="F572" s="113"/>
      <c r="G572" s="167"/>
      <c r="H572" s="168"/>
    </row>
    <row r="573" spans="1:8" x14ac:dyDescent="0.25">
      <c r="A573" s="166"/>
      <c r="B573" s="111"/>
      <c r="C573" s="111"/>
      <c r="D573" s="167"/>
      <c r="E573" s="112"/>
      <c r="F573" s="113"/>
      <c r="G573" s="167"/>
      <c r="H573" s="168"/>
    </row>
    <row r="574" spans="1:8" x14ac:dyDescent="0.25">
      <c r="A574" s="166"/>
      <c r="B574" s="111"/>
      <c r="C574" s="111"/>
      <c r="D574" s="167"/>
      <c r="E574" s="112"/>
      <c r="F574" s="113"/>
      <c r="G574" s="167"/>
      <c r="H574" s="168"/>
    </row>
    <row r="575" spans="1:8" x14ac:dyDescent="0.25">
      <c r="A575" s="166"/>
      <c r="B575" s="111"/>
      <c r="C575" s="111"/>
      <c r="D575" s="167"/>
      <c r="E575" s="112"/>
      <c r="F575" s="113"/>
      <c r="G575" s="167"/>
      <c r="H575" s="168"/>
    </row>
    <row r="576" spans="1:8" x14ac:dyDescent="0.25">
      <c r="A576" s="166"/>
      <c r="B576" s="111"/>
      <c r="C576" s="111"/>
      <c r="D576" s="167"/>
      <c r="E576" s="112"/>
      <c r="F576" s="113"/>
      <c r="G576" s="167"/>
      <c r="H576" s="168"/>
    </row>
    <row r="577" spans="1:8" x14ac:dyDescent="0.25">
      <c r="A577" s="166"/>
      <c r="B577" s="111"/>
      <c r="C577" s="111"/>
      <c r="D577" s="167"/>
      <c r="E577" s="112"/>
      <c r="F577" s="113"/>
      <c r="G577" s="167"/>
      <c r="H577" s="168"/>
    </row>
    <row r="578" spans="1:8" x14ac:dyDescent="0.25">
      <c r="A578" s="166"/>
      <c r="B578" s="111"/>
      <c r="C578" s="111"/>
      <c r="D578" s="167"/>
      <c r="E578" s="112"/>
      <c r="F578" s="113"/>
      <c r="G578" s="167"/>
      <c r="H578" s="168"/>
    </row>
    <row r="579" spans="1:8" x14ac:dyDescent="0.25">
      <c r="A579" s="166"/>
      <c r="B579" s="111"/>
      <c r="C579" s="111"/>
      <c r="D579" s="167"/>
      <c r="E579" s="112"/>
      <c r="F579" s="113"/>
      <c r="G579" s="167"/>
      <c r="H579" s="168"/>
    </row>
    <row r="580" spans="1:8" x14ac:dyDescent="0.25">
      <c r="A580" s="166"/>
      <c r="B580" s="111"/>
      <c r="C580" s="111"/>
      <c r="D580" s="167"/>
      <c r="E580" s="112"/>
      <c r="F580" s="113"/>
      <c r="G580" s="167"/>
      <c r="H580" s="168"/>
    </row>
    <row r="581" spans="1:8" x14ac:dyDescent="0.25">
      <c r="A581" s="166"/>
      <c r="B581" s="111"/>
      <c r="C581" s="111"/>
      <c r="D581" s="167"/>
      <c r="E581" s="112"/>
      <c r="F581" s="113"/>
      <c r="G581" s="167"/>
      <c r="H581" s="168"/>
    </row>
    <row r="582" spans="1:8" x14ac:dyDescent="0.25">
      <c r="A582" s="166"/>
      <c r="B582" s="111"/>
      <c r="C582" s="111"/>
      <c r="D582" s="167"/>
      <c r="E582" s="112"/>
      <c r="F582" s="113"/>
      <c r="G582" s="167"/>
      <c r="H582" s="168"/>
    </row>
    <row r="583" spans="1:8" x14ac:dyDescent="0.25">
      <c r="A583" s="166"/>
      <c r="B583" s="111"/>
      <c r="C583" s="111"/>
      <c r="D583" s="167"/>
      <c r="E583" s="112"/>
      <c r="F583" s="113"/>
      <c r="G583" s="167"/>
      <c r="H583" s="168"/>
    </row>
    <row r="584" spans="1:8" x14ac:dyDescent="0.25">
      <c r="A584" s="166"/>
      <c r="B584" s="111"/>
      <c r="C584" s="111"/>
      <c r="D584" s="167"/>
      <c r="E584" s="112"/>
      <c r="F584" s="113"/>
      <c r="G584" s="167"/>
      <c r="H584" s="168"/>
    </row>
    <row r="585" spans="1:8" x14ac:dyDescent="0.25">
      <c r="A585" s="166"/>
      <c r="B585" s="111"/>
      <c r="C585" s="111"/>
      <c r="D585" s="167"/>
      <c r="E585" s="112"/>
      <c r="F585" s="113"/>
      <c r="G585" s="167"/>
      <c r="H585" s="168"/>
    </row>
    <row r="586" spans="1:8" x14ac:dyDescent="0.25">
      <c r="A586" s="166"/>
      <c r="B586" s="111"/>
      <c r="C586" s="111"/>
      <c r="D586" s="167"/>
      <c r="E586" s="112"/>
      <c r="F586" s="113"/>
      <c r="G586" s="167"/>
      <c r="H586" s="168"/>
    </row>
    <row r="587" spans="1:8" x14ac:dyDescent="0.25">
      <c r="A587" s="166"/>
      <c r="B587" s="111"/>
      <c r="C587" s="111"/>
      <c r="D587" s="167"/>
      <c r="E587" s="112"/>
      <c r="F587" s="113"/>
      <c r="G587" s="167"/>
      <c r="H587" s="168"/>
    </row>
    <row r="588" spans="1:8" x14ac:dyDescent="0.25">
      <c r="A588" s="166"/>
      <c r="B588" s="111"/>
      <c r="C588" s="111"/>
      <c r="D588" s="167"/>
      <c r="E588" s="112"/>
      <c r="F588" s="113"/>
      <c r="G588" s="167"/>
      <c r="H588" s="168"/>
    </row>
    <row r="589" spans="1:8" x14ac:dyDescent="0.25">
      <c r="A589" s="166"/>
      <c r="B589" s="111"/>
      <c r="C589" s="111"/>
      <c r="D589" s="167"/>
      <c r="E589" s="112"/>
      <c r="F589" s="113"/>
      <c r="G589" s="167"/>
      <c r="H589" s="168"/>
    </row>
    <row r="590" spans="1:8" x14ac:dyDescent="0.25">
      <c r="A590" s="166"/>
      <c r="B590" s="111"/>
      <c r="C590" s="111"/>
      <c r="D590" s="167"/>
      <c r="E590" s="112"/>
      <c r="F590" s="113"/>
      <c r="G590" s="167"/>
      <c r="H590" s="168"/>
    </row>
    <row r="591" spans="1:8" x14ac:dyDescent="0.25">
      <c r="A591" s="166"/>
      <c r="B591" s="111"/>
      <c r="C591" s="111"/>
      <c r="D591" s="167"/>
      <c r="E591" s="112"/>
      <c r="F591" s="113"/>
      <c r="G591" s="167"/>
      <c r="H591" s="168"/>
    </row>
    <row r="592" spans="1:8" x14ac:dyDescent="0.25">
      <c r="A592" s="166"/>
      <c r="B592" s="111"/>
      <c r="C592" s="111"/>
      <c r="D592" s="167"/>
      <c r="E592" s="112"/>
      <c r="F592" s="113"/>
      <c r="G592" s="167"/>
      <c r="H592" s="168"/>
    </row>
    <row r="593" spans="1:8" x14ac:dyDescent="0.25">
      <c r="A593" s="166"/>
      <c r="B593" s="111"/>
      <c r="C593" s="111"/>
      <c r="D593" s="167"/>
      <c r="E593" s="112"/>
      <c r="F593" s="113"/>
      <c r="G593" s="167"/>
      <c r="H593" s="168"/>
    </row>
    <row r="594" spans="1:8" x14ac:dyDescent="0.25">
      <c r="A594" s="166"/>
      <c r="B594" s="111"/>
      <c r="C594" s="111"/>
      <c r="D594" s="167"/>
      <c r="E594" s="112"/>
      <c r="F594" s="113"/>
      <c r="G594" s="167"/>
      <c r="H594" s="168"/>
    </row>
    <row r="595" spans="1:8" x14ac:dyDescent="0.25">
      <c r="A595" s="166"/>
      <c r="B595" s="111"/>
      <c r="C595" s="111"/>
      <c r="D595" s="167"/>
      <c r="E595" s="112"/>
      <c r="F595" s="113"/>
      <c r="G595" s="167"/>
      <c r="H595" s="168"/>
    </row>
    <row r="596" spans="1:8" x14ac:dyDescent="0.25">
      <c r="A596" s="166"/>
      <c r="B596" s="111"/>
      <c r="C596" s="111"/>
      <c r="D596" s="167"/>
      <c r="E596" s="112"/>
      <c r="F596" s="113"/>
      <c r="G596" s="167"/>
      <c r="H596" s="168"/>
    </row>
    <row r="597" spans="1:8" x14ac:dyDescent="0.25">
      <c r="A597" s="166"/>
      <c r="B597" s="111"/>
      <c r="C597" s="111"/>
      <c r="D597" s="167"/>
      <c r="E597" s="112"/>
      <c r="F597" s="113"/>
      <c r="G597" s="167"/>
      <c r="H597" s="168"/>
    </row>
    <row r="598" spans="1:8" x14ac:dyDescent="0.25">
      <c r="A598" s="166"/>
      <c r="B598" s="111"/>
      <c r="C598" s="111"/>
      <c r="D598" s="167"/>
      <c r="E598" s="112"/>
      <c r="F598" s="113"/>
      <c r="G598" s="167"/>
      <c r="H598" s="168"/>
    </row>
    <row r="599" spans="1:8" x14ac:dyDescent="0.25">
      <c r="A599" s="166"/>
      <c r="B599" s="111"/>
      <c r="C599" s="111"/>
      <c r="D599" s="167"/>
      <c r="E599" s="112"/>
      <c r="F599" s="113"/>
      <c r="G599" s="167"/>
      <c r="H599" s="168"/>
    </row>
    <row r="600" spans="1:8" x14ac:dyDescent="0.25">
      <c r="A600" s="166"/>
      <c r="B600" s="111"/>
      <c r="C600" s="111"/>
      <c r="D600" s="167"/>
      <c r="E600" s="112"/>
      <c r="F600" s="113"/>
      <c r="G600" s="167"/>
      <c r="H600" s="168"/>
    </row>
    <row r="601" spans="1:8" x14ac:dyDescent="0.25">
      <c r="A601" s="166"/>
      <c r="B601" s="111"/>
      <c r="C601" s="111"/>
      <c r="D601" s="167"/>
      <c r="E601" s="112"/>
      <c r="F601" s="113"/>
      <c r="G601" s="167"/>
      <c r="H601" s="168"/>
    </row>
    <row r="602" spans="1:8" x14ac:dyDescent="0.25">
      <c r="A602" s="166"/>
      <c r="B602" s="111"/>
      <c r="C602" s="111"/>
      <c r="D602" s="167"/>
      <c r="E602" s="112"/>
      <c r="F602" s="113"/>
      <c r="G602" s="167"/>
      <c r="H602" s="168"/>
    </row>
    <row r="603" spans="1:8" x14ac:dyDescent="0.25">
      <c r="A603" s="166"/>
      <c r="B603" s="111"/>
      <c r="C603" s="111"/>
      <c r="D603" s="167"/>
      <c r="E603" s="112"/>
      <c r="F603" s="113"/>
      <c r="G603" s="167"/>
      <c r="H603" s="168"/>
    </row>
    <row r="604" spans="1:8" x14ac:dyDescent="0.25">
      <c r="A604" s="166"/>
      <c r="B604" s="111"/>
      <c r="C604" s="111"/>
      <c r="D604" s="167"/>
      <c r="E604" s="112"/>
      <c r="F604" s="113"/>
      <c r="G604" s="167"/>
      <c r="H604" s="168"/>
    </row>
    <row r="605" spans="1:8" x14ac:dyDescent="0.25">
      <c r="A605" s="166"/>
      <c r="B605" s="111"/>
      <c r="C605" s="111"/>
      <c r="D605" s="167"/>
      <c r="E605" s="112"/>
      <c r="F605" s="113"/>
      <c r="G605" s="167"/>
      <c r="H605" s="168"/>
    </row>
    <row r="606" spans="1:8" x14ac:dyDescent="0.25">
      <c r="A606" s="166"/>
      <c r="B606" s="111"/>
      <c r="C606" s="111"/>
      <c r="D606" s="167"/>
      <c r="E606" s="112"/>
      <c r="F606" s="113"/>
      <c r="G606" s="167"/>
      <c r="H606" s="168"/>
    </row>
    <row r="607" spans="1:8" x14ac:dyDescent="0.25">
      <c r="A607" s="166"/>
      <c r="B607" s="111"/>
      <c r="C607" s="111"/>
      <c r="D607" s="167"/>
      <c r="E607" s="112"/>
      <c r="F607" s="113"/>
      <c r="G607" s="167"/>
      <c r="H607" s="168"/>
    </row>
    <row r="608" spans="1:8" x14ac:dyDescent="0.25">
      <c r="A608" s="166"/>
      <c r="B608" s="111"/>
      <c r="C608" s="111"/>
      <c r="D608" s="167"/>
      <c r="E608" s="112"/>
      <c r="F608" s="113"/>
      <c r="G608" s="167"/>
      <c r="H608" s="168"/>
    </row>
    <row r="609" spans="1:8" x14ac:dyDescent="0.25">
      <c r="A609" s="166"/>
      <c r="B609" s="111"/>
      <c r="C609" s="111"/>
      <c r="D609" s="167"/>
      <c r="E609" s="112"/>
      <c r="F609" s="113"/>
      <c r="G609" s="167"/>
      <c r="H609" s="168"/>
    </row>
    <row r="610" spans="1:8" x14ac:dyDescent="0.25">
      <c r="A610" s="166"/>
      <c r="B610" s="111"/>
      <c r="C610" s="111"/>
      <c r="D610" s="167"/>
      <c r="E610" s="112"/>
      <c r="F610" s="113"/>
      <c r="G610" s="167"/>
      <c r="H610" s="168"/>
    </row>
    <row r="611" spans="1:8" x14ac:dyDescent="0.25">
      <c r="A611" s="166"/>
      <c r="B611" s="111"/>
      <c r="C611" s="111"/>
      <c r="D611" s="167"/>
      <c r="E611" s="112"/>
      <c r="F611" s="113"/>
      <c r="G611" s="167"/>
      <c r="H611" s="168"/>
    </row>
    <row r="612" spans="1:8" x14ac:dyDescent="0.25">
      <c r="A612" s="166"/>
      <c r="B612" s="111"/>
      <c r="C612" s="111"/>
      <c r="D612" s="167"/>
      <c r="E612" s="112"/>
      <c r="F612" s="113"/>
      <c r="G612" s="167"/>
      <c r="H612" s="168"/>
    </row>
    <row r="613" spans="1:8" x14ac:dyDescent="0.25">
      <c r="A613" s="166"/>
      <c r="B613" s="111"/>
      <c r="C613" s="111"/>
      <c r="D613" s="167"/>
      <c r="E613" s="112"/>
      <c r="F613" s="113"/>
      <c r="G613" s="167"/>
      <c r="H613" s="168"/>
    </row>
    <row r="614" spans="1:8" x14ac:dyDescent="0.25">
      <c r="A614" s="166"/>
      <c r="B614" s="111"/>
      <c r="C614" s="111"/>
      <c r="D614" s="167"/>
      <c r="E614" s="112"/>
      <c r="F614" s="113"/>
      <c r="G614" s="167"/>
      <c r="H614" s="168"/>
    </row>
    <row r="615" spans="1:8" x14ac:dyDescent="0.25">
      <c r="A615" s="166"/>
      <c r="B615" s="111"/>
      <c r="C615" s="111"/>
      <c r="D615" s="167"/>
      <c r="E615" s="112"/>
      <c r="F615" s="113"/>
      <c r="G615" s="167"/>
      <c r="H615" s="168"/>
    </row>
    <row r="616" spans="1:8" x14ac:dyDescent="0.25">
      <c r="A616" s="166"/>
      <c r="B616" s="111"/>
      <c r="C616" s="111"/>
      <c r="D616" s="167"/>
      <c r="E616" s="112"/>
      <c r="F616" s="113"/>
      <c r="G616" s="167"/>
      <c r="H616" s="168"/>
    </row>
    <row r="617" spans="1:8" x14ac:dyDescent="0.25">
      <c r="A617" s="166"/>
      <c r="B617" s="111"/>
      <c r="C617" s="111"/>
      <c r="D617" s="167"/>
      <c r="E617" s="112"/>
      <c r="F617" s="113"/>
      <c r="G617" s="167"/>
      <c r="H617" s="168"/>
    </row>
    <row r="618" spans="1:8" x14ac:dyDescent="0.25">
      <c r="A618" s="166"/>
      <c r="B618" s="111"/>
      <c r="C618" s="111"/>
      <c r="D618" s="167"/>
      <c r="E618" s="112"/>
      <c r="F618" s="113"/>
      <c r="G618" s="167"/>
      <c r="H618" s="168"/>
    </row>
    <row r="619" spans="1:8" x14ac:dyDescent="0.25">
      <c r="A619" s="166"/>
      <c r="B619" s="111"/>
      <c r="C619" s="111"/>
      <c r="D619" s="167"/>
      <c r="E619" s="112"/>
      <c r="F619" s="113"/>
      <c r="G619" s="167"/>
      <c r="H619" s="168"/>
    </row>
    <row r="620" spans="1:8" x14ac:dyDescent="0.25">
      <c r="A620" s="166"/>
      <c r="B620" s="111"/>
      <c r="C620" s="111"/>
      <c r="D620" s="167"/>
      <c r="E620" s="112"/>
      <c r="F620" s="113"/>
      <c r="G620" s="167"/>
      <c r="H620" s="168"/>
    </row>
    <row r="621" spans="1:8" x14ac:dyDescent="0.25">
      <c r="A621" s="166"/>
      <c r="B621" s="111"/>
      <c r="C621" s="111"/>
      <c r="D621" s="167"/>
      <c r="E621" s="112"/>
      <c r="F621" s="113"/>
      <c r="G621" s="167"/>
      <c r="H621" s="168"/>
    </row>
    <row r="622" spans="1:8" x14ac:dyDescent="0.25">
      <c r="A622" s="166"/>
      <c r="B622" s="111"/>
      <c r="C622" s="111"/>
      <c r="D622" s="167"/>
      <c r="E622" s="112"/>
      <c r="F622" s="113"/>
      <c r="G622" s="167"/>
      <c r="H622" s="168"/>
    </row>
    <row r="623" spans="1:8" x14ac:dyDescent="0.25">
      <c r="A623" s="166"/>
      <c r="B623" s="111"/>
      <c r="C623" s="111"/>
      <c r="D623" s="167"/>
      <c r="E623" s="112"/>
      <c r="F623" s="113"/>
      <c r="G623" s="167"/>
      <c r="H623" s="168"/>
    </row>
    <row r="624" spans="1:8" x14ac:dyDescent="0.25">
      <c r="A624" s="166"/>
      <c r="B624" s="111"/>
      <c r="C624" s="111"/>
      <c r="D624" s="167"/>
      <c r="E624" s="112"/>
      <c r="F624" s="113"/>
      <c r="G624" s="167"/>
      <c r="H624" s="168"/>
    </row>
    <row r="625" spans="1:8" x14ac:dyDescent="0.25">
      <c r="A625" s="166"/>
      <c r="B625" s="111"/>
      <c r="C625" s="111"/>
      <c r="D625" s="167"/>
      <c r="E625" s="112"/>
      <c r="F625" s="113"/>
      <c r="G625" s="167"/>
      <c r="H625" s="168"/>
    </row>
    <row r="626" spans="1:8" x14ac:dyDescent="0.25">
      <c r="A626" s="166"/>
      <c r="B626" s="111"/>
      <c r="C626" s="111"/>
      <c r="D626" s="167"/>
      <c r="E626" s="112"/>
      <c r="F626" s="113"/>
      <c r="G626" s="167"/>
      <c r="H626" s="168"/>
    </row>
    <row r="627" spans="1:8" x14ac:dyDescent="0.25">
      <c r="A627" s="166"/>
      <c r="B627" s="111"/>
      <c r="C627" s="111"/>
      <c r="D627" s="167"/>
      <c r="E627" s="112"/>
      <c r="F627" s="113"/>
      <c r="G627" s="167"/>
      <c r="H627" s="168"/>
    </row>
    <row r="628" spans="1:8" x14ac:dyDescent="0.25">
      <c r="A628" s="166"/>
      <c r="B628" s="111"/>
      <c r="C628" s="111"/>
      <c r="D628" s="167"/>
      <c r="E628" s="112"/>
      <c r="F628" s="113"/>
      <c r="G628" s="167"/>
      <c r="H628" s="168"/>
    </row>
    <row r="629" spans="1:8" x14ac:dyDescent="0.25">
      <c r="A629" s="166"/>
      <c r="B629" s="111"/>
      <c r="C629" s="111"/>
      <c r="D629" s="167"/>
      <c r="E629" s="112"/>
      <c r="F629" s="113"/>
      <c r="G629" s="167"/>
      <c r="H629" s="168"/>
    </row>
    <row r="630" spans="1:8" x14ac:dyDescent="0.25">
      <c r="A630" s="166"/>
      <c r="B630" s="111"/>
      <c r="C630" s="111"/>
      <c r="D630" s="167"/>
      <c r="E630" s="112"/>
      <c r="F630" s="113"/>
      <c r="G630" s="167"/>
      <c r="H630" s="168"/>
    </row>
    <row r="631" spans="1:8" x14ac:dyDescent="0.25">
      <c r="A631" s="166"/>
      <c r="B631" s="111"/>
      <c r="C631" s="111"/>
      <c r="D631" s="167"/>
      <c r="E631" s="112"/>
      <c r="F631" s="113"/>
      <c r="G631" s="167"/>
      <c r="H631" s="168"/>
    </row>
    <row r="632" spans="1:8" x14ac:dyDescent="0.25">
      <c r="A632" s="166"/>
      <c r="B632" s="111"/>
      <c r="C632" s="111"/>
      <c r="D632" s="167"/>
      <c r="E632" s="112"/>
      <c r="F632" s="113"/>
      <c r="G632" s="167"/>
      <c r="H632" s="168"/>
    </row>
    <row r="633" spans="1:8" x14ac:dyDescent="0.25">
      <c r="A633" s="166"/>
      <c r="B633" s="111"/>
      <c r="C633" s="111"/>
      <c r="D633" s="167"/>
      <c r="E633" s="112"/>
      <c r="F633" s="113"/>
      <c r="G633" s="167"/>
      <c r="H633" s="168"/>
    </row>
    <row r="634" spans="1:8" x14ac:dyDescent="0.25">
      <c r="A634" s="166"/>
      <c r="B634" s="111"/>
      <c r="C634" s="111"/>
      <c r="D634" s="167"/>
      <c r="E634" s="112"/>
      <c r="F634" s="113"/>
      <c r="G634" s="167"/>
      <c r="H634" s="168"/>
    </row>
    <row r="635" spans="1:8" x14ac:dyDescent="0.25">
      <c r="A635" s="166"/>
      <c r="B635" s="111"/>
      <c r="C635" s="111"/>
      <c r="D635" s="167"/>
      <c r="E635" s="112"/>
      <c r="F635" s="113"/>
      <c r="G635" s="167"/>
      <c r="H635" s="168"/>
    </row>
    <row r="636" spans="1:8" x14ac:dyDescent="0.25">
      <c r="A636" s="166"/>
      <c r="B636" s="111"/>
      <c r="C636" s="111"/>
      <c r="D636" s="167"/>
      <c r="E636" s="112"/>
      <c r="F636" s="113"/>
      <c r="G636" s="167"/>
      <c r="H636" s="168"/>
    </row>
    <row r="637" spans="1:8" x14ac:dyDescent="0.25">
      <c r="A637" s="166"/>
      <c r="B637" s="111"/>
      <c r="C637" s="111"/>
      <c r="D637" s="167"/>
      <c r="E637" s="112"/>
      <c r="F637" s="113"/>
      <c r="G637" s="167"/>
      <c r="H637" s="168"/>
    </row>
    <row r="638" spans="1:8" x14ac:dyDescent="0.25">
      <c r="A638" s="166"/>
      <c r="B638" s="111"/>
      <c r="C638" s="111"/>
      <c r="D638" s="167"/>
      <c r="E638" s="112"/>
      <c r="F638" s="113"/>
      <c r="G638" s="167"/>
      <c r="H638" s="168"/>
    </row>
    <row r="639" spans="1:8" x14ac:dyDescent="0.25">
      <c r="A639" s="166"/>
      <c r="B639" s="111"/>
      <c r="C639" s="111"/>
      <c r="D639" s="167"/>
      <c r="E639" s="112"/>
      <c r="F639" s="113"/>
      <c r="G639" s="167"/>
      <c r="H639" s="168"/>
    </row>
    <row r="640" spans="1:8" x14ac:dyDescent="0.25">
      <c r="A640" s="166"/>
      <c r="B640" s="111"/>
      <c r="C640" s="111"/>
      <c r="D640" s="167"/>
      <c r="E640" s="112"/>
      <c r="F640" s="113"/>
      <c r="G640" s="167"/>
      <c r="H640" s="168"/>
    </row>
    <row r="641" spans="1:8" x14ac:dyDescent="0.25">
      <c r="A641" s="166"/>
      <c r="B641" s="111"/>
      <c r="C641" s="111"/>
      <c r="D641" s="167"/>
      <c r="E641" s="112"/>
      <c r="F641" s="113"/>
      <c r="G641" s="167"/>
      <c r="H641" s="168"/>
    </row>
    <row r="642" spans="1:8" x14ac:dyDescent="0.25">
      <c r="A642" s="166"/>
      <c r="B642" s="111"/>
      <c r="C642" s="111"/>
      <c r="D642" s="167"/>
      <c r="E642" s="112"/>
      <c r="F642" s="113"/>
      <c r="G642" s="167"/>
      <c r="H642" s="168"/>
    </row>
    <row r="643" spans="1:8" x14ac:dyDescent="0.25">
      <c r="A643" s="166"/>
      <c r="B643" s="111"/>
      <c r="C643" s="111"/>
      <c r="D643" s="167"/>
      <c r="E643" s="112"/>
      <c r="F643" s="113"/>
      <c r="G643" s="167"/>
      <c r="H643" s="168"/>
    </row>
    <row r="644" spans="1:8" x14ac:dyDescent="0.25">
      <c r="A644" s="166"/>
      <c r="B644" s="111"/>
      <c r="C644" s="111"/>
      <c r="D644" s="167"/>
      <c r="E644" s="112"/>
      <c r="F644" s="113"/>
      <c r="G644" s="167"/>
      <c r="H644" s="168"/>
    </row>
    <row r="645" spans="1:8" x14ac:dyDescent="0.25">
      <c r="A645" s="166"/>
      <c r="B645" s="111"/>
      <c r="C645" s="111"/>
      <c r="D645" s="167"/>
      <c r="E645" s="112"/>
      <c r="F645" s="113"/>
      <c r="G645" s="167"/>
      <c r="H645" s="168"/>
    </row>
    <row r="646" spans="1:8" x14ac:dyDescent="0.25">
      <c r="A646" s="166"/>
      <c r="B646" s="111"/>
      <c r="C646" s="111"/>
      <c r="D646" s="167"/>
      <c r="E646" s="112"/>
      <c r="F646" s="113"/>
      <c r="G646" s="167"/>
      <c r="H646" s="168"/>
    </row>
    <row r="647" spans="1:8" x14ac:dyDescent="0.25">
      <c r="A647" s="166"/>
      <c r="B647" s="111"/>
      <c r="C647" s="111"/>
      <c r="D647" s="167"/>
      <c r="E647" s="112"/>
      <c r="F647" s="113"/>
      <c r="G647" s="167"/>
      <c r="H647" s="168"/>
    </row>
    <row r="648" spans="1:8" x14ac:dyDescent="0.25">
      <c r="A648" s="166"/>
      <c r="B648" s="111"/>
      <c r="C648" s="111"/>
      <c r="D648" s="167"/>
      <c r="E648" s="112"/>
      <c r="F648" s="113"/>
      <c r="G648" s="167"/>
      <c r="H648" s="168"/>
    </row>
    <row r="649" spans="1:8" x14ac:dyDescent="0.25">
      <c r="A649" s="166"/>
      <c r="B649" s="111"/>
      <c r="C649" s="111"/>
      <c r="D649" s="167"/>
      <c r="E649" s="112"/>
      <c r="F649" s="113"/>
      <c r="G649" s="167"/>
      <c r="H649" s="168"/>
    </row>
    <row r="650" spans="1:8" x14ac:dyDescent="0.25">
      <c r="A650" s="166"/>
      <c r="B650" s="111"/>
      <c r="C650" s="111"/>
      <c r="D650" s="167"/>
      <c r="E650" s="112"/>
      <c r="F650" s="113"/>
      <c r="G650" s="167"/>
      <c r="H650" s="168"/>
    </row>
    <row r="651" spans="1:8" x14ac:dyDescent="0.25">
      <c r="A651" s="166"/>
      <c r="B651" s="111"/>
      <c r="C651" s="111"/>
      <c r="D651" s="167"/>
      <c r="E651" s="112"/>
      <c r="F651" s="113"/>
      <c r="G651" s="167"/>
      <c r="H651" s="168"/>
    </row>
    <row r="652" spans="1:8" x14ac:dyDescent="0.25">
      <c r="A652" s="166"/>
      <c r="B652" s="111"/>
      <c r="C652" s="111"/>
      <c r="D652" s="167"/>
      <c r="E652" s="112"/>
      <c r="F652" s="113"/>
      <c r="G652" s="167"/>
      <c r="H652" s="168"/>
    </row>
    <row r="653" spans="1:8" x14ac:dyDescent="0.25">
      <c r="A653" s="166"/>
      <c r="B653" s="111"/>
      <c r="C653" s="111"/>
      <c r="D653" s="167"/>
      <c r="E653" s="112"/>
      <c r="F653" s="113"/>
      <c r="G653" s="167"/>
      <c r="H653" s="168"/>
    </row>
    <row r="654" spans="1:8" x14ac:dyDescent="0.25">
      <c r="A654" s="166"/>
      <c r="B654" s="111"/>
      <c r="C654" s="111"/>
      <c r="D654" s="167"/>
      <c r="E654" s="112"/>
      <c r="F654" s="113"/>
      <c r="G654" s="167"/>
      <c r="H654" s="168"/>
    </row>
    <row r="655" spans="1:8" x14ac:dyDescent="0.25">
      <c r="A655" s="166"/>
      <c r="B655" s="111"/>
      <c r="C655" s="111"/>
      <c r="D655" s="167"/>
      <c r="E655" s="112"/>
      <c r="F655" s="113"/>
      <c r="G655" s="167"/>
      <c r="H655" s="168"/>
    </row>
    <row r="656" spans="1:8" x14ac:dyDescent="0.25">
      <c r="A656" s="166"/>
      <c r="B656" s="111"/>
      <c r="C656" s="111"/>
      <c r="D656" s="167"/>
      <c r="E656" s="112"/>
      <c r="F656" s="113"/>
      <c r="G656" s="167"/>
      <c r="H656" s="168"/>
    </row>
    <row r="657" spans="1:8" x14ac:dyDescent="0.25">
      <c r="A657" s="166"/>
      <c r="B657" s="111"/>
      <c r="C657" s="111"/>
      <c r="D657" s="167"/>
      <c r="E657" s="112"/>
      <c r="F657" s="113"/>
      <c r="G657" s="167"/>
      <c r="H657" s="168"/>
    </row>
    <row r="658" spans="1:8" x14ac:dyDescent="0.25">
      <c r="A658" s="166"/>
      <c r="B658" s="111"/>
      <c r="C658" s="111"/>
      <c r="D658" s="167"/>
      <c r="E658" s="112"/>
      <c r="F658" s="113"/>
      <c r="G658" s="167"/>
      <c r="H658" s="168"/>
    </row>
    <row r="659" spans="1:8" x14ac:dyDescent="0.25">
      <c r="A659" s="166"/>
      <c r="B659" s="111"/>
      <c r="C659" s="111"/>
      <c r="D659" s="167"/>
      <c r="E659" s="112"/>
      <c r="F659" s="113"/>
      <c r="G659" s="167"/>
      <c r="H659" s="168"/>
    </row>
    <row r="660" spans="1:8" x14ac:dyDescent="0.25">
      <c r="A660" s="166"/>
      <c r="B660" s="111"/>
      <c r="C660" s="111"/>
      <c r="D660" s="167"/>
      <c r="E660" s="112"/>
      <c r="F660" s="113"/>
      <c r="G660" s="167"/>
      <c r="H660" s="168"/>
    </row>
    <row r="661" spans="1:8" x14ac:dyDescent="0.25">
      <c r="A661" s="166"/>
      <c r="B661" s="111"/>
      <c r="C661" s="111"/>
      <c r="D661" s="167"/>
      <c r="E661" s="112"/>
      <c r="F661" s="113"/>
      <c r="G661" s="167"/>
      <c r="H661" s="168"/>
    </row>
    <row r="662" spans="1:8" x14ac:dyDescent="0.25">
      <c r="A662" s="166"/>
      <c r="B662" s="111"/>
      <c r="C662" s="111"/>
      <c r="D662" s="167"/>
      <c r="E662" s="112"/>
      <c r="F662" s="113"/>
      <c r="G662" s="167"/>
      <c r="H662" s="168"/>
    </row>
    <row r="663" spans="1:8" x14ac:dyDescent="0.25">
      <c r="A663" s="166"/>
      <c r="B663" s="111"/>
      <c r="C663" s="111"/>
      <c r="D663" s="167"/>
      <c r="E663" s="112"/>
      <c r="F663" s="113"/>
      <c r="G663" s="167"/>
      <c r="H663" s="168"/>
    </row>
    <row r="664" spans="1:8" x14ac:dyDescent="0.25">
      <c r="A664" s="166"/>
      <c r="B664" s="111"/>
      <c r="C664" s="111"/>
      <c r="D664" s="167"/>
      <c r="E664" s="112"/>
      <c r="F664" s="113"/>
      <c r="G664" s="167"/>
      <c r="H664" s="168"/>
    </row>
    <row r="665" spans="1:8" x14ac:dyDescent="0.25">
      <c r="A665" s="166"/>
      <c r="B665" s="111"/>
      <c r="C665" s="111"/>
      <c r="D665" s="167"/>
      <c r="E665" s="112"/>
      <c r="F665" s="113"/>
      <c r="G665" s="167"/>
      <c r="H665" s="168"/>
    </row>
    <row r="666" spans="1:8" x14ac:dyDescent="0.25">
      <c r="A666" s="166"/>
      <c r="B666" s="111"/>
      <c r="C666" s="111"/>
      <c r="D666" s="167"/>
      <c r="E666" s="112"/>
      <c r="F666" s="113"/>
      <c r="G666" s="167"/>
      <c r="H666" s="168"/>
    </row>
    <row r="667" spans="1:8" x14ac:dyDescent="0.25">
      <c r="A667" s="166"/>
      <c r="B667" s="111"/>
      <c r="C667" s="111"/>
      <c r="D667" s="167"/>
      <c r="E667" s="112"/>
      <c r="F667" s="113"/>
      <c r="G667" s="167"/>
      <c r="H667" s="168"/>
    </row>
    <row r="668" spans="1:8" x14ac:dyDescent="0.25">
      <c r="A668" s="166"/>
      <c r="B668" s="111"/>
      <c r="C668" s="111"/>
      <c r="D668" s="167"/>
      <c r="E668" s="112"/>
      <c r="F668" s="113"/>
      <c r="G668" s="167"/>
      <c r="H668" s="168"/>
    </row>
    <row r="669" spans="1:8" x14ac:dyDescent="0.25">
      <c r="A669" s="166"/>
      <c r="B669" s="111"/>
      <c r="C669" s="111"/>
      <c r="D669" s="167"/>
      <c r="E669" s="112"/>
      <c r="F669" s="113"/>
      <c r="G669" s="167"/>
      <c r="H669" s="168"/>
    </row>
    <row r="670" spans="1:8" x14ac:dyDescent="0.25">
      <c r="A670" s="166"/>
      <c r="B670" s="111"/>
      <c r="C670" s="111"/>
      <c r="D670" s="167"/>
      <c r="E670" s="112"/>
      <c r="F670" s="113"/>
      <c r="G670" s="167"/>
      <c r="H670" s="168"/>
    </row>
    <row r="671" spans="1:8" x14ac:dyDescent="0.25">
      <c r="A671" s="166"/>
      <c r="B671" s="111"/>
      <c r="C671" s="111"/>
      <c r="D671" s="167"/>
      <c r="E671" s="112"/>
      <c r="F671" s="113"/>
      <c r="G671" s="167"/>
      <c r="H671" s="168"/>
    </row>
    <row r="672" spans="1:8" x14ac:dyDescent="0.25">
      <c r="A672" s="166"/>
      <c r="B672" s="111"/>
      <c r="C672" s="111"/>
      <c r="D672" s="167"/>
      <c r="E672" s="112"/>
      <c r="F672" s="113"/>
      <c r="G672" s="167"/>
      <c r="H672" s="168"/>
    </row>
    <row r="673" spans="1:8" x14ac:dyDescent="0.25">
      <c r="A673" s="166"/>
      <c r="B673" s="111"/>
      <c r="C673" s="111"/>
      <c r="D673" s="167"/>
      <c r="E673" s="112"/>
      <c r="F673" s="113"/>
      <c r="G673" s="167"/>
      <c r="H673" s="168"/>
    </row>
    <row r="674" spans="1:8" x14ac:dyDescent="0.25">
      <c r="A674" s="166"/>
      <c r="B674" s="111"/>
      <c r="C674" s="111"/>
      <c r="D674" s="167"/>
      <c r="E674" s="112"/>
      <c r="F674" s="113"/>
      <c r="G674" s="167"/>
      <c r="H674" s="168"/>
    </row>
    <row r="675" spans="1:8" x14ac:dyDescent="0.25">
      <c r="A675" s="166"/>
      <c r="B675" s="111"/>
      <c r="C675" s="111"/>
      <c r="D675" s="167"/>
      <c r="E675" s="112"/>
      <c r="F675" s="113"/>
      <c r="G675" s="167"/>
      <c r="H675" s="168"/>
    </row>
    <row r="676" spans="1:8" x14ac:dyDescent="0.25">
      <c r="A676" s="166"/>
      <c r="B676" s="111"/>
      <c r="C676" s="111"/>
      <c r="D676" s="167"/>
      <c r="E676" s="112"/>
      <c r="F676" s="113"/>
      <c r="G676" s="167"/>
      <c r="H676" s="168"/>
    </row>
    <row r="677" spans="1:8" x14ac:dyDescent="0.25">
      <c r="A677" s="166"/>
      <c r="B677" s="111"/>
      <c r="C677" s="111"/>
      <c r="D677" s="167"/>
      <c r="E677" s="112"/>
      <c r="F677" s="113"/>
      <c r="G677" s="167"/>
      <c r="H677" s="168"/>
    </row>
    <row r="678" spans="1:8" x14ac:dyDescent="0.25">
      <c r="A678" s="166"/>
      <c r="B678" s="111"/>
      <c r="C678" s="111"/>
      <c r="D678" s="167"/>
      <c r="E678" s="112"/>
      <c r="F678" s="113"/>
      <c r="G678" s="167"/>
      <c r="H678" s="168"/>
    </row>
    <row r="679" spans="1:8" x14ac:dyDescent="0.25">
      <c r="A679" s="166"/>
      <c r="B679" s="111"/>
      <c r="C679" s="111"/>
      <c r="D679" s="167"/>
      <c r="E679" s="112"/>
      <c r="F679" s="113"/>
      <c r="G679" s="167"/>
      <c r="H679" s="168"/>
    </row>
    <row r="680" spans="1:8" x14ac:dyDescent="0.25">
      <c r="A680" s="166"/>
      <c r="B680" s="111"/>
      <c r="C680" s="111"/>
      <c r="D680" s="167"/>
      <c r="E680" s="112"/>
      <c r="F680" s="113"/>
      <c r="G680" s="167"/>
      <c r="H680" s="168"/>
    </row>
    <row r="681" spans="1:8" x14ac:dyDescent="0.25">
      <c r="A681" s="166"/>
      <c r="B681" s="111"/>
      <c r="C681" s="111"/>
      <c r="D681" s="167"/>
      <c r="E681" s="112"/>
      <c r="F681" s="113"/>
      <c r="G681" s="167"/>
      <c r="H681" s="168"/>
    </row>
    <row r="682" spans="1:8" x14ac:dyDescent="0.25">
      <c r="A682" s="166"/>
      <c r="B682" s="111"/>
      <c r="C682" s="111"/>
      <c r="D682" s="167"/>
      <c r="E682" s="112"/>
      <c r="F682" s="113"/>
      <c r="G682" s="167"/>
      <c r="H682" s="168"/>
    </row>
    <row r="683" spans="1:8" x14ac:dyDescent="0.25">
      <c r="A683" s="166"/>
      <c r="B683" s="111"/>
      <c r="C683" s="111"/>
      <c r="D683" s="167"/>
      <c r="E683" s="112"/>
      <c r="F683" s="113"/>
      <c r="G683" s="167"/>
      <c r="H683" s="168"/>
    </row>
    <row r="684" spans="1:8" x14ac:dyDescent="0.25">
      <c r="A684" s="166"/>
      <c r="B684" s="111"/>
      <c r="C684" s="111"/>
      <c r="D684" s="167"/>
      <c r="E684" s="112"/>
      <c r="F684" s="113"/>
      <c r="G684" s="167"/>
      <c r="H684" s="168"/>
    </row>
    <row r="685" spans="1:8" x14ac:dyDescent="0.25">
      <c r="A685" s="166"/>
      <c r="B685" s="111"/>
      <c r="C685" s="111"/>
      <c r="D685" s="167"/>
      <c r="E685" s="112"/>
      <c r="F685" s="113"/>
      <c r="G685" s="167"/>
      <c r="H685" s="168"/>
    </row>
    <row r="686" spans="1:8" x14ac:dyDescent="0.25">
      <c r="A686" s="166"/>
      <c r="B686" s="111"/>
      <c r="C686" s="111"/>
      <c r="D686" s="167"/>
      <c r="E686" s="112"/>
      <c r="F686" s="113"/>
      <c r="G686" s="167"/>
      <c r="H686" s="168"/>
    </row>
    <row r="687" spans="1:8" x14ac:dyDescent="0.25">
      <c r="A687" s="166"/>
      <c r="B687" s="111"/>
      <c r="C687" s="111"/>
      <c r="D687" s="167"/>
      <c r="E687" s="112"/>
      <c r="F687" s="113"/>
      <c r="G687" s="167"/>
      <c r="H687" s="168"/>
    </row>
    <row r="688" spans="1:8" x14ac:dyDescent="0.25">
      <c r="A688" s="166"/>
      <c r="B688" s="111"/>
      <c r="C688" s="111"/>
      <c r="D688" s="167"/>
      <c r="E688" s="112"/>
      <c r="F688" s="113"/>
      <c r="G688" s="167"/>
      <c r="H688" s="168"/>
    </row>
    <row r="689" spans="1:8" x14ac:dyDescent="0.25">
      <c r="A689" s="166"/>
      <c r="B689" s="111"/>
      <c r="C689" s="111"/>
      <c r="D689" s="167"/>
      <c r="E689" s="112"/>
      <c r="F689" s="113"/>
      <c r="G689" s="167"/>
      <c r="H689" s="168"/>
    </row>
    <row r="690" spans="1:8" x14ac:dyDescent="0.25">
      <c r="A690" s="166"/>
      <c r="B690" s="111"/>
      <c r="C690" s="111"/>
      <c r="D690" s="167"/>
      <c r="E690" s="112"/>
      <c r="F690" s="113"/>
      <c r="G690" s="167"/>
      <c r="H690" s="168"/>
    </row>
    <row r="691" spans="1:8" x14ac:dyDescent="0.25">
      <c r="A691" s="166"/>
      <c r="B691" s="111"/>
      <c r="C691" s="111"/>
      <c r="D691" s="167"/>
      <c r="E691" s="112"/>
      <c r="F691" s="113"/>
      <c r="G691" s="167"/>
      <c r="H691" s="168"/>
    </row>
    <row r="692" spans="1:8" x14ac:dyDescent="0.25">
      <c r="A692" s="166"/>
      <c r="B692" s="111"/>
      <c r="C692" s="111"/>
      <c r="D692" s="167"/>
      <c r="E692" s="112"/>
      <c r="F692" s="113"/>
      <c r="G692" s="167"/>
      <c r="H692" s="168"/>
    </row>
    <row r="693" spans="1:8" x14ac:dyDescent="0.25">
      <c r="A693" s="166"/>
      <c r="B693" s="111"/>
      <c r="C693" s="111"/>
      <c r="D693" s="167"/>
      <c r="E693" s="112"/>
      <c r="F693" s="113"/>
      <c r="G693" s="167"/>
      <c r="H693" s="168"/>
    </row>
    <row r="694" spans="1:8" x14ac:dyDescent="0.25">
      <c r="A694" s="166"/>
      <c r="B694" s="111"/>
      <c r="C694" s="111"/>
      <c r="D694" s="167"/>
      <c r="E694" s="112"/>
      <c r="F694" s="113"/>
      <c r="G694" s="167"/>
      <c r="H694" s="168"/>
    </row>
    <row r="695" spans="1:8" x14ac:dyDescent="0.25">
      <c r="A695" s="166"/>
      <c r="B695" s="111"/>
      <c r="C695" s="111"/>
      <c r="D695" s="167"/>
      <c r="E695" s="112"/>
      <c r="F695" s="113"/>
      <c r="G695" s="167"/>
      <c r="H695" s="168"/>
    </row>
    <row r="696" spans="1:8" x14ac:dyDescent="0.25">
      <c r="A696" s="166"/>
      <c r="B696" s="111"/>
      <c r="C696" s="111"/>
      <c r="D696" s="167"/>
      <c r="E696" s="112"/>
      <c r="F696" s="113"/>
      <c r="G696" s="167"/>
      <c r="H696" s="168"/>
    </row>
    <row r="697" spans="1:8" x14ac:dyDescent="0.25">
      <c r="A697" s="166"/>
      <c r="B697" s="111"/>
      <c r="C697" s="111"/>
      <c r="D697" s="167"/>
      <c r="E697" s="112"/>
      <c r="F697" s="113"/>
      <c r="G697" s="167"/>
      <c r="H697" s="168"/>
    </row>
    <row r="698" spans="1:8" x14ac:dyDescent="0.25">
      <c r="A698" s="166"/>
      <c r="B698" s="111"/>
      <c r="C698" s="111"/>
      <c r="D698" s="167"/>
      <c r="E698" s="112"/>
      <c r="F698" s="113"/>
      <c r="G698" s="167"/>
      <c r="H698" s="168"/>
    </row>
    <row r="699" spans="1:8" x14ac:dyDescent="0.25">
      <c r="A699" s="166"/>
      <c r="B699" s="111"/>
      <c r="C699" s="111"/>
      <c r="D699" s="167"/>
      <c r="E699" s="112"/>
      <c r="F699" s="113"/>
      <c r="G699" s="167"/>
      <c r="H699" s="168"/>
    </row>
    <row r="700" spans="1:8" x14ac:dyDescent="0.25">
      <c r="A700" s="166"/>
      <c r="B700" s="111"/>
      <c r="C700" s="111"/>
      <c r="D700" s="167"/>
      <c r="E700" s="112"/>
      <c r="F700" s="113"/>
      <c r="G700" s="167"/>
      <c r="H700" s="168"/>
    </row>
    <row r="701" spans="1:8" x14ac:dyDescent="0.25">
      <c r="A701" s="166"/>
      <c r="B701" s="111"/>
      <c r="C701" s="111"/>
      <c r="D701" s="167"/>
      <c r="E701" s="112"/>
      <c r="F701" s="113"/>
      <c r="G701" s="167"/>
      <c r="H701" s="168"/>
    </row>
    <row r="702" spans="1:8" x14ac:dyDescent="0.25">
      <c r="A702" s="166"/>
      <c r="B702" s="111"/>
      <c r="C702" s="111"/>
      <c r="D702" s="167"/>
      <c r="E702" s="112"/>
      <c r="F702" s="113"/>
      <c r="G702" s="167"/>
      <c r="H702" s="168"/>
    </row>
    <row r="703" spans="1:8" x14ac:dyDescent="0.25">
      <c r="A703" s="166"/>
      <c r="B703" s="111"/>
      <c r="C703" s="111"/>
      <c r="D703" s="167"/>
      <c r="E703" s="112"/>
      <c r="F703" s="113"/>
      <c r="G703" s="167"/>
      <c r="H703" s="168"/>
    </row>
    <row r="704" spans="1:8" x14ac:dyDescent="0.25">
      <c r="A704" s="166"/>
      <c r="B704" s="111"/>
      <c r="C704" s="111"/>
      <c r="D704" s="167"/>
      <c r="E704" s="112"/>
      <c r="F704" s="113"/>
      <c r="G704" s="167"/>
      <c r="H704" s="168"/>
    </row>
    <row r="705" spans="1:8" x14ac:dyDescent="0.25">
      <c r="A705" s="166"/>
      <c r="B705" s="111"/>
      <c r="C705" s="111"/>
      <c r="D705" s="167"/>
      <c r="E705" s="112"/>
      <c r="F705" s="113"/>
      <c r="G705" s="167"/>
      <c r="H705" s="168"/>
    </row>
    <row r="706" spans="1:8" x14ac:dyDescent="0.25">
      <c r="A706" s="166"/>
      <c r="B706" s="111"/>
      <c r="C706" s="111"/>
      <c r="D706" s="167"/>
      <c r="E706" s="112"/>
      <c r="F706" s="113"/>
      <c r="G706" s="167"/>
      <c r="H706" s="168"/>
    </row>
    <row r="707" spans="1:8" x14ac:dyDescent="0.25">
      <c r="A707" s="166"/>
      <c r="B707" s="111"/>
      <c r="C707" s="111"/>
      <c r="D707" s="167"/>
      <c r="E707" s="112"/>
      <c r="F707" s="113"/>
      <c r="G707" s="167"/>
      <c r="H707" s="168"/>
    </row>
    <row r="708" spans="1:8" x14ac:dyDescent="0.25">
      <c r="A708" s="166"/>
      <c r="B708" s="111"/>
      <c r="C708" s="111"/>
      <c r="D708" s="167"/>
      <c r="E708" s="112"/>
      <c r="F708" s="113"/>
      <c r="G708" s="167"/>
      <c r="H708" s="168"/>
    </row>
    <row r="709" spans="1:8" x14ac:dyDescent="0.25">
      <c r="A709" s="166"/>
      <c r="B709" s="111"/>
      <c r="C709" s="111"/>
      <c r="D709" s="167"/>
      <c r="E709" s="112"/>
      <c r="F709" s="113"/>
      <c r="G709" s="167"/>
      <c r="H709" s="168"/>
    </row>
    <row r="710" spans="1:8" x14ac:dyDescent="0.25">
      <c r="A710" s="166"/>
      <c r="B710" s="111"/>
      <c r="C710" s="111"/>
      <c r="D710" s="167"/>
      <c r="E710" s="112"/>
      <c r="F710" s="113"/>
      <c r="G710" s="167"/>
      <c r="H710" s="168"/>
    </row>
    <row r="711" spans="1:8" x14ac:dyDescent="0.25">
      <c r="A711" s="166"/>
      <c r="B711" s="111"/>
      <c r="C711" s="111"/>
      <c r="D711" s="167"/>
      <c r="E711" s="112"/>
      <c r="F711" s="113"/>
      <c r="G711" s="167"/>
      <c r="H711" s="168"/>
    </row>
    <row r="712" spans="1:8" x14ac:dyDescent="0.25">
      <c r="A712" s="166"/>
      <c r="B712" s="111"/>
      <c r="C712" s="111"/>
      <c r="D712" s="167"/>
      <c r="E712" s="112"/>
      <c r="F712" s="113"/>
      <c r="G712" s="167"/>
      <c r="H712" s="168"/>
    </row>
    <row r="713" spans="1:8" x14ac:dyDescent="0.25">
      <c r="A713" s="166"/>
      <c r="B713" s="111"/>
      <c r="C713" s="111"/>
      <c r="D713" s="167"/>
      <c r="E713" s="112"/>
      <c r="F713" s="113"/>
      <c r="G713" s="167"/>
      <c r="H713" s="168"/>
    </row>
    <row r="714" spans="1:8" x14ac:dyDescent="0.25">
      <c r="A714" s="166"/>
      <c r="B714" s="111"/>
      <c r="C714" s="111"/>
      <c r="D714" s="167"/>
      <c r="E714" s="112"/>
      <c r="F714" s="113"/>
      <c r="G714" s="167"/>
      <c r="H714" s="168"/>
    </row>
    <row r="715" spans="1:8" x14ac:dyDescent="0.25">
      <c r="A715" s="166"/>
      <c r="B715" s="111"/>
      <c r="C715" s="111"/>
      <c r="D715" s="167"/>
      <c r="E715" s="112"/>
      <c r="F715" s="113"/>
      <c r="G715" s="167"/>
      <c r="H715" s="168"/>
    </row>
    <row r="716" spans="1:8" x14ac:dyDescent="0.25">
      <c r="A716" s="166"/>
      <c r="B716" s="111"/>
      <c r="C716" s="111"/>
      <c r="D716" s="167"/>
      <c r="E716" s="112"/>
      <c r="F716" s="113"/>
      <c r="G716" s="167"/>
      <c r="H716" s="168"/>
    </row>
    <row r="717" spans="1:8" x14ac:dyDescent="0.25">
      <c r="A717" s="166"/>
      <c r="B717" s="111"/>
      <c r="C717" s="111"/>
      <c r="D717" s="167"/>
      <c r="E717" s="112"/>
      <c r="F717" s="113"/>
      <c r="G717" s="167"/>
      <c r="H717" s="168"/>
    </row>
    <row r="718" spans="1:8" x14ac:dyDescent="0.25">
      <c r="A718" s="166"/>
      <c r="B718" s="111"/>
      <c r="C718" s="111"/>
      <c r="D718" s="167"/>
      <c r="E718" s="112"/>
      <c r="F718" s="113"/>
      <c r="G718" s="167"/>
      <c r="H718" s="168"/>
    </row>
    <row r="719" spans="1:8" x14ac:dyDescent="0.25">
      <c r="A719" s="166"/>
      <c r="B719" s="111"/>
      <c r="C719" s="111"/>
      <c r="D719" s="167"/>
      <c r="E719" s="112"/>
      <c r="F719" s="113"/>
      <c r="G719" s="167"/>
      <c r="H719" s="168"/>
    </row>
    <row r="720" spans="1:8" x14ac:dyDescent="0.25">
      <c r="A720" s="166"/>
      <c r="B720" s="111"/>
      <c r="C720" s="111"/>
      <c r="D720" s="167"/>
      <c r="E720" s="112"/>
      <c r="F720" s="113"/>
      <c r="G720" s="167"/>
      <c r="H720" s="168"/>
    </row>
    <row r="721" spans="1:8" x14ac:dyDescent="0.25">
      <c r="A721" s="166"/>
      <c r="B721" s="111"/>
      <c r="C721" s="111"/>
      <c r="D721" s="167"/>
      <c r="E721" s="112"/>
      <c r="F721" s="113"/>
      <c r="G721" s="167"/>
      <c r="H721" s="168"/>
    </row>
    <row r="722" spans="1:8" x14ac:dyDescent="0.25">
      <c r="A722" s="166"/>
      <c r="B722" s="111"/>
      <c r="C722" s="111"/>
      <c r="D722" s="167"/>
      <c r="E722" s="112"/>
      <c r="F722" s="113"/>
      <c r="G722" s="167"/>
      <c r="H722" s="168"/>
    </row>
    <row r="723" spans="1:8" x14ac:dyDescent="0.25">
      <c r="A723" s="166"/>
      <c r="B723" s="111"/>
      <c r="C723" s="111"/>
      <c r="D723" s="167"/>
      <c r="E723" s="112"/>
      <c r="F723" s="113"/>
      <c r="G723" s="167"/>
      <c r="H723" s="168"/>
    </row>
    <row r="724" spans="1:8" x14ac:dyDescent="0.25">
      <c r="A724" s="166"/>
      <c r="B724" s="111"/>
      <c r="C724" s="111"/>
      <c r="D724" s="167"/>
      <c r="E724" s="112"/>
      <c r="F724" s="113"/>
      <c r="G724" s="167"/>
      <c r="H724" s="168"/>
    </row>
    <row r="725" spans="1:8" x14ac:dyDescent="0.25">
      <c r="A725" s="166"/>
      <c r="B725" s="111"/>
      <c r="C725" s="111"/>
      <c r="D725" s="167"/>
      <c r="E725" s="112"/>
      <c r="F725" s="113"/>
      <c r="G725" s="167"/>
      <c r="H725" s="168"/>
    </row>
    <row r="726" spans="1:8" x14ac:dyDescent="0.25">
      <c r="A726" s="166"/>
      <c r="B726" s="111"/>
      <c r="C726" s="111"/>
      <c r="D726" s="167"/>
      <c r="E726" s="112"/>
      <c r="F726" s="113"/>
      <c r="G726" s="167"/>
      <c r="H726" s="168"/>
    </row>
    <row r="727" spans="1:8" x14ac:dyDescent="0.25">
      <c r="A727" s="166"/>
      <c r="B727" s="111"/>
      <c r="C727" s="111"/>
      <c r="D727" s="167"/>
      <c r="E727" s="112"/>
      <c r="F727" s="113"/>
      <c r="G727" s="167"/>
      <c r="H727" s="168"/>
    </row>
    <row r="728" spans="1:8" x14ac:dyDescent="0.25">
      <c r="A728" s="166"/>
      <c r="B728" s="111"/>
      <c r="C728" s="111"/>
      <c r="D728" s="167"/>
      <c r="E728" s="112"/>
      <c r="F728" s="113"/>
      <c r="G728" s="167"/>
      <c r="H728" s="168"/>
    </row>
    <row r="729" spans="1:8" x14ac:dyDescent="0.25">
      <c r="A729" s="166"/>
      <c r="B729" s="111"/>
      <c r="C729" s="111"/>
      <c r="D729" s="167"/>
      <c r="E729" s="112"/>
      <c r="F729" s="113"/>
      <c r="G729" s="167"/>
      <c r="H729" s="168"/>
    </row>
    <row r="730" spans="1:8" x14ac:dyDescent="0.25">
      <c r="A730" s="166"/>
      <c r="B730" s="111"/>
      <c r="C730" s="111"/>
      <c r="D730" s="167"/>
      <c r="E730" s="112"/>
      <c r="F730" s="113"/>
      <c r="G730" s="167"/>
      <c r="H730" s="168"/>
    </row>
    <row r="731" spans="1:8" x14ac:dyDescent="0.25">
      <c r="A731" s="166"/>
      <c r="B731" s="111"/>
      <c r="C731" s="111"/>
      <c r="D731" s="167"/>
      <c r="E731" s="112"/>
      <c r="F731" s="113"/>
      <c r="G731" s="167"/>
      <c r="H731" s="168"/>
    </row>
    <row r="732" spans="1:8" x14ac:dyDescent="0.25">
      <c r="A732" s="166"/>
      <c r="B732" s="111"/>
      <c r="C732" s="111"/>
      <c r="D732" s="167"/>
      <c r="E732" s="112"/>
      <c r="F732" s="113"/>
      <c r="G732" s="167"/>
      <c r="H732" s="168"/>
    </row>
    <row r="733" spans="1:8" x14ac:dyDescent="0.25">
      <c r="A733" s="166"/>
      <c r="B733" s="111"/>
      <c r="C733" s="111"/>
      <c r="D733" s="167"/>
      <c r="E733" s="112"/>
      <c r="F733" s="113"/>
      <c r="G733" s="167"/>
      <c r="H733" s="168"/>
    </row>
    <row r="734" spans="1:8" x14ac:dyDescent="0.25">
      <c r="A734" s="166"/>
      <c r="B734" s="111"/>
      <c r="C734" s="111"/>
      <c r="D734" s="167"/>
      <c r="E734" s="112"/>
      <c r="F734" s="113"/>
      <c r="G734" s="167"/>
      <c r="H734" s="168"/>
    </row>
    <row r="735" spans="1:8" x14ac:dyDescent="0.25">
      <c r="A735" s="166"/>
      <c r="B735" s="111"/>
      <c r="C735" s="111"/>
      <c r="D735" s="167"/>
      <c r="E735" s="112"/>
      <c r="F735" s="113"/>
      <c r="G735" s="167"/>
      <c r="H735" s="168"/>
    </row>
    <row r="736" spans="1:8" x14ac:dyDescent="0.25">
      <c r="A736" s="166"/>
      <c r="B736" s="111"/>
      <c r="C736" s="111"/>
      <c r="D736" s="167"/>
      <c r="E736" s="112"/>
      <c r="F736" s="113"/>
      <c r="G736" s="167"/>
      <c r="H736" s="168"/>
    </row>
    <row r="737" spans="1:8" x14ac:dyDescent="0.25">
      <c r="A737" s="166"/>
      <c r="B737" s="111"/>
      <c r="C737" s="111"/>
      <c r="D737" s="167"/>
      <c r="E737" s="112"/>
      <c r="F737" s="113"/>
      <c r="G737" s="167"/>
      <c r="H737" s="168"/>
    </row>
    <row r="738" spans="1:8" x14ac:dyDescent="0.25">
      <c r="A738" s="166"/>
      <c r="B738" s="111"/>
      <c r="C738" s="111"/>
      <c r="D738" s="167"/>
      <c r="E738" s="112"/>
      <c r="F738" s="113"/>
      <c r="G738" s="167"/>
      <c r="H738" s="168"/>
    </row>
    <row r="739" spans="1:8" x14ac:dyDescent="0.25">
      <c r="A739" s="166"/>
      <c r="B739" s="111"/>
      <c r="C739" s="111"/>
      <c r="D739" s="167"/>
      <c r="E739" s="112"/>
      <c r="F739" s="113"/>
      <c r="G739" s="167"/>
      <c r="H739" s="168"/>
    </row>
    <row r="740" spans="1:8" x14ac:dyDescent="0.25">
      <c r="A740" s="166"/>
      <c r="B740" s="111"/>
      <c r="C740" s="111"/>
      <c r="D740" s="167"/>
      <c r="E740" s="112"/>
      <c r="F740" s="113"/>
      <c r="G740" s="167"/>
      <c r="H740" s="168"/>
    </row>
    <row r="741" spans="1:8" x14ac:dyDescent="0.25">
      <c r="A741" s="166"/>
      <c r="B741" s="111"/>
      <c r="C741" s="111"/>
      <c r="D741" s="167"/>
      <c r="E741" s="112"/>
      <c r="F741" s="113"/>
      <c r="G741" s="167"/>
      <c r="H741" s="168"/>
    </row>
    <row r="742" spans="1:8" x14ac:dyDescent="0.25">
      <c r="A742" s="166"/>
      <c r="B742" s="111"/>
      <c r="C742" s="111"/>
      <c r="D742" s="167"/>
      <c r="E742" s="112"/>
      <c r="F742" s="113"/>
      <c r="G742" s="167"/>
      <c r="H742" s="168"/>
    </row>
    <row r="743" spans="1:8" x14ac:dyDescent="0.25">
      <c r="A743" s="166"/>
      <c r="B743" s="111"/>
      <c r="C743" s="111"/>
      <c r="D743" s="167"/>
      <c r="E743" s="112"/>
      <c r="F743" s="113"/>
      <c r="G743" s="167"/>
      <c r="H743" s="168"/>
    </row>
    <row r="744" spans="1:8" x14ac:dyDescent="0.25">
      <c r="A744" s="166"/>
      <c r="B744" s="111"/>
      <c r="C744" s="111"/>
      <c r="D744" s="167"/>
      <c r="E744" s="112"/>
      <c r="F744" s="113"/>
      <c r="G744" s="167"/>
      <c r="H744" s="168"/>
    </row>
    <row r="745" spans="1:8" x14ac:dyDescent="0.25">
      <c r="A745" s="166"/>
      <c r="B745" s="111"/>
      <c r="C745" s="111"/>
      <c r="D745" s="167"/>
      <c r="E745" s="112"/>
      <c r="F745" s="113"/>
      <c r="G745" s="167"/>
      <c r="H745" s="168"/>
    </row>
    <row r="746" spans="1:8" x14ac:dyDescent="0.25">
      <c r="A746" s="166"/>
      <c r="B746" s="111"/>
      <c r="C746" s="111"/>
      <c r="D746" s="167"/>
      <c r="E746" s="112"/>
      <c r="F746" s="113"/>
      <c r="G746" s="167"/>
      <c r="H746" s="168"/>
    </row>
    <row r="747" spans="1:8" x14ac:dyDescent="0.25">
      <c r="A747" s="166"/>
      <c r="B747" s="111"/>
      <c r="C747" s="111"/>
      <c r="D747" s="167"/>
      <c r="E747" s="112"/>
      <c r="F747" s="113"/>
      <c r="G747" s="167"/>
      <c r="H747" s="168"/>
    </row>
    <row r="748" spans="1:8" x14ac:dyDescent="0.25">
      <c r="A748" s="166"/>
      <c r="B748" s="111"/>
      <c r="C748" s="111"/>
      <c r="D748" s="167"/>
      <c r="E748" s="112"/>
      <c r="F748" s="113"/>
      <c r="G748" s="167"/>
      <c r="H748" s="168"/>
    </row>
    <row r="749" spans="1:8" x14ac:dyDescent="0.25">
      <c r="A749" s="166"/>
      <c r="B749" s="111"/>
      <c r="C749" s="111"/>
      <c r="D749" s="167"/>
      <c r="E749" s="112"/>
      <c r="F749" s="113"/>
      <c r="G749" s="167"/>
      <c r="H749" s="168"/>
    </row>
    <row r="750" spans="1:8" x14ac:dyDescent="0.25">
      <c r="A750" s="166"/>
      <c r="B750" s="111"/>
      <c r="C750" s="111"/>
      <c r="D750" s="167"/>
      <c r="E750" s="112"/>
      <c r="F750" s="113"/>
      <c r="G750" s="167"/>
      <c r="H750" s="168"/>
    </row>
    <row r="751" spans="1:8" x14ac:dyDescent="0.25">
      <c r="A751" s="166"/>
      <c r="B751" s="111"/>
      <c r="C751" s="111"/>
      <c r="D751" s="167"/>
      <c r="E751" s="112"/>
      <c r="F751" s="113"/>
      <c r="G751" s="167"/>
      <c r="H751" s="168"/>
    </row>
    <row r="752" spans="1:8" x14ac:dyDescent="0.25">
      <c r="A752" s="166"/>
      <c r="B752" s="111"/>
      <c r="C752" s="111"/>
      <c r="D752" s="167"/>
      <c r="E752" s="112"/>
      <c r="F752" s="113"/>
      <c r="G752" s="167"/>
      <c r="H752" s="168"/>
    </row>
    <row r="753" spans="1:8" x14ac:dyDescent="0.25">
      <c r="A753" s="166"/>
      <c r="B753" s="111"/>
      <c r="C753" s="111"/>
      <c r="D753" s="167"/>
      <c r="E753" s="112"/>
      <c r="F753" s="113"/>
      <c r="G753" s="167"/>
      <c r="H753" s="168"/>
    </row>
    <row r="754" spans="1:8" x14ac:dyDescent="0.25">
      <c r="A754" s="166"/>
      <c r="B754" s="111"/>
      <c r="C754" s="111"/>
      <c r="D754" s="167"/>
      <c r="E754" s="112"/>
      <c r="F754" s="113"/>
      <c r="G754" s="167"/>
      <c r="H754" s="168"/>
    </row>
    <row r="755" spans="1:8" x14ac:dyDescent="0.25">
      <c r="A755" s="166"/>
      <c r="B755" s="111"/>
      <c r="C755" s="111"/>
      <c r="D755" s="167"/>
      <c r="E755" s="112"/>
      <c r="F755" s="113"/>
      <c r="G755" s="167"/>
      <c r="H755" s="168"/>
    </row>
    <row r="756" spans="1:8" x14ac:dyDescent="0.25">
      <c r="A756" s="166"/>
      <c r="B756" s="111"/>
      <c r="C756" s="111"/>
      <c r="D756" s="167"/>
      <c r="E756" s="112"/>
      <c r="F756" s="113"/>
      <c r="G756" s="167"/>
      <c r="H756" s="168"/>
    </row>
    <row r="757" spans="1:8" x14ac:dyDescent="0.25">
      <c r="A757" s="166"/>
      <c r="B757" s="111"/>
      <c r="C757" s="111"/>
      <c r="D757" s="167"/>
      <c r="E757" s="112"/>
      <c r="F757" s="113"/>
      <c r="G757" s="167"/>
      <c r="H757" s="168"/>
    </row>
    <row r="758" spans="1:8" x14ac:dyDescent="0.25">
      <c r="A758" s="166"/>
      <c r="B758" s="111"/>
      <c r="C758" s="111"/>
      <c r="D758" s="167"/>
      <c r="E758" s="112"/>
      <c r="F758" s="113"/>
      <c r="G758" s="167"/>
      <c r="H758" s="168"/>
    </row>
    <row r="759" spans="1:8" x14ac:dyDescent="0.25">
      <c r="A759" s="166"/>
      <c r="B759" s="111"/>
      <c r="C759" s="111"/>
      <c r="D759" s="167"/>
      <c r="E759" s="112"/>
      <c r="F759" s="113"/>
      <c r="G759" s="167"/>
      <c r="H759" s="168"/>
    </row>
    <row r="760" spans="1:8" x14ac:dyDescent="0.25">
      <c r="A760" s="166"/>
      <c r="B760" s="111"/>
      <c r="C760" s="111"/>
      <c r="D760" s="167"/>
      <c r="E760" s="112"/>
      <c r="F760" s="113"/>
      <c r="G760" s="167"/>
      <c r="H760" s="168"/>
    </row>
    <row r="761" spans="1:8" x14ac:dyDescent="0.25">
      <c r="A761" s="166"/>
      <c r="B761" s="111"/>
      <c r="C761" s="111"/>
      <c r="D761" s="167"/>
      <c r="E761" s="112"/>
      <c r="F761" s="113"/>
      <c r="G761" s="167"/>
      <c r="H761" s="168"/>
    </row>
    <row r="762" spans="1:8" x14ac:dyDescent="0.25">
      <c r="A762" s="166"/>
      <c r="B762" s="111"/>
      <c r="C762" s="111"/>
      <c r="D762" s="167"/>
      <c r="E762" s="112"/>
      <c r="F762" s="113"/>
      <c r="G762" s="167"/>
      <c r="H762" s="168"/>
    </row>
    <row r="763" spans="1:8" x14ac:dyDescent="0.25">
      <c r="A763" s="166"/>
      <c r="B763" s="111"/>
      <c r="C763" s="111"/>
      <c r="D763" s="167"/>
      <c r="E763" s="112"/>
      <c r="F763" s="113"/>
      <c r="G763" s="167"/>
      <c r="H763" s="168"/>
    </row>
    <row r="764" spans="1:8" x14ac:dyDescent="0.25">
      <c r="A764" s="166"/>
      <c r="B764" s="111"/>
      <c r="C764" s="111"/>
      <c r="D764" s="167"/>
      <c r="E764" s="112"/>
      <c r="F764" s="113"/>
      <c r="G764" s="167"/>
      <c r="H764" s="168"/>
    </row>
    <row r="765" spans="1:8" x14ac:dyDescent="0.25">
      <c r="A765" s="166"/>
      <c r="B765" s="111"/>
      <c r="C765" s="111"/>
      <c r="D765" s="167"/>
      <c r="E765" s="112"/>
      <c r="F765" s="113"/>
      <c r="G765" s="167"/>
      <c r="H765" s="168"/>
    </row>
    <row r="766" spans="1:8" x14ac:dyDescent="0.25">
      <c r="A766" s="166"/>
      <c r="B766" s="111"/>
      <c r="C766" s="111"/>
      <c r="D766" s="167"/>
      <c r="E766" s="112"/>
      <c r="F766" s="113"/>
      <c r="G766" s="167"/>
      <c r="H766" s="168"/>
    </row>
    <row r="767" spans="1:8" x14ac:dyDescent="0.25">
      <c r="A767" s="166"/>
      <c r="B767" s="111"/>
      <c r="C767" s="111"/>
      <c r="D767" s="167"/>
      <c r="E767" s="112"/>
      <c r="F767" s="113"/>
      <c r="G767" s="167"/>
      <c r="H767" s="168"/>
    </row>
    <row r="768" spans="1:8" x14ac:dyDescent="0.25">
      <c r="A768" s="166"/>
      <c r="B768" s="111"/>
      <c r="C768" s="111"/>
      <c r="D768" s="167"/>
      <c r="E768" s="112"/>
      <c r="F768" s="113"/>
      <c r="G768" s="167"/>
      <c r="H768" s="168"/>
    </row>
    <row r="769" spans="1:8" x14ac:dyDescent="0.25">
      <c r="A769" s="166"/>
      <c r="B769" s="111"/>
      <c r="C769" s="111"/>
      <c r="D769" s="167"/>
      <c r="E769" s="112"/>
      <c r="F769" s="113"/>
      <c r="G769" s="167"/>
      <c r="H769" s="168"/>
    </row>
    <row r="770" spans="1:8" x14ac:dyDescent="0.25">
      <c r="A770" s="166"/>
      <c r="B770" s="111"/>
      <c r="C770" s="111"/>
      <c r="D770" s="167"/>
      <c r="E770" s="112"/>
      <c r="F770" s="113"/>
      <c r="G770" s="167"/>
      <c r="H770" s="168"/>
    </row>
    <row r="771" spans="1:8" x14ac:dyDescent="0.25">
      <c r="A771" s="166"/>
      <c r="B771" s="111"/>
      <c r="C771" s="111"/>
      <c r="D771" s="167"/>
      <c r="E771" s="112"/>
      <c r="F771" s="113"/>
      <c r="G771" s="167"/>
      <c r="H771" s="168"/>
    </row>
    <row r="772" spans="1:8" x14ac:dyDescent="0.25">
      <c r="A772" s="166"/>
      <c r="B772" s="111"/>
      <c r="C772" s="111"/>
      <c r="D772" s="167"/>
      <c r="E772" s="112"/>
      <c r="F772" s="113"/>
      <c r="G772" s="167"/>
      <c r="H772" s="168"/>
    </row>
    <row r="773" spans="1:8" x14ac:dyDescent="0.25">
      <c r="A773" s="166"/>
      <c r="B773" s="111"/>
      <c r="C773" s="111"/>
      <c r="D773" s="167"/>
      <c r="E773" s="112"/>
      <c r="F773" s="113"/>
      <c r="G773" s="167"/>
      <c r="H773" s="168"/>
    </row>
    <row r="774" spans="1:8" x14ac:dyDescent="0.25">
      <c r="A774" s="166"/>
      <c r="B774" s="111"/>
      <c r="C774" s="111"/>
      <c r="D774" s="167"/>
      <c r="E774" s="112"/>
      <c r="F774" s="113"/>
      <c r="G774" s="167"/>
      <c r="H774" s="168"/>
    </row>
    <row r="775" spans="1:8" x14ac:dyDescent="0.25">
      <c r="A775" s="166"/>
      <c r="B775" s="111"/>
      <c r="C775" s="111"/>
      <c r="D775" s="167"/>
      <c r="E775" s="112"/>
      <c r="F775" s="113"/>
      <c r="G775" s="167"/>
      <c r="H775" s="168"/>
    </row>
    <row r="776" spans="1:8" x14ac:dyDescent="0.25">
      <c r="A776" s="166"/>
      <c r="B776" s="111"/>
      <c r="C776" s="111"/>
      <c r="D776" s="167"/>
      <c r="E776" s="112"/>
      <c r="F776" s="113"/>
      <c r="G776" s="167"/>
      <c r="H776" s="168"/>
    </row>
    <row r="777" spans="1:8" x14ac:dyDescent="0.25">
      <c r="A777" s="166"/>
      <c r="B777" s="111"/>
      <c r="C777" s="111"/>
      <c r="D777" s="167"/>
      <c r="E777" s="112"/>
      <c r="F777" s="113"/>
      <c r="G777" s="167"/>
      <c r="H777" s="168"/>
    </row>
    <row r="778" spans="1:8" x14ac:dyDescent="0.25">
      <c r="A778" s="166"/>
      <c r="B778" s="111"/>
      <c r="C778" s="111"/>
      <c r="D778" s="167"/>
      <c r="E778" s="112"/>
      <c r="F778" s="113"/>
      <c r="G778" s="167"/>
      <c r="H778" s="168"/>
    </row>
    <row r="779" spans="1:8" x14ac:dyDescent="0.25">
      <c r="A779" s="166"/>
      <c r="B779" s="111"/>
      <c r="C779" s="111"/>
      <c r="D779" s="167"/>
      <c r="E779" s="112"/>
      <c r="F779" s="113"/>
      <c r="G779" s="167"/>
      <c r="H779" s="168"/>
    </row>
    <row r="780" spans="1:8" x14ac:dyDescent="0.25">
      <c r="A780" s="166"/>
      <c r="B780" s="111"/>
      <c r="C780" s="111"/>
      <c r="D780" s="167"/>
      <c r="E780" s="112"/>
      <c r="F780" s="113"/>
      <c r="G780" s="167"/>
      <c r="H780" s="168"/>
    </row>
    <row r="781" spans="1:8" x14ac:dyDescent="0.25">
      <c r="A781" s="166"/>
      <c r="B781" s="111"/>
      <c r="C781" s="111"/>
      <c r="D781" s="167"/>
      <c r="E781" s="112"/>
      <c r="F781" s="113"/>
      <c r="G781" s="167"/>
      <c r="H781" s="168"/>
    </row>
    <row r="782" spans="1:8" x14ac:dyDescent="0.25">
      <c r="A782" s="166"/>
      <c r="B782" s="111"/>
      <c r="C782" s="111"/>
      <c r="D782" s="167"/>
      <c r="E782" s="112"/>
      <c r="F782" s="113"/>
      <c r="G782" s="167"/>
      <c r="H782" s="168"/>
    </row>
    <row r="783" spans="1:8" x14ac:dyDescent="0.25">
      <c r="A783" s="166"/>
      <c r="B783" s="111"/>
      <c r="C783" s="111"/>
      <c r="D783" s="167"/>
      <c r="E783" s="112"/>
      <c r="F783" s="113"/>
      <c r="G783" s="167"/>
      <c r="H783" s="168"/>
    </row>
    <row r="784" spans="1:8" x14ac:dyDescent="0.25">
      <c r="A784" s="166"/>
      <c r="B784" s="111"/>
      <c r="C784" s="111"/>
      <c r="D784" s="167"/>
      <c r="E784" s="112"/>
      <c r="F784" s="113"/>
      <c r="G784" s="167"/>
      <c r="H784" s="168"/>
    </row>
    <row r="785" spans="1:8" x14ac:dyDescent="0.25">
      <c r="A785" s="166"/>
      <c r="B785" s="111"/>
      <c r="C785" s="111"/>
      <c r="D785" s="167"/>
      <c r="E785" s="112"/>
      <c r="F785" s="113"/>
      <c r="G785" s="167"/>
      <c r="H785" s="168"/>
    </row>
  </sheetData>
  <mergeCells count="2">
    <mergeCell ref="A1:F1"/>
    <mergeCell ref="A2:F2"/>
  </mergeCells>
  <conditionalFormatting sqref="A488">
    <cfRule type="cellIs" dxfId="509" priority="199" operator="equal">
      <formula>"x"</formula>
    </cfRule>
  </conditionalFormatting>
  <conditionalFormatting sqref="D140:D145 D62:D100">
    <cfRule type="cellIs" dxfId="508" priority="198" operator="notEqual">
      <formula>#REF!</formula>
    </cfRule>
  </conditionalFormatting>
  <conditionalFormatting sqref="A488">
    <cfRule type="iconSet" priority="196">
      <iconSet iconSet="3Flags" showValue="0">
        <cfvo type="percent" val="0"/>
        <cfvo type="num" val="0"/>
        <cfvo type="num" val="1"/>
      </iconSet>
    </cfRule>
  </conditionalFormatting>
  <conditionalFormatting sqref="D154:D169">
    <cfRule type="cellIs" dxfId="507" priority="195" operator="notEqual">
      <formula>#REF!</formula>
    </cfRule>
  </conditionalFormatting>
  <conditionalFormatting sqref="H317 H337:H341">
    <cfRule type="cellIs" dxfId="506" priority="193" operator="notEqual">
      <formula>A317</formula>
    </cfRule>
  </conditionalFormatting>
  <conditionalFormatting sqref="D146:D150">
    <cfRule type="cellIs" dxfId="505" priority="169" operator="notEqual">
      <formula>#REF!</formula>
    </cfRule>
  </conditionalFormatting>
  <pageMargins left="0.7" right="0.7" top="0.78740157499999996" bottom="0.78740157499999996" header="0.3" footer="0.3"/>
  <pageSetup paperSize="9" scale="54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788"/>
  <sheetViews>
    <sheetView topLeftCell="A481" workbookViewId="0">
      <selection activeCell="I23" sqref="I23"/>
    </sheetView>
  </sheetViews>
  <sheetFormatPr defaultColWidth="9.140625" defaultRowHeight="15.75" x14ac:dyDescent="0.25"/>
  <cols>
    <col min="1" max="1" width="11.28515625" style="305" customWidth="1"/>
    <col min="2" max="2" width="86.5703125" style="45" customWidth="1"/>
    <col min="3" max="3" width="17.5703125" style="45" customWidth="1"/>
    <col min="4" max="4" width="16.7109375" style="45" bestFit="1" customWidth="1"/>
    <col min="5" max="5" width="15.28515625" style="306" bestFit="1" customWidth="1"/>
    <col min="6" max="6" width="17.140625" style="306" customWidth="1"/>
    <col min="7" max="7" width="22" style="269" customWidth="1"/>
    <col min="8" max="8" width="24.5703125" style="45" customWidth="1"/>
    <col min="9" max="9" width="25" style="45" bestFit="1" customWidth="1"/>
    <col min="10" max="10" width="17" style="45" customWidth="1"/>
    <col min="11" max="11" width="13.85546875" style="45" bestFit="1" customWidth="1"/>
    <col min="12" max="12" width="9.85546875" style="45" bestFit="1" customWidth="1"/>
    <col min="13" max="13" width="9.140625" style="45"/>
    <col min="14" max="14" width="13.85546875" style="45" bestFit="1" customWidth="1"/>
    <col min="15" max="16384" width="9.140625" style="45"/>
  </cols>
  <sheetData>
    <row r="1" spans="1:8" ht="22.5" x14ac:dyDescent="0.3">
      <c r="A1" s="689" t="s">
        <v>0</v>
      </c>
      <c r="B1" s="689"/>
      <c r="C1" s="689"/>
      <c r="D1" s="689"/>
      <c r="E1" s="689"/>
      <c r="F1" s="689"/>
    </row>
    <row r="2" spans="1:8" ht="22.5" x14ac:dyDescent="0.3">
      <c r="A2" s="689" t="s">
        <v>222</v>
      </c>
      <c r="B2" s="689"/>
      <c r="C2" s="689"/>
      <c r="D2" s="689"/>
      <c r="E2" s="689"/>
      <c r="F2" s="689"/>
    </row>
    <row r="3" spans="1:8" ht="22.5" x14ac:dyDescent="0.3">
      <c r="A3" s="345"/>
      <c r="B3" s="270"/>
      <c r="C3" s="271"/>
      <c r="D3" s="345"/>
      <c r="E3" s="345"/>
      <c r="F3" s="345"/>
    </row>
    <row r="4" spans="1:8" ht="23.25" thickBot="1" x14ac:dyDescent="0.35">
      <c r="A4" s="345"/>
      <c r="B4" s="345"/>
      <c r="C4" s="345"/>
      <c r="D4" s="345"/>
      <c r="E4" s="345"/>
      <c r="F4" s="269"/>
    </row>
    <row r="5" spans="1:8" x14ac:dyDescent="0.25">
      <c r="A5" s="690" t="s">
        <v>193</v>
      </c>
      <c r="B5" s="5"/>
      <c r="C5" s="5"/>
      <c r="D5" s="117"/>
      <c r="E5" s="266"/>
      <c r="F5" s="266"/>
      <c r="G5" s="79"/>
    </row>
    <row r="6" spans="1:8" ht="16.5" thickBot="1" x14ac:dyDescent="0.3">
      <c r="A6" s="691"/>
      <c r="B6" s="10" t="s">
        <v>2</v>
      </c>
      <c r="C6" s="10" t="s">
        <v>3</v>
      </c>
      <c r="D6" s="118" t="s">
        <v>4</v>
      </c>
      <c r="E6" s="267" t="s">
        <v>5</v>
      </c>
      <c r="F6" s="267" t="s">
        <v>6</v>
      </c>
    </row>
    <row r="7" spans="1:8" s="275" customFormat="1" x14ac:dyDescent="0.25">
      <c r="A7" s="272"/>
      <c r="B7" s="273" t="s">
        <v>7</v>
      </c>
      <c r="C7" s="15">
        <f>+SUM(C8:C10)</f>
        <v>0</v>
      </c>
      <c r="D7" s="15">
        <f>+SUM(D8:D10)</f>
        <v>0</v>
      </c>
      <c r="E7" s="274"/>
      <c r="F7" s="274"/>
      <c r="G7" s="45"/>
      <c r="H7" s="45"/>
    </row>
    <row r="8" spans="1:8" x14ac:dyDescent="0.25">
      <c r="A8" s="272"/>
      <c r="B8" s="107"/>
      <c r="C8" s="21"/>
      <c r="D8" s="21"/>
      <c r="E8" s="268"/>
      <c r="F8" s="268">
        <v>4111</v>
      </c>
      <c r="G8" s="45"/>
    </row>
    <row r="9" spans="1:8" x14ac:dyDescent="0.25">
      <c r="A9" s="272"/>
      <c r="B9" s="107"/>
      <c r="C9" s="21"/>
      <c r="D9" s="21"/>
      <c r="E9" s="268"/>
      <c r="F9" s="268">
        <v>4111</v>
      </c>
      <c r="G9" s="45"/>
    </row>
    <row r="10" spans="1:8" x14ac:dyDescent="0.25">
      <c r="A10" s="272"/>
      <c r="B10" s="44"/>
      <c r="C10" s="21"/>
      <c r="D10" s="21"/>
      <c r="E10" s="268"/>
      <c r="F10" s="268"/>
      <c r="G10" s="45"/>
    </row>
    <row r="11" spans="1:8" x14ac:dyDescent="0.25">
      <c r="A11" s="272"/>
      <c r="B11" s="276"/>
      <c r="C11" s="21"/>
      <c r="D11" s="21"/>
      <c r="E11" s="268"/>
      <c r="F11" s="268"/>
      <c r="G11" s="45"/>
    </row>
    <row r="12" spans="1:8" x14ac:dyDescent="0.25">
      <c r="A12" s="43"/>
      <c r="B12" s="273" t="s">
        <v>8</v>
      </c>
      <c r="C12" s="27">
        <f>+SUM(C13:C16)</f>
        <v>5902.2090000000007</v>
      </c>
      <c r="D12" s="27">
        <f>+SUM(D13:D16)</f>
        <v>1922401</v>
      </c>
      <c r="E12" s="67"/>
      <c r="F12" s="277"/>
      <c r="G12" s="45"/>
    </row>
    <row r="13" spans="1:8" x14ac:dyDescent="0.25">
      <c r="A13" s="43"/>
      <c r="B13" s="107" t="s">
        <v>9</v>
      </c>
      <c r="C13" s="21">
        <v>111.04</v>
      </c>
      <c r="D13" s="21">
        <v>55520</v>
      </c>
      <c r="E13" s="268">
        <v>92241</v>
      </c>
      <c r="F13" s="277" t="s">
        <v>10</v>
      </c>
      <c r="G13" s="45"/>
    </row>
    <row r="14" spans="1:8" x14ac:dyDescent="0.25">
      <c r="A14" s="43"/>
      <c r="B14" s="107" t="s">
        <v>11</v>
      </c>
      <c r="C14" s="21">
        <v>2001.1780000000001</v>
      </c>
      <c r="D14" s="21">
        <f>108171+109620+15221+509931</f>
        <v>742943</v>
      </c>
      <c r="E14" s="268">
        <v>92241</v>
      </c>
      <c r="F14" s="277" t="s">
        <v>10</v>
      </c>
      <c r="G14" s="45"/>
    </row>
    <row r="15" spans="1:8" x14ac:dyDescent="0.25">
      <c r="A15" s="43"/>
      <c r="B15" s="107" t="s">
        <v>12</v>
      </c>
      <c r="C15" s="21">
        <v>1575.905</v>
      </c>
      <c r="D15" s="21">
        <v>345411</v>
      </c>
      <c r="E15" s="268">
        <v>92241</v>
      </c>
      <c r="F15" s="277" t="s">
        <v>10</v>
      </c>
      <c r="G15" s="45"/>
    </row>
    <row r="16" spans="1:8" x14ac:dyDescent="0.25">
      <c r="A16" s="43"/>
      <c r="B16" s="107" t="s">
        <v>13</v>
      </c>
      <c r="C16" s="21">
        <v>2214.0859999999998</v>
      </c>
      <c r="D16" s="21">
        <v>778527</v>
      </c>
      <c r="E16" s="268">
        <v>92241</v>
      </c>
      <c r="F16" s="277" t="s">
        <v>10</v>
      </c>
      <c r="G16" s="45"/>
    </row>
    <row r="17" spans="1:7" x14ac:dyDescent="0.25">
      <c r="A17" s="272"/>
      <c r="B17" s="107"/>
      <c r="C17" s="21"/>
      <c r="D17" s="21"/>
      <c r="E17" s="268"/>
      <c r="F17" s="277"/>
      <c r="G17" s="45"/>
    </row>
    <row r="18" spans="1:7" x14ac:dyDescent="0.25">
      <c r="A18" s="272"/>
      <c r="B18" s="273" t="s">
        <v>14</v>
      </c>
      <c r="C18" s="31">
        <f>+SUM(C19:C30)</f>
        <v>33.306150000000002</v>
      </c>
      <c r="D18" s="31">
        <f>+SUM(D19:D30)</f>
        <v>35180.39</v>
      </c>
      <c r="E18" s="268"/>
      <c r="F18" s="277"/>
      <c r="G18" s="45"/>
    </row>
    <row r="19" spans="1:7" x14ac:dyDescent="0.25">
      <c r="A19" s="272">
        <v>42117</v>
      </c>
      <c r="B19" s="276" t="s">
        <v>146</v>
      </c>
      <c r="C19" s="21">
        <v>33.306150000000002</v>
      </c>
      <c r="D19" s="21">
        <v>33306.15</v>
      </c>
      <c r="E19" s="268">
        <v>90001</v>
      </c>
      <c r="F19" s="277">
        <v>4113</v>
      </c>
      <c r="G19" s="45"/>
    </row>
    <row r="20" spans="1:7" x14ac:dyDescent="0.25">
      <c r="A20" s="272"/>
      <c r="B20" s="276"/>
      <c r="C20" s="21"/>
      <c r="D20" s="21"/>
      <c r="E20" s="268"/>
      <c r="F20" s="277">
        <v>4113</v>
      </c>
      <c r="G20" s="45"/>
    </row>
    <row r="21" spans="1:7" x14ac:dyDescent="0.25">
      <c r="A21" s="272"/>
      <c r="B21" s="276"/>
      <c r="C21" s="21"/>
      <c r="D21" s="21"/>
      <c r="E21" s="268"/>
      <c r="F21" s="277">
        <v>4113</v>
      </c>
      <c r="G21" s="45"/>
    </row>
    <row r="22" spans="1:7" x14ac:dyDescent="0.25">
      <c r="A22" s="272"/>
      <c r="B22" s="276"/>
      <c r="C22" s="21"/>
      <c r="D22" s="21"/>
      <c r="E22" s="268"/>
      <c r="F22" s="277">
        <v>4113</v>
      </c>
      <c r="G22" s="45"/>
    </row>
    <row r="23" spans="1:7" x14ac:dyDescent="0.25">
      <c r="A23" s="272"/>
      <c r="B23" s="276"/>
      <c r="C23" s="21"/>
      <c r="D23" s="21"/>
      <c r="E23" s="268"/>
      <c r="F23" s="277">
        <v>4113</v>
      </c>
      <c r="G23" s="45"/>
    </row>
    <row r="24" spans="1:7" x14ac:dyDescent="0.25">
      <c r="A24" s="272"/>
      <c r="B24" s="276"/>
      <c r="C24" s="21"/>
      <c r="D24" s="21"/>
      <c r="E24" s="268"/>
      <c r="F24" s="277">
        <v>4113</v>
      </c>
      <c r="G24" s="45"/>
    </row>
    <row r="25" spans="1:7" x14ac:dyDescent="0.25">
      <c r="A25" s="272"/>
      <c r="B25" s="276"/>
      <c r="C25" s="21"/>
      <c r="D25" s="21"/>
      <c r="E25" s="268"/>
      <c r="F25" s="277">
        <v>4113</v>
      </c>
      <c r="G25" s="45"/>
    </row>
    <row r="26" spans="1:7" x14ac:dyDescent="0.25">
      <c r="A26" s="272"/>
      <c r="B26" s="276"/>
      <c r="C26" s="21"/>
      <c r="D26" s="21"/>
      <c r="E26" s="268"/>
      <c r="F26" s="277">
        <v>4113</v>
      </c>
      <c r="G26" s="45"/>
    </row>
    <row r="27" spans="1:7" x14ac:dyDescent="0.25">
      <c r="A27" s="272"/>
      <c r="B27" s="276"/>
      <c r="C27" s="21"/>
      <c r="D27" s="21"/>
      <c r="E27" s="268"/>
      <c r="F27" s="277">
        <v>4113</v>
      </c>
      <c r="G27" s="45"/>
    </row>
    <row r="28" spans="1:7" x14ac:dyDescent="0.25">
      <c r="A28" s="272"/>
      <c r="B28" s="276"/>
      <c r="C28" s="21"/>
      <c r="D28" s="21"/>
      <c r="E28" s="268"/>
      <c r="F28" s="277">
        <v>4113</v>
      </c>
      <c r="G28" s="45"/>
    </row>
    <row r="29" spans="1:7" x14ac:dyDescent="0.25">
      <c r="A29" s="272"/>
      <c r="B29" s="276" t="s">
        <v>168</v>
      </c>
      <c r="C29" s="21">
        <v>0</v>
      </c>
      <c r="D29" s="21">
        <v>1874.24</v>
      </c>
      <c r="E29" s="268">
        <v>90001</v>
      </c>
      <c r="F29" s="277">
        <v>4113</v>
      </c>
      <c r="G29" s="45">
        <v>1.8742399999999999</v>
      </c>
    </row>
    <row r="30" spans="1:7" x14ac:dyDescent="0.25">
      <c r="A30" s="272"/>
      <c r="B30" s="276"/>
      <c r="C30" s="21"/>
      <c r="D30" s="21"/>
      <c r="E30" s="268"/>
      <c r="F30" s="277">
        <v>4113</v>
      </c>
      <c r="G30" s="45"/>
    </row>
    <row r="31" spans="1:7" x14ac:dyDescent="0.25">
      <c r="A31" s="272"/>
      <c r="B31" s="107"/>
      <c r="C31" s="21"/>
      <c r="D31" s="21"/>
      <c r="E31" s="268"/>
      <c r="F31" s="277"/>
      <c r="G31" s="45"/>
    </row>
    <row r="32" spans="1:7" x14ac:dyDescent="0.25">
      <c r="A32" s="272"/>
      <c r="B32" s="273" t="s">
        <v>15</v>
      </c>
      <c r="C32" s="31">
        <f>+C33+C34</f>
        <v>4.5358200000000002</v>
      </c>
      <c r="D32" s="31">
        <f>+D33+D34</f>
        <v>4535.82</v>
      </c>
      <c r="E32" s="268"/>
      <c r="F32" s="277"/>
      <c r="G32" s="45"/>
    </row>
    <row r="33" spans="1:11" x14ac:dyDescent="0.25">
      <c r="A33" s="272"/>
      <c r="B33" s="107" t="s">
        <v>16</v>
      </c>
      <c r="C33" s="21">
        <v>4.5358200000000002</v>
      </c>
      <c r="D33" s="21">
        <v>4535.82</v>
      </c>
      <c r="E33" s="268">
        <v>89450</v>
      </c>
      <c r="F33" s="277">
        <v>4113</v>
      </c>
      <c r="G33" s="45"/>
    </row>
    <row r="34" spans="1:11" x14ac:dyDescent="0.25">
      <c r="A34" s="272"/>
      <c r="B34" s="107" t="s">
        <v>16</v>
      </c>
      <c r="C34" s="21"/>
      <c r="D34" s="21"/>
      <c r="E34" s="268">
        <v>89023</v>
      </c>
      <c r="F34" s="277">
        <v>4113</v>
      </c>
      <c r="G34" s="45"/>
    </row>
    <row r="35" spans="1:11" x14ac:dyDescent="0.25">
      <c r="A35" s="272"/>
      <c r="B35" s="278"/>
      <c r="C35" s="21"/>
      <c r="D35" s="163"/>
      <c r="E35" s="279"/>
      <c r="F35" s="268"/>
      <c r="G35" s="45"/>
    </row>
    <row r="36" spans="1:11" s="275" customFormat="1" x14ac:dyDescent="0.25">
      <c r="A36" s="272"/>
      <c r="B36" s="273" t="s">
        <v>17</v>
      </c>
      <c r="C36" s="273">
        <f>SUM(C37:C59)</f>
        <v>12246.708000000001</v>
      </c>
      <c r="D36" s="31">
        <f>SUM(D37:D59)</f>
        <v>10156039</v>
      </c>
      <c r="E36" s="280"/>
      <c r="F36" s="281"/>
      <c r="G36" s="45"/>
      <c r="H36" s="45"/>
      <c r="I36" s="45"/>
      <c r="J36" s="45"/>
    </row>
    <row r="37" spans="1:11" x14ac:dyDescent="0.25">
      <c r="A37" s="43">
        <v>42053</v>
      </c>
      <c r="B37" s="107" t="s">
        <v>37</v>
      </c>
      <c r="C37" s="282">
        <v>3744</v>
      </c>
      <c r="D37" s="21">
        <v>3744000</v>
      </c>
      <c r="E37" s="108">
        <v>13010</v>
      </c>
      <c r="F37" s="277">
        <v>4116</v>
      </c>
      <c r="G37" s="45"/>
    </row>
    <row r="38" spans="1:11" x14ac:dyDescent="0.25">
      <c r="A38" s="272">
        <v>42123</v>
      </c>
      <c r="B38" s="107" t="s">
        <v>37</v>
      </c>
      <c r="C38" s="21">
        <v>8</v>
      </c>
      <c r="D38" s="21">
        <v>8000</v>
      </c>
      <c r="E38" s="108">
        <v>13010</v>
      </c>
      <c r="F38" s="277">
        <v>4116</v>
      </c>
      <c r="G38" s="45"/>
    </row>
    <row r="39" spans="1:11" x14ac:dyDescent="0.25">
      <c r="A39" s="272">
        <v>42152</v>
      </c>
      <c r="B39" s="107" t="s">
        <v>37</v>
      </c>
      <c r="C39" s="21">
        <v>0</v>
      </c>
      <c r="D39" s="21">
        <v>12000</v>
      </c>
      <c r="E39" s="108">
        <v>13010</v>
      </c>
      <c r="F39" s="277">
        <v>4116</v>
      </c>
      <c r="G39" s="45"/>
    </row>
    <row r="40" spans="1:11" s="275" customFormat="1" x14ac:dyDescent="0.25">
      <c r="A40" s="272"/>
      <c r="B40" s="107" t="s">
        <v>97</v>
      </c>
      <c r="C40" s="21"/>
      <c r="D40" s="21">
        <f>201369</f>
        <v>201369</v>
      </c>
      <c r="E40" s="108">
        <v>13101</v>
      </c>
      <c r="F40" s="277">
        <v>4116</v>
      </c>
      <c r="G40" s="45"/>
      <c r="H40" s="45"/>
      <c r="I40" s="45"/>
      <c r="J40" s="45"/>
      <c r="K40" s="45"/>
    </row>
    <row r="41" spans="1:11" x14ac:dyDescent="0.25">
      <c r="A41" s="43"/>
      <c r="B41" s="107" t="s">
        <v>65</v>
      </c>
      <c r="C41" s="21">
        <f>42+22</f>
        <v>64</v>
      </c>
      <c r="D41" s="21">
        <f>40896+16866</f>
        <v>57762</v>
      </c>
      <c r="E41" s="108">
        <v>13101</v>
      </c>
      <c r="F41" s="277" t="s">
        <v>18</v>
      </c>
      <c r="G41" s="45"/>
    </row>
    <row r="42" spans="1:11" x14ac:dyDescent="0.25">
      <c r="A42" s="43"/>
      <c r="B42" s="107" t="s">
        <v>98</v>
      </c>
      <c r="C42" s="21">
        <v>196.982</v>
      </c>
      <c r="D42" s="21">
        <v>305111</v>
      </c>
      <c r="E42" s="283">
        <v>13101</v>
      </c>
      <c r="F42" s="284">
        <v>4116</v>
      </c>
      <c r="G42" s="45"/>
    </row>
    <row r="43" spans="1:11" x14ac:dyDescent="0.25">
      <c r="A43" s="43"/>
      <c r="B43" s="107" t="s">
        <v>99</v>
      </c>
      <c r="C43" s="21">
        <v>22</v>
      </c>
      <c r="D43" s="21">
        <v>22000</v>
      </c>
      <c r="E43" s="283">
        <v>13101</v>
      </c>
      <c r="F43" s="284">
        <v>4116</v>
      </c>
      <c r="G43" s="45"/>
    </row>
    <row r="44" spans="1:11" s="275" customFormat="1" x14ac:dyDescent="0.25">
      <c r="A44" s="272"/>
      <c r="B44" s="107" t="s">
        <v>19</v>
      </c>
      <c r="C44" s="115"/>
      <c r="D44" s="21">
        <v>14643</v>
      </c>
      <c r="E44" s="108">
        <v>13234</v>
      </c>
      <c r="F44" s="277">
        <v>4116</v>
      </c>
      <c r="G44" s="45"/>
      <c r="H44" s="45"/>
      <c r="I44" s="45"/>
      <c r="J44" s="45"/>
      <c r="K44" s="45"/>
    </row>
    <row r="45" spans="1:11" s="275" customFormat="1" x14ac:dyDescent="0.25">
      <c r="A45" s="272"/>
      <c r="B45" s="107" t="s">
        <v>20</v>
      </c>
      <c r="C45" s="20">
        <v>290</v>
      </c>
      <c r="D45" s="21">
        <v>130975</v>
      </c>
      <c r="E45" s="108">
        <v>13234</v>
      </c>
      <c r="F45" s="277">
        <v>4116</v>
      </c>
      <c r="G45" s="45"/>
      <c r="H45" s="45"/>
      <c r="I45" s="45"/>
      <c r="J45" s="45"/>
      <c r="K45" s="45"/>
    </row>
    <row r="46" spans="1:11" s="275" customFormat="1" x14ac:dyDescent="0.25">
      <c r="A46" s="272"/>
      <c r="B46" s="107" t="s">
        <v>23</v>
      </c>
      <c r="C46" s="115"/>
      <c r="D46" s="21">
        <v>54594</v>
      </c>
      <c r="E46" s="108">
        <v>13234</v>
      </c>
      <c r="F46" s="277">
        <v>4116</v>
      </c>
      <c r="G46" s="45"/>
      <c r="H46" s="45"/>
      <c r="I46" s="45"/>
      <c r="J46" s="45"/>
      <c r="K46" s="45"/>
    </row>
    <row r="47" spans="1:11" s="275" customFormat="1" x14ac:dyDescent="0.25">
      <c r="A47" s="272"/>
      <c r="B47" s="107" t="s">
        <v>22</v>
      </c>
      <c r="C47" s="20">
        <v>264</v>
      </c>
      <c r="D47" s="21">
        <v>110000</v>
      </c>
      <c r="E47" s="108">
        <v>13234</v>
      </c>
      <c r="F47" s="277">
        <v>4116</v>
      </c>
      <c r="G47" s="45"/>
      <c r="H47" s="45"/>
      <c r="I47" s="45"/>
      <c r="J47" s="45"/>
      <c r="K47" s="45"/>
    </row>
    <row r="48" spans="1:11" s="275" customFormat="1" x14ac:dyDescent="0.25">
      <c r="A48" s="272"/>
      <c r="B48" s="107" t="s">
        <v>67</v>
      </c>
      <c r="C48" s="20">
        <f>155+16.72</f>
        <v>171.72</v>
      </c>
      <c r="D48" s="21">
        <f>86069+44000+41655</f>
        <v>171724</v>
      </c>
      <c r="E48" s="108">
        <v>13234</v>
      </c>
      <c r="F48" s="277">
        <v>4116</v>
      </c>
      <c r="G48" s="45"/>
      <c r="H48" s="45"/>
      <c r="I48" s="45"/>
      <c r="J48" s="45"/>
      <c r="K48" s="45"/>
    </row>
    <row r="49" spans="1:11" s="275" customFormat="1" x14ac:dyDescent="0.25">
      <c r="A49" s="272"/>
      <c r="B49" s="107" t="s">
        <v>25</v>
      </c>
      <c r="C49" s="20">
        <v>1705.0060000000001</v>
      </c>
      <c r="D49" s="21">
        <v>354221</v>
      </c>
      <c r="E49" s="108">
        <v>13234</v>
      </c>
      <c r="F49" s="277">
        <v>4116</v>
      </c>
      <c r="G49" s="45"/>
      <c r="H49" s="45"/>
      <c r="I49" s="45"/>
      <c r="J49" s="45"/>
      <c r="K49" s="45"/>
    </row>
    <row r="50" spans="1:11" s="275" customFormat="1" x14ac:dyDescent="0.25">
      <c r="A50" s="272"/>
      <c r="B50" s="107" t="s">
        <v>26</v>
      </c>
      <c r="C50" s="115"/>
      <c r="D50" s="21">
        <v>173674</v>
      </c>
      <c r="E50" s="108">
        <v>13234</v>
      </c>
      <c r="F50" s="277">
        <v>4116</v>
      </c>
      <c r="G50" s="45"/>
      <c r="H50" s="45"/>
      <c r="I50" s="45"/>
      <c r="J50" s="45"/>
      <c r="K50" s="45"/>
    </row>
    <row r="51" spans="1:11" s="275" customFormat="1" x14ac:dyDescent="0.25">
      <c r="A51" s="272"/>
      <c r="B51" s="107" t="s">
        <v>27</v>
      </c>
      <c r="C51" s="115"/>
      <c r="D51" s="21"/>
      <c r="E51" s="108">
        <v>13234</v>
      </c>
      <c r="F51" s="277">
        <v>4116</v>
      </c>
      <c r="G51" s="45"/>
      <c r="H51" s="45"/>
      <c r="I51" s="45"/>
      <c r="J51" s="45"/>
      <c r="K51" s="45"/>
    </row>
    <row r="52" spans="1:11" s="275" customFormat="1" x14ac:dyDescent="0.25">
      <c r="A52" s="272"/>
      <c r="B52" s="107" t="s">
        <v>28</v>
      </c>
      <c r="C52" s="20">
        <v>5376</v>
      </c>
      <c r="D52" s="21">
        <v>1308770</v>
      </c>
      <c r="E52" s="283">
        <v>13234</v>
      </c>
      <c r="F52" s="277">
        <v>4116</v>
      </c>
      <c r="G52" s="45"/>
      <c r="H52" s="45"/>
      <c r="I52" s="45"/>
      <c r="J52" s="45"/>
      <c r="K52" s="45"/>
    </row>
    <row r="53" spans="1:11" x14ac:dyDescent="0.25">
      <c r="A53" s="43"/>
      <c r="B53" s="107" t="s">
        <v>24</v>
      </c>
      <c r="C53" s="115"/>
      <c r="D53" s="21">
        <v>3387465</v>
      </c>
      <c r="E53" s="108">
        <v>13234</v>
      </c>
      <c r="F53" s="277">
        <v>4116</v>
      </c>
      <c r="G53" s="45"/>
    </row>
    <row r="54" spans="1:11" s="275" customFormat="1" x14ac:dyDescent="0.25">
      <c r="A54" s="272"/>
      <c r="B54" s="107" t="s">
        <v>66</v>
      </c>
      <c r="C54" s="20">
        <f>55+98</f>
        <v>153</v>
      </c>
      <c r="D54" s="21">
        <f>22000+11000+11000</f>
        <v>44000</v>
      </c>
      <c r="E54" s="283">
        <v>13234</v>
      </c>
      <c r="F54" s="284">
        <v>4116</v>
      </c>
      <c r="G54" s="45"/>
      <c r="H54" s="45"/>
      <c r="I54" s="45"/>
      <c r="J54" s="45"/>
      <c r="K54" s="45"/>
    </row>
    <row r="55" spans="1:11" x14ac:dyDescent="0.25">
      <c r="A55" s="43"/>
      <c r="B55" s="107" t="s">
        <v>31</v>
      </c>
      <c r="C55" s="20">
        <v>252</v>
      </c>
      <c r="D55" s="21">
        <v>55731</v>
      </c>
      <c r="E55" s="283">
        <v>13234</v>
      </c>
      <c r="F55" s="284">
        <v>4116</v>
      </c>
      <c r="G55" s="45"/>
    </row>
    <row r="56" spans="1:11" x14ac:dyDescent="0.25">
      <c r="A56" s="43"/>
      <c r="B56" s="107" t="s">
        <v>29</v>
      </c>
      <c r="C56" s="21"/>
      <c r="D56" s="21"/>
      <c r="E56" s="283">
        <v>13234</v>
      </c>
      <c r="F56" s="277" t="s">
        <v>18</v>
      </c>
      <c r="G56" s="45"/>
    </row>
    <row r="57" spans="1:11" x14ac:dyDescent="0.25">
      <c r="A57" s="43"/>
      <c r="B57" s="107" t="s">
        <v>30</v>
      </c>
      <c r="C57" s="21"/>
      <c r="D57" s="21"/>
      <c r="E57" s="283"/>
      <c r="F57" s="284">
        <v>4116</v>
      </c>
      <c r="G57" s="45"/>
    </row>
    <row r="58" spans="1:11" x14ac:dyDescent="0.25">
      <c r="A58" s="43"/>
      <c r="B58" s="107" t="s">
        <v>32</v>
      </c>
      <c r="C58" s="21"/>
      <c r="D58" s="21"/>
      <c r="E58" s="283"/>
      <c r="F58" s="284"/>
      <c r="G58" s="45"/>
    </row>
    <row r="59" spans="1:11" x14ac:dyDescent="0.25">
      <c r="A59" s="43"/>
      <c r="B59" s="107"/>
      <c r="C59" s="21"/>
      <c r="D59" s="21"/>
      <c r="E59" s="283"/>
      <c r="F59" s="284">
        <v>4116</v>
      </c>
      <c r="G59" s="45"/>
    </row>
    <row r="60" spans="1:11" x14ac:dyDescent="0.25">
      <c r="A60" s="43"/>
      <c r="B60" s="44"/>
      <c r="C60" s="282"/>
      <c r="D60" s="21"/>
      <c r="E60" s="283"/>
      <c r="F60" s="284"/>
      <c r="G60" s="45"/>
    </row>
    <row r="61" spans="1:11" x14ac:dyDescent="0.25">
      <c r="A61" s="43"/>
      <c r="B61" s="285" t="s">
        <v>116</v>
      </c>
      <c r="C61" s="40">
        <f>+SUM(C62:C65)</f>
        <v>36.299999999999997</v>
      </c>
      <c r="D61" s="40">
        <f>+SUM(D62:D65)</f>
        <v>36300</v>
      </c>
      <c r="E61" s="277"/>
      <c r="F61" s="284"/>
      <c r="G61" s="45"/>
    </row>
    <row r="62" spans="1:11" x14ac:dyDescent="0.25">
      <c r="A62" s="43">
        <v>42066</v>
      </c>
      <c r="B62" s="107" t="s">
        <v>115</v>
      </c>
      <c r="C62" s="21">
        <v>36.299999999999997</v>
      </c>
      <c r="D62" s="21">
        <v>36300</v>
      </c>
      <c r="E62" s="286">
        <v>27003</v>
      </c>
      <c r="F62" s="284">
        <v>4116</v>
      </c>
      <c r="G62" s="45"/>
    </row>
    <row r="63" spans="1:11" x14ac:dyDescent="0.25">
      <c r="A63" s="287"/>
      <c r="B63" s="107"/>
      <c r="C63" s="21"/>
      <c r="D63" s="21"/>
      <c r="E63" s="284"/>
      <c r="F63" s="284">
        <v>4116</v>
      </c>
      <c r="G63" s="45"/>
    </row>
    <row r="64" spans="1:11" x14ac:dyDescent="0.25">
      <c r="A64" s="287"/>
      <c r="B64" s="107"/>
      <c r="C64" s="21"/>
      <c r="D64" s="21"/>
      <c r="E64" s="284"/>
      <c r="F64" s="284">
        <v>4116</v>
      </c>
      <c r="G64" s="45"/>
    </row>
    <row r="65" spans="1:7" x14ac:dyDescent="0.25">
      <c r="A65" s="287"/>
      <c r="B65" s="107"/>
      <c r="C65" s="21"/>
      <c r="D65" s="21"/>
      <c r="E65" s="284"/>
      <c r="F65" s="284">
        <v>4116</v>
      </c>
      <c r="G65" s="45"/>
    </row>
    <row r="66" spans="1:7" x14ac:dyDescent="0.25">
      <c r="A66" s="43"/>
      <c r="B66" s="285" t="s">
        <v>33</v>
      </c>
      <c r="C66" s="40">
        <f>+SUM(C67:C102)</f>
        <v>1638</v>
      </c>
      <c r="D66" s="40">
        <f>+SUM(D67:D102)</f>
        <v>2672000</v>
      </c>
      <c r="E66" s="277"/>
      <c r="F66" s="284"/>
      <c r="G66" s="45"/>
    </row>
    <row r="67" spans="1:7" x14ac:dyDescent="0.25">
      <c r="A67" s="43">
        <v>42086</v>
      </c>
      <c r="B67" s="107" t="s">
        <v>122</v>
      </c>
      <c r="C67" s="21">
        <v>80</v>
      </c>
      <c r="D67" s="21">
        <v>80000</v>
      </c>
      <c r="E67" s="277">
        <v>34070</v>
      </c>
      <c r="F67" s="277">
        <v>4116</v>
      </c>
      <c r="G67" s="45"/>
    </row>
    <row r="68" spans="1:7" x14ac:dyDescent="0.25">
      <c r="A68" s="43">
        <v>42116</v>
      </c>
      <c r="B68" s="107" t="s">
        <v>142</v>
      </c>
      <c r="C68" s="21">
        <v>25</v>
      </c>
      <c r="D68" s="21">
        <v>25000</v>
      </c>
      <c r="E68" s="277">
        <v>34070</v>
      </c>
      <c r="F68" s="277">
        <v>4116</v>
      </c>
      <c r="G68" s="45"/>
    </row>
    <row r="69" spans="1:7" x14ac:dyDescent="0.25">
      <c r="A69" s="43">
        <v>42116</v>
      </c>
      <c r="B69" s="107" t="s">
        <v>143</v>
      </c>
      <c r="C69" s="21">
        <v>18</v>
      </c>
      <c r="D69" s="21">
        <v>18000</v>
      </c>
      <c r="E69" s="277">
        <v>34070</v>
      </c>
      <c r="F69" s="277">
        <v>4116</v>
      </c>
      <c r="G69" s="45"/>
    </row>
    <row r="70" spans="1:7" x14ac:dyDescent="0.25">
      <c r="A70" s="43">
        <v>42116</v>
      </c>
      <c r="B70" s="107" t="s">
        <v>173</v>
      </c>
      <c r="C70" s="21">
        <v>20</v>
      </c>
      <c r="D70" s="21">
        <v>20000</v>
      </c>
      <c r="E70" s="277">
        <v>34070</v>
      </c>
      <c r="F70" s="277">
        <v>4116</v>
      </c>
      <c r="G70" s="45"/>
    </row>
    <row r="71" spans="1:7" x14ac:dyDescent="0.25">
      <c r="A71" s="43">
        <v>42128</v>
      </c>
      <c r="B71" s="107" t="s">
        <v>172</v>
      </c>
      <c r="C71" s="21">
        <v>45</v>
      </c>
      <c r="D71" s="21">
        <v>45000</v>
      </c>
      <c r="E71" s="277">
        <v>34053</v>
      </c>
      <c r="F71" s="277">
        <v>4116</v>
      </c>
      <c r="G71" s="45"/>
    </row>
    <row r="72" spans="1:7" x14ac:dyDescent="0.25">
      <c r="A72" s="43">
        <v>42135</v>
      </c>
      <c r="B72" s="107" t="s">
        <v>175</v>
      </c>
      <c r="C72" s="21">
        <v>600</v>
      </c>
      <c r="D72" s="21">
        <v>600000</v>
      </c>
      <c r="E72" s="277">
        <v>34070</v>
      </c>
      <c r="F72" s="277">
        <v>4116</v>
      </c>
      <c r="G72" s="45"/>
    </row>
    <row r="73" spans="1:7" x14ac:dyDescent="0.25">
      <c r="A73" s="43">
        <v>42135</v>
      </c>
      <c r="B73" s="107" t="s">
        <v>176</v>
      </c>
      <c r="C73" s="21">
        <v>70</v>
      </c>
      <c r="D73" s="21">
        <v>70000</v>
      </c>
      <c r="E73" s="277">
        <v>34070</v>
      </c>
      <c r="F73" s="277">
        <v>4116</v>
      </c>
      <c r="G73" s="45"/>
    </row>
    <row r="74" spans="1:7" x14ac:dyDescent="0.25">
      <c r="A74" s="43">
        <v>42136</v>
      </c>
      <c r="B74" s="107" t="s">
        <v>177</v>
      </c>
      <c r="C74" s="21">
        <v>120</v>
      </c>
      <c r="D74" s="21">
        <v>120000</v>
      </c>
      <c r="E74" s="277">
        <v>34070</v>
      </c>
      <c r="F74" s="277">
        <v>4116</v>
      </c>
      <c r="G74" s="45"/>
    </row>
    <row r="75" spans="1:7" x14ac:dyDescent="0.25">
      <c r="A75" s="43">
        <v>42136</v>
      </c>
      <c r="B75" s="107" t="s">
        <v>178</v>
      </c>
      <c r="C75" s="21">
        <v>340</v>
      </c>
      <c r="D75" s="21">
        <v>340000</v>
      </c>
      <c r="E75" s="277">
        <v>34070</v>
      </c>
      <c r="F75" s="277">
        <v>4116</v>
      </c>
      <c r="G75" s="45"/>
    </row>
    <row r="76" spans="1:7" x14ac:dyDescent="0.25">
      <c r="A76" s="43">
        <v>42136</v>
      </c>
      <c r="B76" s="107" t="s">
        <v>179</v>
      </c>
      <c r="C76" s="21">
        <v>320</v>
      </c>
      <c r="D76" s="21">
        <v>320000</v>
      </c>
      <c r="E76" s="277">
        <v>34070</v>
      </c>
      <c r="F76" s="277">
        <v>4116</v>
      </c>
      <c r="G76" s="45"/>
    </row>
    <row r="77" spans="1:7" x14ac:dyDescent="0.25">
      <c r="A77" s="43">
        <v>42143</v>
      </c>
      <c r="B77" s="107" t="s">
        <v>194</v>
      </c>
      <c r="C77" s="21">
        <v>0</v>
      </c>
      <c r="D77" s="21">
        <v>95000</v>
      </c>
      <c r="E77" s="277">
        <v>34070</v>
      </c>
      <c r="F77" s="277">
        <v>4116</v>
      </c>
      <c r="G77" s="45">
        <v>95</v>
      </c>
    </row>
    <row r="78" spans="1:7" x14ac:dyDescent="0.25">
      <c r="A78" s="43">
        <v>42143</v>
      </c>
      <c r="B78" s="107" t="s">
        <v>195</v>
      </c>
      <c r="C78" s="21">
        <v>0</v>
      </c>
      <c r="D78" s="21">
        <v>30000</v>
      </c>
      <c r="E78" s="277">
        <v>34194</v>
      </c>
      <c r="F78" s="277">
        <v>4116</v>
      </c>
      <c r="G78" s="45">
        <v>30</v>
      </c>
    </row>
    <row r="79" spans="1:7" x14ac:dyDescent="0.25">
      <c r="A79" s="43">
        <v>42143</v>
      </c>
      <c r="B79" s="107" t="s">
        <v>197</v>
      </c>
      <c r="C79" s="21">
        <v>0</v>
      </c>
      <c r="D79" s="21">
        <v>750000</v>
      </c>
      <c r="E79" s="277">
        <v>34070</v>
      </c>
      <c r="F79" s="277">
        <v>4116</v>
      </c>
      <c r="G79" s="45">
        <v>750</v>
      </c>
    </row>
    <row r="80" spans="1:7" x14ac:dyDescent="0.25">
      <c r="A80" s="43">
        <v>42144</v>
      </c>
      <c r="B80" s="107" t="s">
        <v>199</v>
      </c>
      <c r="C80" s="21">
        <v>0</v>
      </c>
      <c r="D80" s="21">
        <v>64000</v>
      </c>
      <c r="E80" s="277">
        <v>34053</v>
      </c>
      <c r="F80" s="277">
        <v>4116</v>
      </c>
      <c r="G80" s="45">
        <v>64</v>
      </c>
    </row>
    <row r="81" spans="1:7" x14ac:dyDescent="0.25">
      <c r="A81" s="43">
        <v>42144</v>
      </c>
      <c r="B81" s="107" t="s">
        <v>198</v>
      </c>
      <c r="C81" s="21">
        <v>0</v>
      </c>
      <c r="D81" s="21">
        <v>45000</v>
      </c>
      <c r="E81" s="277">
        <v>34053</v>
      </c>
      <c r="F81" s="277">
        <v>4116</v>
      </c>
      <c r="G81" s="45">
        <v>45</v>
      </c>
    </row>
    <row r="82" spans="1:7" x14ac:dyDescent="0.25">
      <c r="A82" s="43"/>
      <c r="B82" s="107"/>
      <c r="C82" s="21"/>
      <c r="D82" s="21"/>
      <c r="E82" s="277"/>
      <c r="F82" s="277"/>
      <c r="G82" s="45"/>
    </row>
    <row r="83" spans="1:7" x14ac:dyDescent="0.25">
      <c r="A83" s="43"/>
      <c r="B83" s="107"/>
      <c r="C83" s="21"/>
      <c r="D83" s="21"/>
      <c r="E83" s="277"/>
      <c r="F83" s="277"/>
      <c r="G83" s="45"/>
    </row>
    <row r="84" spans="1:7" x14ac:dyDescent="0.25">
      <c r="A84" s="43"/>
      <c r="B84" s="107"/>
      <c r="C84" s="21"/>
      <c r="D84" s="21"/>
      <c r="E84" s="277"/>
      <c r="F84" s="277"/>
      <c r="G84" s="45"/>
    </row>
    <row r="85" spans="1:7" x14ac:dyDescent="0.25">
      <c r="A85" s="43"/>
      <c r="B85" s="107"/>
      <c r="C85" s="21"/>
      <c r="D85" s="21"/>
      <c r="E85" s="277"/>
      <c r="F85" s="277">
        <v>4116</v>
      </c>
      <c r="G85" s="45"/>
    </row>
    <row r="86" spans="1:7" x14ac:dyDescent="0.25">
      <c r="A86" s="43"/>
      <c r="B86" s="107"/>
      <c r="C86" s="21"/>
      <c r="D86" s="21"/>
      <c r="E86" s="277"/>
      <c r="F86" s="277">
        <v>4116</v>
      </c>
      <c r="G86" s="45"/>
    </row>
    <row r="87" spans="1:7" x14ac:dyDescent="0.25">
      <c r="A87" s="43"/>
      <c r="B87" s="107"/>
      <c r="C87" s="21"/>
      <c r="D87" s="21"/>
      <c r="E87" s="277"/>
      <c r="F87" s="277">
        <v>4116</v>
      </c>
      <c r="G87" s="45"/>
    </row>
    <row r="88" spans="1:7" x14ac:dyDescent="0.25">
      <c r="A88" s="43"/>
      <c r="B88" s="107"/>
      <c r="C88" s="21"/>
      <c r="D88" s="21"/>
      <c r="E88" s="277"/>
      <c r="F88" s="277">
        <v>4116</v>
      </c>
      <c r="G88" s="45"/>
    </row>
    <row r="89" spans="1:7" x14ac:dyDescent="0.25">
      <c r="A89" s="43"/>
      <c r="B89" s="107"/>
      <c r="C89" s="21"/>
      <c r="D89" s="21"/>
      <c r="E89" s="277"/>
      <c r="F89" s="277">
        <v>4116</v>
      </c>
      <c r="G89" s="45"/>
    </row>
    <row r="90" spans="1:7" x14ac:dyDescent="0.25">
      <c r="A90" s="43"/>
      <c r="B90" s="107"/>
      <c r="C90" s="21"/>
      <c r="D90" s="21"/>
      <c r="E90" s="277"/>
      <c r="F90" s="277">
        <v>4116</v>
      </c>
      <c r="G90" s="45"/>
    </row>
    <row r="91" spans="1:7" x14ac:dyDescent="0.25">
      <c r="A91" s="43"/>
      <c r="B91" s="107"/>
      <c r="C91" s="21"/>
      <c r="D91" s="21"/>
      <c r="E91" s="277"/>
      <c r="F91" s="277">
        <v>4116</v>
      </c>
      <c r="G91" s="45"/>
    </row>
    <row r="92" spans="1:7" x14ac:dyDescent="0.25">
      <c r="A92" s="43"/>
      <c r="B92" s="107"/>
      <c r="C92" s="21"/>
      <c r="D92" s="21"/>
      <c r="E92" s="277"/>
      <c r="F92" s="277">
        <v>4116</v>
      </c>
      <c r="G92" s="45"/>
    </row>
    <row r="93" spans="1:7" x14ac:dyDescent="0.25">
      <c r="A93" s="43"/>
      <c r="B93" s="107"/>
      <c r="C93" s="21"/>
      <c r="D93" s="21"/>
      <c r="E93" s="277"/>
      <c r="F93" s="277">
        <v>4116</v>
      </c>
      <c r="G93" s="45"/>
    </row>
    <row r="94" spans="1:7" x14ac:dyDescent="0.25">
      <c r="A94" s="43"/>
      <c r="B94" s="107"/>
      <c r="C94" s="21"/>
      <c r="D94" s="21"/>
      <c r="E94" s="277"/>
      <c r="F94" s="277">
        <v>4116</v>
      </c>
      <c r="G94" s="45"/>
    </row>
    <row r="95" spans="1:7" x14ac:dyDescent="0.25">
      <c r="A95" s="43"/>
      <c r="B95" s="107"/>
      <c r="C95" s="21"/>
      <c r="D95" s="21"/>
      <c r="E95" s="277"/>
      <c r="F95" s="277">
        <v>4116</v>
      </c>
      <c r="G95" s="45"/>
    </row>
    <row r="96" spans="1:7" x14ac:dyDescent="0.25">
      <c r="A96" s="43"/>
      <c r="B96" s="107"/>
      <c r="C96" s="21"/>
      <c r="D96" s="21"/>
      <c r="E96" s="277"/>
      <c r="F96" s="277">
        <v>4116</v>
      </c>
      <c r="G96" s="45"/>
    </row>
    <row r="97" spans="1:7" x14ac:dyDescent="0.25">
      <c r="A97" s="43"/>
      <c r="B97" s="107"/>
      <c r="C97" s="21"/>
      <c r="D97" s="21"/>
      <c r="E97" s="277"/>
      <c r="F97" s="277">
        <v>4116</v>
      </c>
      <c r="G97" s="45"/>
    </row>
    <row r="98" spans="1:7" x14ac:dyDescent="0.25">
      <c r="A98" s="43"/>
      <c r="B98" s="107"/>
      <c r="C98" s="21"/>
      <c r="D98" s="21"/>
      <c r="E98" s="277"/>
      <c r="F98" s="277">
        <v>4116</v>
      </c>
      <c r="G98" s="45"/>
    </row>
    <row r="99" spans="1:7" x14ac:dyDescent="0.25">
      <c r="A99" s="43"/>
      <c r="B99" s="107"/>
      <c r="C99" s="21"/>
      <c r="D99" s="21"/>
      <c r="E99" s="277"/>
      <c r="F99" s="277">
        <v>4116</v>
      </c>
      <c r="G99" s="45"/>
    </row>
    <row r="100" spans="1:7" x14ac:dyDescent="0.25">
      <c r="A100" s="43"/>
      <c r="B100" s="107"/>
      <c r="C100" s="21"/>
      <c r="D100" s="21"/>
      <c r="E100" s="277"/>
      <c r="F100" s="277">
        <v>4116</v>
      </c>
      <c r="G100" s="45"/>
    </row>
    <row r="101" spans="1:7" x14ac:dyDescent="0.25">
      <c r="A101" s="43"/>
      <c r="B101" s="107" t="s">
        <v>170</v>
      </c>
      <c r="C101" s="21">
        <v>0</v>
      </c>
      <c r="D101" s="21">
        <v>50000</v>
      </c>
      <c r="E101" s="277">
        <v>34273</v>
      </c>
      <c r="F101" s="277">
        <v>4116</v>
      </c>
      <c r="G101" s="45"/>
    </row>
    <row r="102" spans="1:7" x14ac:dyDescent="0.25">
      <c r="A102" s="43"/>
      <c r="B102" s="107"/>
      <c r="C102" s="21"/>
      <c r="D102" s="21"/>
      <c r="E102" s="277"/>
      <c r="F102" s="277"/>
      <c r="G102" s="45"/>
    </row>
    <row r="103" spans="1:7" x14ac:dyDescent="0.25">
      <c r="A103" s="43"/>
      <c r="B103" s="285" t="s">
        <v>34</v>
      </c>
      <c r="C103" s="40">
        <f>SUM(C104:C115)</f>
        <v>13937.582200000001</v>
      </c>
      <c r="D103" s="40">
        <f>SUM(D104:D115)</f>
        <v>13937582.199999999</v>
      </c>
      <c r="E103" s="277"/>
      <c r="F103" s="284"/>
      <c r="G103" s="45"/>
    </row>
    <row r="104" spans="1:7" x14ac:dyDescent="0.25">
      <c r="A104" s="43">
        <v>42054</v>
      </c>
      <c r="B104" s="107" t="s">
        <v>68</v>
      </c>
      <c r="C104" s="53">
        <v>972.54641000000004</v>
      </c>
      <c r="D104" s="53">
        <v>972546.41</v>
      </c>
      <c r="E104" s="277">
        <v>33019</v>
      </c>
      <c r="F104" s="284" t="s">
        <v>18</v>
      </c>
      <c r="G104" s="45"/>
    </row>
    <row r="105" spans="1:7" x14ac:dyDescent="0.25">
      <c r="A105" s="43">
        <v>42081</v>
      </c>
      <c r="B105" s="107" t="s">
        <v>117</v>
      </c>
      <c r="C105" s="53">
        <v>192</v>
      </c>
      <c r="D105" s="55">
        <v>192000</v>
      </c>
      <c r="E105" s="277">
        <v>33339</v>
      </c>
      <c r="F105" s="284">
        <v>4116</v>
      </c>
      <c r="G105" s="45"/>
    </row>
    <row r="106" spans="1:7" x14ac:dyDescent="0.25">
      <c r="A106" s="43">
        <v>42116</v>
      </c>
      <c r="B106" s="107" t="s">
        <v>145</v>
      </c>
      <c r="C106" s="53">
        <v>417.25607000000002</v>
      </c>
      <c r="D106" s="55">
        <f>354667.65+62588.42</f>
        <v>417256.07</v>
      </c>
      <c r="E106" s="277">
        <v>33019</v>
      </c>
      <c r="F106" s="284">
        <v>4116</v>
      </c>
      <c r="G106" s="45"/>
    </row>
    <row r="107" spans="1:7" x14ac:dyDescent="0.25">
      <c r="A107" s="43">
        <v>42117</v>
      </c>
      <c r="B107" s="107" t="s">
        <v>148</v>
      </c>
      <c r="C107" s="53">
        <v>6858.8674300000002</v>
      </c>
      <c r="D107" s="114">
        <v>6858867.4299999997</v>
      </c>
      <c r="E107" s="277">
        <v>33019</v>
      </c>
      <c r="F107" s="284">
        <v>4116</v>
      </c>
      <c r="G107" s="45"/>
    </row>
    <row r="108" spans="1:7" x14ac:dyDescent="0.25">
      <c r="A108" s="43">
        <v>42131</v>
      </c>
      <c r="B108" s="107" t="s">
        <v>174</v>
      </c>
      <c r="C108" s="53">
        <v>592.21028999999999</v>
      </c>
      <c r="D108" s="55">
        <v>592210.29</v>
      </c>
      <c r="E108" s="67">
        <v>33019</v>
      </c>
      <c r="F108" s="284">
        <v>4116</v>
      </c>
      <c r="G108" s="45"/>
    </row>
    <row r="109" spans="1:7" x14ac:dyDescent="0.25">
      <c r="A109" s="43">
        <v>42138</v>
      </c>
      <c r="B109" s="107" t="s">
        <v>148</v>
      </c>
      <c r="C109" s="53">
        <v>4904.7020000000002</v>
      </c>
      <c r="D109" s="55">
        <v>4904702</v>
      </c>
      <c r="E109" s="67">
        <v>33019</v>
      </c>
      <c r="F109" s="284">
        <v>4116</v>
      </c>
      <c r="G109" s="45"/>
    </row>
    <row r="110" spans="1:7" x14ac:dyDescent="0.25">
      <c r="A110" s="43"/>
      <c r="B110" s="276"/>
      <c r="C110" s="53"/>
      <c r="D110" s="55"/>
      <c r="E110" s="67"/>
      <c r="F110" s="284">
        <v>4116</v>
      </c>
      <c r="G110" s="45"/>
    </row>
    <row r="111" spans="1:7" x14ac:dyDescent="0.25">
      <c r="A111" s="43"/>
      <c r="B111" s="276"/>
      <c r="C111" s="53"/>
      <c r="D111" s="55"/>
      <c r="E111" s="67"/>
      <c r="F111" s="284">
        <v>4116</v>
      </c>
      <c r="G111" s="45"/>
    </row>
    <row r="112" spans="1:7" x14ac:dyDescent="0.25">
      <c r="A112" s="43"/>
      <c r="B112" s="276"/>
      <c r="C112" s="53"/>
      <c r="D112" s="55"/>
      <c r="E112" s="67"/>
      <c r="F112" s="284">
        <v>4116</v>
      </c>
      <c r="G112" s="45"/>
    </row>
    <row r="113" spans="1:6" s="45" customFormat="1" x14ac:dyDescent="0.25">
      <c r="A113" s="43"/>
      <c r="B113" s="276"/>
      <c r="C113" s="53"/>
      <c r="D113" s="55"/>
      <c r="E113" s="67"/>
      <c r="F113" s="284">
        <v>4116</v>
      </c>
    </row>
    <row r="114" spans="1:6" s="45" customFormat="1" x14ac:dyDescent="0.25">
      <c r="A114" s="43"/>
      <c r="B114" s="276"/>
      <c r="C114" s="53"/>
      <c r="D114" s="55"/>
      <c r="E114" s="67"/>
      <c r="F114" s="284">
        <v>4116</v>
      </c>
    </row>
    <row r="115" spans="1:6" s="45" customFormat="1" x14ac:dyDescent="0.25">
      <c r="A115" s="43"/>
      <c r="B115" s="288"/>
      <c r="C115" s="47"/>
      <c r="D115" s="55"/>
      <c r="E115" s="67"/>
      <c r="F115" s="284"/>
    </row>
    <row r="116" spans="1:6" s="45" customFormat="1" x14ac:dyDescent="0.25">
      <c r="A116" s="43"/>
      <c r="B116" s="273" t="s">
        <v>35</v>
      </c>
      <c r="C116" s="31">
        <f>+SUM(C117:C120)</f>
        <v>2908.0978700000001</v>
      </c>
      <c r="D116" s="31">
        <f>+SUM(D117:D120)</f>
        <v>2908097.87</v>
      </c>
      <c r="E116" s="67"/>
      <c r="F116" s="277"/>
    </row>
    <row r="117" spans="1:6" s="45" customFormat="1" x14ac:dyDescent="0.25">
      <c r="A117" s="43">
        <v>42040</v>
      </c>
      <c r="B117" s="107" t="s">
        <v>60</v>
      </c>
      <c r="C117" s="53">
        <v>2686.6678700000002</v>
      </c>
      <c r="D117" s="53">
        <v>2686667.87</v>
      </c>
      <c r="E117" s="67">
        <v>17003</v>
      </c>
      <c r="F117" s="277" t="s">
        <v>18</v>
      </c>
    </row>
    <row r="118" spans="1:6" s="45" customFormat="1" x14ac:dyDescent="0.25">
      <c r="A118" s="43">
        <v>42059</v>
      </c>
      <c r="B118" s="107" t="s">
        <v>105</v>
      </c>
      <c r="C118" s="53">
        <v>188.21549999999999</v>
      </c>
      <c r="D118" s="53">
        <v>188215.5</v>
      </c>
      <c r="E118" s="67">
        <v>17003</v>
      </c>
      <c r="F118" s="277">
        <v>4116</v>
      </c>
    </row>
    <row r="119" spans="1:6" s="45" customFormat="1" x14ac:dyDescent="0.25">
      <c r="A119" s="43">
        <v>42059</v>
      </c>
      <c r="B119" s="107" t="s">
        <v>105</v>
      </c>
      <c r="C119" s="53">
        <v>33.214500000000001</v>
      </c>
      <c r="D119" s="53">
        <v>33214.5</v>
      </c>
      <c r="E119" s="67">
        <v>17002</v>
      </c>
      <c r="F119" s="277">
        <v>4116</v>
      </c>
    </row>
    <row r="120" spans="1:6" s="45" customFormat="1" x14ac:dyDescent="0.25">
      <c r="A120" s="43"/>
      <c r="B120" s="289"/>
      <c r="C120" s="53"/>
      <c r="D120" s="53"/>
      <c r="E120" s="67"/>
      <c r="F120" s="277"/>
    </row>
    <row r="121" spans="1:6" s="45" customFormat="1" x14ac:dyDescent="0.25">
      <c r="A121" s="43"/>
      <c r="B121" s="31" t="s">
        <v>36</v>
      </c>
      <c r="C121" s="31">
        <f>+SUM(C122:C135)</f>
        <v>0</v>
      </c>
      <c r="D121" s="31">
        <f>+SUM(D122:D135)</f>
        <v>509026.51</v>
      </c>
      <c r="E121" s="67"/>
      <c r="F121" s="277"/>
    </row>
    <row r="122" spans="1:6" s="45" customFormat="1" x14ac:dyDescent="0.25">
      <c r="A122" s="43"/>
      <c r="B122" s="107"/>
      <c r="C122" s="21"/>
      <c r="D122" s="53"/>
      <c r="E122" s="67"/>
      <c r="F122" s="277">
        <v>4116</v>
      </c>
    </row>
    <row r="123" spans="1:6" s="45" customFormat="1" x14ac:dyDescent="0.25">
      <c r="A123" s="43"/>
      <c r="B123" s="107"/>
      <c r="C123" s="21"/>
      <c r="D123" s="53"/>
      <c r="E123" s="67"/>
      <c r="F123" s="277">
        <v>4116</v>
      </c>
    </row>
    <row r="124" spans="1:6" s="45" customFormat="1" x14ac:dyDescent="0.25">
      <c r="A124" s="43"/>
      <c r="B124" s="107"/>
      <c r="C124" s="21"/>
      <c r="D124" s="53"/>
      <c r="E124" s="67"/>
      <c r="F124" s="277">
        <v>4116</v>
      </c>
    </row>
    <row r="125" spans="1:6" s="45" customFormat="1" x14ac:dyDescent="0.25">
      <c r="A125" s="43"/>
      <c r="B125" s="107"/>
      <c r="C125" s="21"/>
      <c r="D125" s="53"/>
      <c r="E125" s="67"/>
      <c r="F125" s="277">
        <v>4116</v>
      </c>
    </row>
    <row r="126" spans="1:6" s="45" customFormat="1" x14ac:dyDescent="0.25">
      <c r="A126" s="43"/>
      <c r="B126" s="107"/>
      <c r="C126" s="21"/>
      <c r="D126" s="53"/>
      <c r="E126" s="67"/>
      <c r="F126" s="277">
        <v>4116</v>
      </c>
    </row>
    <row r="127" spans="1:6" s="45" customFormat="1" x14ac:dyDescent="0.25">
      <c r="A127" s="43"/>
      <c r="B127" s="107"/>
      <c r="C127" s="21"/>
      <c r="D127" s="53"/>
      <c r="E127" s="67"/>
      <c r="F127" s="277">
        <v>4116</v>
      </c>
    </row>
    <row r="128" spans="1:6" s="45" customFormat="1" x14ac:dyDescent="0.25">
      <c r="A128" s="43"/>
      <c r="B128" s="107"/>
      <c r="C128" s="21"/>
      <c r="D128" s="53"/>
      <c r="E128" s="67"/>
      <c r="F128" s="277">
        <v>4116</v>
      </c>
    </row>
    <row r="129" spans="1:8" x14ac:dyDescent="0.25">
      <c r="A129" s="43"/>
      <c r="B129" s="107"/>
      <c r="C129" s="21"/>
      <c r="D129" s="53"/>
      <c r="E129" s="67"/>
      <c r="F129" s="277">
        <v>4116</v>
      </c>
      <c r="G129" s="45"/>
    </row>
    <row r="130" spans="1:8" x14ac:dyDescent="0.25">
      <c r="A130" s="43"/>
      <c r="B130" s="107"/>
      <c r="C130" s="21"/>
      <c r="D130" s="53"/>
      <c r="E130" s="67"/>
      <c r="F130" s="277">
        <v>4116</v>
      </c>
      <c r="G130" s="45"/>
    </row>
    <row r="131" spans="1:8" x14ac:dyDescent="0.25">
      <c r="A131" s="43"/>
      <c r="B131" s="107"/>
      <c r="C131" s="21"/>
      <c r="D131" s="53"/>
      <c r="E131" s="67"/>
      <c r="F131" s="277">
        <v>4116</v>
      </c>
      <c r="G131" s="45"/>
    </row>
    <row r="132" spans="1:8" x14ac:dyDescent="0.25">
      <c r="A132" s="43"/>
      <c r="B132" s="107"/>
      <c r="C132" s="21"/>
      <c r="D132" s="53"/>
      <c r="E132" s="67"/>
      <c r="F132" s="277">
        <v>4116</v>
      </c>
      <c r="G132" s="45"/>
    </row>
    <row r="133" spans="1:8" x14ac:dyDescent="0.25">
      <c r="A133" s="43"/>
      <c r="B133" s="107"/>
      <c r="C133" s="21"/>
      <c r="D133" s="53"/>
      <c r="E133" s="67"/>
      <c r="F133" s="277">
        <v>4116</v>
      </c>
      <c r="G133" s="45"/>
    </row>
    <row r="134" spans="1:8" x14ac:dyDescent="0.25">
      <c r="A134" s="43"/>
      <c r="B134" s="44" t="s">
        <v>196</v>
      </c>
      <c r="C134" s="53">
        <v>0</v>
      </c>
      <c r="D134" s="53">
        <v>181303.93</v>
      </c>
      <c r="E134" s="67">
        <v>13233</v>
      </c>
      <c r="F134" s="277">
        <v>4116</v>
      </c>
      <c r="G134" s="45" t="s">
        <v>224</v>
      </c>
      <c r="H134" s="45">
        <f>154108.34+27195.59</f>
        <v>181303.93</v>
      </c>
    </row>
    <row r="135" spans="1:8" x14ac:dyDescent="0.25">
      <c r="A135" s="43"/>
      <c r="B135" s="44" t="s">
        <v>203</v>
      </c>
      <c r="C135" s="53">
        <v>0</v>
      </c>
      <c r="D135" s="53">
        <v>327722.58</v>
      </c>
      <c r="E135" s="67">
        <v>13233</v>
      </c>
      <c r="F135" s="277">
        <v>4116</v>
      </c>
      <c r="G135" s="45" t="s">
        <v>221</v>
      </c>
    </row>
    <row r="136" spans="1:8" x14ac:dyDescent="0.25">
      <c r="A136" s="43"/>
      <c r="B136" s="58"/>
      <c r="C136" s="47"/>
      <c r="D136" s="56"/>
      <c r="E136" s="67"/>
      <c r="F136" s="277"/>
      <c r="G136" s="45"/>
    </row>
    <row r="137" spans="1:8" x14ac:dyDescent="0.25">
      <c r="A137" s="43"/>
      <c r="B137" s="273" t="s">
        <v>38</v>
      </c>
      <c r="C137" s="31">
        <f>+C138</f>
        <v>600</v>
      </c>
      <c r="D137" s="31">
        <f>+D138</f>
        <v>600000</v>
      </c>
      <c r="E137" s="67"/>
      <c r="F137" s="277"/>
      <c r="G137" s="45"/>
    </row>
    <row r="138" spans="1:8" x14ac:dyDescent="0.25">
      <c r="A138" s="43">
        <v>42051</v>
      </c>
      <c r="B138" s="107" t="s">
        <v>39</v>
      </c>
      <c r="C138" s="47">
        <v>600</v>
      </c>
      <c r="D138" s="47">
        <v>600000</v>
      </c>
      <c r="E138" s="67">
        <v>22005</v>
      </c>
      <c r="F138" s="277" t="s">
        <v>18</v>
      </c>
      <c r="G138" s="45"/>
    </row>
    <row r="139" spans="1:8" x14ac:dyDescent="0.25">
      <c r="A139" s="43"/>
      <c r="B139" s="107"/>
      <c r="C139" s="47"/>
      <c r="D139" s="56"/>
      <c r="E139" s="67"/>
      <c r="F139" s="277"/>
      <c r="G139" s="45"/>
    </row>
    <row r="140" spans="1:8" x14ac:dyDescent="0.25">
      <c r="A140" s="43"/>
      <c r="B140" s="273" t="s">
        <v>40</v>
      </c>
      <c r="C140" s="31">
        <f>SUM(C141:C154)</f>
        <v>562.67000000000007</v>
      </c>
      <c r="D140" s="31">
        <f>SUM(D141:D154)</f>
        <v>632330</v>
      </c>
      <c r="E140" s="67"/>
      <c r="F140" s="277"/>
      <c r="G140" s="45"/>
    </row>
    <row r="141" spans="1:8" x14ac:dyDescent="0.25">
      <c r="A141" s="43">
        <v>42081</v>
      </c>
      <c r="B141" s="276" t="s">
        <v>118</v>
      </c>
      <c r="C141" s="47">
        <v>134.988</v>
      </c>
      <c r="D141" s="47">
        <v>134988</v>
      </c>
      <c r="E141" s="67">
        <v>14023</v>
      </c>
      <c r="F141" s="277">
        <v>4116</v>
      </c>
      <c r="G141" s="45"/>
    </row>
    <row r="142" spans="1:8" x14ac:dyDescent="0.25">
      <c r="A142" s="43">
        <v>42082</v>
      </c>
      <c r="B142" s="276" t="s">
        <v>119</v>
      </c>
      <c r="C142" s="47">
        <v>72</v>
      </c>
      <c r="D142" s="47">
        <v>72000</v>
      </c>
      <c r="E142" s="67">
        <v>14336</v>
      </c>
      <c r="F142" s="277">
        <v>4116</v>
      </c>
      <c r="G142" s="45"/>
    </row>
    <row r="143" spans="1:8" x14ac:dyDescent="0.25">
      <c r="A143" s="43">
        <v>42087</v>
      </c>
      <c r="B143" s="276" t="s">
        <v>118</v>
      </c>
      <c r="C143" s="47">
        <v>0.8</v>
      </c>
      <c r="D143" s="47">
        <v>800</v>
      </c>
      <c r="E143" s="67">
        <v>14023</v>
      </c>
      <c r="F143" s="277">
        <v>4116</v>
      </c>
      <c r="G143" s="45"/>
    </row>
    <row r="144" spans="1:8" x14ac:dyDescent="0.25">
      <c r="A144" s="43">
        <v>42090</v>
      </c>
      <c r="B144" s="276" t="s">
        <v>118</v>
      </c>
      <c r="C144" s="47">
        <v>66.06</v>
      </c>
      <c r="D144" s="47">
        <v>66060</v>
      </c>
      <c r="E144" s="67">
        <v>14023</v>
      </c>
      <c r="F144" s="277">
        <v>4116</v>
      </c>
      <c r="G144" s="45"/>
    </row>
    <row r="145" spans="1:7" x14ac:dyDescent="0.25">
      <c r="A145" s="43">
        <v>42096</v>
      </c>
      <c r="B145" s="276" t="s">
        <v>136</v>
      </c>
      <c r="C145" s="47">
        <v>72</v>
      </c>
      <c r="D145" s="47">
        <v>72000</v>
      </c>
      <c r="E145" s="67">
        <v>14336</v>
      </c>
      <c r="F145" s="277">
        <v>4116</v>
      </c>
      <c r="G145" s="45"/>
    </row>
    <row r="146" spans="1:7" x14ac:dyDescent="0.25">
      <c r="A146" s="43">
        <v>42096</v>
      </c>
      <c r="B146" s="276" t="s">
        <v>137</v>
      </c>
      <c r="C146" s="47">
        <v>72</v>
      </c>
      <c r="D146" s="47">
        <v>72000</v>
      </c>
      <c r="E146" s="67">
        <v>14336</v>
      </c>
      <c r="F146" s="277">
        <v>4116</v>
      </c>
      <c r="G146" s="45"/>
    </row>
    <row r="147" spans="1:7" x14ac:dyDescent="0.25">
      <c r="A147" s="43">
        <v>42123</v>
      </c>
      <c r="B147" s="276" t="s">
        <v>153</v>
      </c>
      <c r="C147" s="47">
        <v>72</v>
      </c>
      <c r="D147" s="47">
        <v>72000</v>
      </c>
      <c r="E147" s="67">
        <v>14336</v>
      </c>
      <c r="F147" s="277">
        <v>4116</v>
      </c>
      <c r="G147" s="45"/>
    </row>
    <row r="148" spans="1:7" x14ac:dyDescent="0.25">
      <c r="A148" s="43">
        <v>42128</v>
      </c>
      <c r="B148" s="276" t="s">
        <v>118</v>
      </c>
      <c r="C148" s="47">
        <v>65.341999999999999</v>
      </c>
      <c r="D148" s="47">
        <v>65342</v>
      </c>
      <c r="E148" s="67">
        <v>14023</v>
      </c>
      <c r="F148" s="277">
        <v>4116</v>
      </c>
      <c r="G148" s="45"/>
    </row>
    <row r="149" spans="1:7" x14ac:dyDescent="0.25">
      <c r="A149" s="43">
        <v>42152</v>
      </c>
      <c r="B149" s="276" t="s">
        <v>118</v>
      </c>
      <c r="C149" s="47">
        <v>0</v>
      </c>
      <c r="D149" s="47">
        <v>69660</v>
      </c>
      <c r="E149" s="67">
        <v>14023</v>
      </c>
      <c r="F149" s="277">
        <v>4116</v>
      </c>
      <c r="G149" s="45"/>
    </row>
    <row r="150" spans="1:7" x14ac:dyDescent="0.25">
      <c r="A150" s="43"/>
      <c r="B150" s="276"/>
      <c r="C150" s="47"/>
      <c r="D150" s="47"/>
      <c r="E150" s="67"/>
      <c r="F150" s="277"/>
      <c r="G150" s="45"/>
    </row>
    <row r="151" spans="1:7" x14ac:dyDescent="0.25">
      <c r="A151" s="43"/>
      <c r="B151" s="276" t="s">
        <v>113</v>
      </c>
      <c r="C151" s="47">
        <v>7.48</v>
      </c>
      <c r="D151" s="47">
        <v>7480</v>
      </c>
      <c r="E151" s="67">
        <v>14137</v>
      </c>
      <c r="F151" s="277">
        <v>4116</v>
      </c>
      <c r="G151" s="45"/>
    </row>
    <row r="152" spans="1:7" x14ac:dyDescent="0.25">
      <c r="A152" s="43"/>
      <c r="B152" s="276"/>
      <c r="C152" s="47"/>
      <c r="D152" s="47"/>
      <c r="E152" s="67"/>
      <c r="F152" s="277">
        <v>4116</v>
      </c>
      <c r="G152" s="45"/>
    </row>
    <row r="153" spans="1:7" x14ac:dyDescent="0.25">
      <c r="A153" s="43"/>
      <c r="B153" s="276"/>
      <c r="C153" s="47"/>
      <c r="D153" s="47"/>
      <c r="E153" s="67"/>
      <c r="F153" s="277">
        <v>4116</v>
      </c>
      <c r="G153" s="45"/>
    </row>
    <row r="154" spans="1:7" x14ac:dyDescent="0.25">
      <c r="A154" s="43"/>
      <c r="B154" s="276"/>
      <c r="C154" s="47"/>
      <c r="D154" s="47"/>
      <c r="E154" s="67"/>
      <c r="F154" s="277"/>
      <c r="G154" s="45"/>
    </row>
    <row r="155" spans="1:7" x14ac:dyDescent="0.25">
      <c r="A155" s="43"/>
      <c r="B155" s="107"/>
      <c r="C155" s="47"/>
      <c r="D155" s="47"/>
      <c r="E155" s="67"/>
      <c r="F155" s="68"/>
      <c r="G155" s="45"/>
    </row>
    <row r="156" spans="1:7" x14ac:dyDescent="0.25">
      <c r="A156" s="43"/>
      <c r="B156" s="273" t="s">
        <v>41</v>
      </c>
      <c r="C156" s="31">
        <f>+SUM(C157:C171)</f>
        <v>185.374</v>
      </c>
      <c r="D156" s="31">
        <f>+SUM(D157:D171)</f>
        <v>185374</v>
      </c>
      <c r="E156" s="67"/>
      <c r="F156" s="68"/>
      <c r="G156" s="45"/>
    </row>
    <row r="157" spans="1:7" x14ac:dyDescent="0.25">
      <c r="A157" s="43">
        <v>42118</v>
      </c>
      <c r="B157" s="276" t="s">
        <v>93</v>
      </c>
      <c r="C157" s="47">
        <v>18.0625</v>
      </c>
      <c r="D157" s="47">
        <v>18062.5</v>
      </c>
      <c r="E157" s="67">
        <v>35019</v>
      </c>
      <c r="F157" s="68">
        <v>4116</v>
      </c>
      <c r="G157" s="45"/>
    </row>
    <row r="158" spans="1:7" x14ac:dyDescent="0.25">
      <c r="A158" s="43">
        <v>42118</v>
      </c>
      <c r="B158" s="276" t="s">
        <v>94</v>
      </c>
      <c r="C158" s="47">
        <v>17.977499999999999</v>
      </c>
      <c r="D158" s="47">
        <v>17977.5</v>
      </c>
      <c r="E158" s="67">
        <v>35019</v>
      </c>
      <c r="F158" s="68">
        <v>4116</v>
      </c>
      <c r="G158" s="45"/>
    </row>
    <row r="159" spans="1:7" x14ac:dyDescent="0.25">
      <c r="A159" s="43">
        <v>42118</v>
      </c>
      <c r="B159" s="276" t="s">
        <v>95</v>
      </c>
      <c r="C159" s="47">
        <v>32.084000000000003</v>
      </c>
      <c r="D159" s="47">
        <v>32084</v>
      </c>
      <c r="E159" s="67">
        <v>35019</v>
      </c>
      <c r="F159" s="68">
        <v>4116</v>
      </c>
      <c r="G159" s="45"/>
    </row>
    <row r="160" spans="1:7" x14ac:dyDescent="0.25">
      <c r="A160" s="43">
        <v>42118</v>
      </c>
      <c r="B160" s="276" t="s">
        <v>95</v>
      </c>
      <c r="C160" s="47">
        <v>77</v>
      </c>
      <c r="D160" s="47">
        <v>77000</v>
      </c>
      <c r="E160" s="67">
        <v>35019</v>
      </c>
      <c r="F160" s="68">
        <v>4116</v>
      </c>
      <c r="G160" s="45"/>
    </row>
    <row r="161" spans="1:7" x14ac:dyDescent="0.25">
      <c r="A161" s="43">
        <v>42118</v>
      </c>
      <c r="B161" s="276" t="s">
        <v>92</v>
      </c>
      <c r="C161" s="47">
        <v>40.25</v>
      </c>
      <c r="D161" s="47">
        <v>40250</v>
      </c>
      <c r="E161" s="67">
        <v>35019</v>
      </c>
      <c r="F161" s="68">
        <v>4116</v>
      </c>
      <c r="G161" s="45"/>
    </row>
    <row r="162" spans="1:7" x14ac:dyDescent="0.25">
      <c r="A162" s="43"/>
      <c r="B162" s="276" t="s">
        <v>95</v>
      </c>
      <c r="C162" s="47"/>
      <c r="D162" s="47"/>
      <c r="E162" s="67">
        <v>35019</v>
      </c>
      <c r="F162" s="68">
        <v>4116</v>
      </c>
      <c r="G162" s="45"/>
    </row>
    <row r="163" spans="1:7" x14ac:dyDescent="0.25">
      <c r="A163" s="43"/>
      <c r="B163" s="276" t="s">
        <v>93</v>
      </c>
      <c r="C163" s="47"/>
      <c r="D163" s="47"/>
      <c r="E163" s="67">
        <v>35019</v>
      </c>
      <c r="F163" s="68">
        <v>4116</v>
      </c>
      <c r="G163" s="45"/>
    </row>
    <row r="164" spans="1:7" x14ac:dyDescent="0.25">
      <c r="A164" s="43"/>
      <c r="B164" s="276" t="s">
        <v>94</v>
      </c>
      <c r="C164" s="47"/>
      <c r="D164" s="47"/>
      <c r="E164" s="67">
        <v>35019</v>
      </c>
      <c r="F164" s="68">
        <v>4116</v>
      </c>
      <c r="G164" s="45"/>
    </row>
    <row r="165" spans="1:7" x14ac:dyDescent="0.25">
      <c r="A165" s="43"/>
      <c r="B165" s="276" t="s">
        <v>95</v>
      </c>
      <c r="C165" s="47"/>
      <c r="D165" s="47"/>
      <c r="E165" s="67">
        <v>35019</v>
      </c>
      <c r="F165" s="68">
        <v>4116</v>
      </c>
      <c r="G165" s="45"/>
    </row>
    <row r="166" spans="1:7" x14ac:dyDescent="0.25">
      <c r="A166" s="43"/>
      <c r="B166" s="276" t="s">
        <v>96</v>
      </c>
      <c r="C166" s="47"/>
      <c r="D166" s="47"/>
      <c r="E166" s="67">
        <v>35019</v>
      </c>
      <c r="F166" s="68">
        <v>4116</v>
      </c>
      <c r="G166" s="45"/>
    </row>
    <row r="167" spans="1:7" x14ac:dyDescent="0.25">
      <c r="A167" s="43"/>
      <c r="B167" s="276" t="s">
        <v>93</v>
      </c>
      <c r="C167" s="47"/>
      <c r="D167" s="47"/>
      <c r="E167" s="67">
        <v>35019</v>
      </c>
      <c r="F167" s="68">
        <v>4116</v>
      </c>
      <c r="G167" s="45"/>
    </row>
    <row r="168" spans="1:7" x14ac:dyDescent="0.25">
      <c r="A168" s="43"/>
      <c r="B168" s="276" t="s">
        <v>95</v>
      </c>
      <c r="C168" s="47"/>
      <c r="D168" s="47"/>
      <c r="E168" s="67">
        <v>35019</v>
      </c>
      <c r="F168" s="68">
        <v>4116</v>
      </c>
      <c r="G168" s="45"/>
    </row>
    <row r="169" spans="1:7" x14ac:dyDescent="0.25">
      <c r="A169" s="43"/>
      <c r="B169" s="276" t="s">
        <v>95</v>
      </c>
      <c r="C169" s="47"/>
      <c r="D169" s="47"/>
      <c r="E169" s="67">
        <v>35019</v>
      </c>
      <c r="F169" s="68">
        <v>4116</v>
      </c>
      <c r="G169" s="45"/>
    </row>
    <row r="170" spans="1:7" x14ac:dyDescent="0.25">
      <c r="A170" s="43"/>
      <c r="B170" s="276" t="s">
        <v>92</v>
      </c>
      <c r="C170" s="47"/>
      <c r="D170" s="47"/>
      <c r="E170" s="67">
        <v>35019</v>
      </c>
      <c r="F170" s="68">
        <v>4116</v>
      </c>
      <c r="G170" s="45"/>
    </row>
    <row r="171" spans="1:7" x14ac:dyDescent="0.25">
      <c r="A171" s="43"/>
      <c r="B171" s="276" t="s">
        <v>100</v>
      </c>
      <c r="C171" s="47"/>
      <c r="D171" s="47"/>
      <c r="E171" s="67">
        <v>35015</v>
      </c>
      <c r="F171" s="68">
        <v>4116</v>
      </c>
      <c r="G171" s="45"/>
    </row>
    <row r="172" spans="1:7" x14ac:dyDescent="0.25">
      <c r="A172" s="43"/>
      <c r="B172" s="276"/>
      <c r="C172" s="47"/>
      <c r="D172" s="47"/>
      <c r="E172" s="67"/>
      <c r="F172" s="68"/>
      <c r="G172" s="45"/>
    </row>
    <row r="173" spans="1:7" x14ac:dyDescent="0.25">
      <c r="A173" s="43"/>
      <c r="B173" s="273" t="s">
        <v>42</v>
      </c>
      <c r="C173" s="31">
        <f>+SUM(C174:C180)</f>
        <v>0</v>
      </c>
      <c r="D173" s="31">
        <f>+SUM(D174:D180)</f>
        <v>86159</v>
      </c>
      <c r="E173" s="67"/>
      <c r="F173" s="68"/>
      <c r="G173" s="45"/>
    </row>
    <row r="174" spans="1:7" x14ac:dyDescent="0.25">
      <c r="A174" s="43">
        <v>42142</v>
      </c>
      <c r="B174" s="276" t="s">
        <v>43</v>
      </c>
      <c r="C174" s="47">
        <v>0</v>
      </c>
      <c r="D174" s="47">
        <v>86159</v>
      </c>
      <c r="E174" s="67">
        <v>29008</v>
      </c>
      <c r="F174" s="68">
        <v>4116</v>
      </c>
      <c r="G174" s="45">
        <v>86159</v>
      </c>
    </row>
    <row r="175" spans="1:7" x14ac:dyDescent="0.25">
      <c r="A175" s="43"/>
      <c r="B175" s="276" t="s">
        <v>43</v>
      </c>
      <c r="C175" s="47"/>
      <c r="D175" s="47"/>
      <c r="E175" s="67">
        <v>29008</v>
      </c>
      <c r="F175" s="68">
        <v>4116</v>
      </c>
      <c r="G175" s="45"/>
    </row>
    <row r="176" spans="1:7" x14ac:dyDescent="0.25">
      <c r="A176" s="43"/>
      <c r="B176" s="276" t="s">
        <v>44</v>
      </c>
      <c r="C176" s="47"/>
      <c r="D176" s="47"/>
      <c r="E176" s="67">
        <v>29004</v>
      </c>
      <c r="F176" s="68">
        <v>4116</v>
      </c>
      <c r="G176" s="45"/>
    </row>
    <row r="177" spans="1:7" x14ac:dyDescent="0.25">
      <c r="A177" s="43"/>
      <c r="B177" s="276"/>
      <c r="C177" s="47"/>
      <c r="D177" s="47"/>
      <c r="E177" s="67"/>
      <c r="F177" s="68">
        <v>4116</v>
      </c>
      <c r="G177" s="45"/>
    </row>
    <row r="178" spans="1:7" x14ac:dyDescent="0.25">
      <c r="A178" s="43"/>
      <c r="B178" s="276"/>
      <c r="C178" s="47"/>
      <c r="D178" s="47"/>
      <c r="E178" s="67"/>
      <c r="F178" s="68">
        <v>4116</v>
      </c>
      <c r="G178" s="45"/>
    </row>
    <row r="179" spans="1:7" x14ac:dyDescent="0.25">
      <c r="A179" s="43"/>
      <c r="B179" s="276"/>
      <c r="C179" s="47"/>
      <c r="D179" s="47"/>
      <c r="E179" s="67"/>
      <c r="F179" s="68">
        <v>4116</v>
      </c>
      <c r="G179" s="45"/>
    </row>
    <row r="180" spans="1:7" x14ac:dyDescent="0.25">
      <c r="A180" s="43"/>
      <c r="B180" s="276"/>
      <c r="C180" s="47"/>
      <c r="D180" s="47"/>
      <c r="E180" s="67"/>
      <c r="F180" s="68"/>
      <c r="G180" s="45"/>
    </row>
    <row r="181" spans="1:7" x14ac:dyDescent="0.25">
      <c r="A181" s="43"/>
      <c r="B181" s="273" t="s">
        <v>45</v>
      </c>
      <c r="C181" s="31">
        <f>+SUM(C182:C207)</f>
        <v>466.28609999999998</v>
      </c>
      <c r="D181" s="31">
        <f>+SUM(D182:D207)</f>
        <v>492525.6</v>
      </c>
      <c r="E181" s="67"/>
      <c r="F181" s="68"/>
      <c r="G181" s="45"/>
    </row>
    <row r="182" spans="1:7" x14ac:dyDescent="0.25">
      <c r="A182" s="43">
        <v>42057</v>
      </c>
      <c r="B182" s="276" t="s">
        <v>146</v>
      </c>
      <c r="C182" s="47">
        <v>466.28609999999998</v>
      </c>
      <c r="D182" s="47">
        <v>466286.1</v>
      </c>
      <c r="E182" s="67">
        <v>15319</v>
      </c>
      <c r="F182" s="68">
        <v>4116</v>
      </c>
      <c r="G182" s="45"/>
    </row>
    <row r="183" spans="1:7" x14ac:dyDescent="0.25">
      <c r="A183" s="43"/>
      <c r="B183" s="276"/>
      <c r="C183" s="47"/>
      <c r="D183" s="47"/>
      <c r="E183" s="67"/>
      <c r="F183" s="68">
        <v>4116</v>
      </c>
      <c r="G183" s="45"/>
    </row>
    <row r="184" spans="1:7" x14ac:dyDescent="0.25">
      <c r="A184" s="43"/>
      <c r="B184" s="276"/>
      <c r="C184" s="47"/>
      <c r="D184" s="47"/>
      <c r="E184" s="67"/>
      <c r="F184" s="68">
        <v>4116</v>
      </c>
      <c r="G184" s="45"/>
    </row>
    <row r="185" spans="1:7" x14ac:dyDescent="0.25">
      <c r="A185" s="43"/>
      <c r="B185" s="276"/>
      <c r="C185" s="47"/>
      <c r="D185" s="47"/>
      <c r="E185" s="67"/>
      <c r="F185" s="68">
        <v>4116</v>
      </c>
      <c r="G185" s="45"/>
    </row>
    <row r="186" spans="1:7" x14ac:dyDescent="0.25">
      <c r="A186" s="43"/>
      <c r="B186" s="276"/>
      <c r="C186" s="47"/>
      <c r="D186" s="47"/>
      <c r="E186" s="67"/>
      <c r="F186" s="68">
        <v>4116</v>
      </c>
      <c r="G186" s="45"/>
    </row>
    <row r="187" spans="1:7" x14ac:dyDescent="0.25">
      <c r="A187" s="43"/>
      <c r="B187" s="276"/>
      <c r="C187" s="47"/>
      <c r="D187" s="47"/>
      <c r="E187" s="67"/>
      <c r="F187" s="68">
        <v>4116</v>
      </c>
      <c r="G187" s="45"/>
    </row>
    <row r="188" spans="1:7" x14ac:dyDescent="0.25">
      <c r="A188" s="272"/>
      <c r="B188" s="276"/>
      <c r="C188" s="47"/>
      <c r="D188" s="47"/>
      <c r="E188" s="67"/>
      <c r="F188" s="68">
        <v>4116</v>
      </c>
      <c r="G188" s="45"/>
    </row>
    <row r="189" spans="1:7" x14ac:dyDescent="0.25">
      <c r="A189" s="272"/>
      <c r="B189" s="276"/>
      <c r="C189" s="47"/>
      <c r="D189" s="47"/>
      <c r="E189" s="67"/>
      <c r="F189" s="68">
        <v>4116</v>
      </c>
      <c r="G189" s="45"/>
    </row>
    <row r="190" spans="1:7" x14ac:dyDescent="0.25">
      <c r="A190" s="272"/>
      <c r="B190" s="276"/>
      <c r="C190" s="47"/>
      <c r="D190" s="47"/>
      <c r="E190" s="67"/>
      <c r="F190" s="68">
        <v>4116</v>
      </c>
      <c r="G190" s="45"/>
    </row>
    <row r="191" spans="1:7" x14ac:dyDescent="0.25">
      <c r="A191" s="272"/>
      <c r="B191" s="276"/>
      <c r="C191" s="47"/>
      <c r="D191" s="47"/>
      <c r="E191" s="67"/>
      <c r="F191" s="68">
        <v>4116</v>
      </c>
      <c r="G191" s="45"/>
    </row>
    <row r="192" spans="1:7" x14ac:dyDescent="0.25">
      <c r="A192" s="272"/>
      <c r="B192" s="276"/>
      <c r="C192" s="47"/>
      <c r="D192" s="47"/>
      <c r="E192" s="67"/>
      <c r="F192" s="68">
        <v>4116</v>
      </c>
      <c r="G192" s="45"/>
    </row>
    <row r="193" spans="1:7" x14ac:dyDescent="0.25">
      <c r="A193" s="43"/>
      <c r="B193" s="276"/>
      <c r="C193" s="47"/>
      <c r="D193" s="47"/>
      <c r="E193" s="67"/>
      <c r="F193" s="68">
        <v>4116</v>
      </c>
      <c r="G193" s="45"/>
    </row>
    <row r="194" spans="1:7" x14ac:dyDescent="0.25">
      <c r="A194" s="43"/>
      <c r="B194" s="276"/>
      <c r="C194" s="47"/>
      <c r="D194" s="47"/>
      <c r="E194" s="67"/>
      <c r="F194" s="68">
        <v>4116</v>
      </c>
      <c r="G194" s="45"/>
    </row>
    <row r="195" spans="1:7" x14ac:dyDescent="0.25">
      <c r="A195" s="43"/>
      <c r="B195" s="276"/>
      <c r="C195" s="47"/>
      <c r="D195" s="47"/>
      <c r="E195" s="67"/>
      <c r="F195" s="68">
        <v>4116</v>
      </c>
      <c r="G195" s="45"/>
    </row>
    <row r="196" spans="1:7" x14ac:dyDescent="0.25">
      <c r="A196" s="43"/>
      <c r="B196" s="276"/>
      <c r="C196" s="47"/>
      <c r="D196" s="47"/>
      <c r="E196" s="67"/>
      <c r="F196" s="68">
        <v>4116</v>
      </c>
      <c r="G196" s="45"/>
    </row>
    <row r="197" spans="1:7" x14ac:dyDescent="0.25">
      <c r="A197" s="43"/>
      <c r="B197" s="276"/>
      <c r="C197" s="47"/>
      <c r="D197" s="47"/>
      <c r="E197" s="67"/>
      <c r="F197" s="68">
        <v>4116</v>
      </c>
      <c r="G197" s="45"/>
    </row>
    <row r="198" spans="1:7" x14ac:dyDescent="0.25">
      <c r="A198" s="43"/>
      <c r="B198" s="276"/>
      <c r="C198" s="47"/>
      <c r="D198" s="47"/>
      <c r="E198" s="67"/>
      <c r="F198" s="68">
        <v>4116</v>
      </c>
      <c r="G198" s="45"/>
    </row>
    <row r="199" spans="1:7" x14ac:dyDescent="0.25">
      <c r="A199" s="43"/>
      <c r="B199" s="276"/>
      <c r="C199" s="47"/>
      <c r="D199" s="47"/>
      <c r="E199" s="67"/>
      <c r="F199" s="68">
        <v>4116</v>
      </c>
      <c r="G199" s="45"/>
    </row>
    <row r="200" spans="1:7" x14ac:dyDescent="0.25">
      <c r="A200" s="43"/>
      <c r="B200" s="276"/>
      <c r="C200" s="47"/>
      <c r="D200" s="47"/>
      <c r="E200" s="67"/>
      <c r="F200" s="68">
        <v>4116</v>
      </c>
      <c r="G200" s="45"/>
    </row>
    <row r="201" spans="1:7" x14ac:dyDescent="0.25">
      <c r="A201" s="43"/>
      <c r="B201" s="276"/>
      <c r="C201" s="47"/>
      <c r="D201" s="47"/>
      <c r="E201" s="67"/>
      <c r="F201" s="68">
        <v>4116</v>
      </c>
      <c r="G201" s="45"/>
    </row>
    <row r="202" spans="1:7" x14ac:dyDescent="0.25">
      <c r="A202" s="43"/>
      <c r="B202" s="276"/>
      <c r="C202" s="47"/>
      <c r="D202" s="47"/>
      <c r="E202" s="67"/>
      <c r="F202" s="68">
        <v>4116</v>
      </c>
      <c r="G202" s="45"/>
    </row>
    <row r="203" spans="1:7" x14ac:dyDescent="0.25">
      <c r="A203" s="43"/>
      <c r="B203" s="276"/>
      <c r="C203" s="47"/>
      <c r="D203" s="47"/>
      <c r="E203" s="67"/>
      <c r="F203" s="68">
        <v>4116</v>
      </c>
      <c r="G203" s="45"/>
    </row>
    <row r="204" spans="1:7" x14ac:dyDescent="0.25">
      <c r="A204" s="43"/>
      <c r="B204" s="276" t="s">
        <v>168</v>
      </c>
      <c r="C204" s="47"/>
      <c r="D204" s="47">
        <v>26239.5</v>
      </c>
      <c r="E204" s="67">
        <v>15319</v>
      </c>
      <c r="F204" s="68">
        <v>4116</v>
      </c>
      <c r="G204" s="45"/>
    </row>
    <row r="205" spans="1:7" x14ac:dyDescent="0.25">
      <c r="A205" s="43"/>
      <c r="B205" s="276"/>
      <c r="C205" s="47"/>
      <c r="D205" s="47"/>
      <c r="E205" s="67"/>
      <c r="F205" s="68">
        <v>4116</v>
      </c>
      <c r="G205" s="45"/>
    </row>
    <row r="206" spans="1:7" x14ac:dyDescent="0.25">
      <c r="A206" s="272"/>
      <c r="B206" s="276"/>
      <c r="C206" s="47"/>
      <c r="D206" s="47"/>
      <c r="E206" s="67"/>
      <c r="F206" s="68">
        <v>4116</v>
      </c>
      <c r="G206" s="45"/>
    </row>
    <row r="207" spans="1:7" x14ac:dyDescent="0.25">
      <c r="A207" s="272"/>
      <c r="B207" s="44"/>
      <c r="C207" s="47"/>
      <c r="D207" s="47"/>
      <c r="E207" s="67"/>
      <c r="F207" s="68"/>
      <c r="G207" s="45"/>
    </row>
    <row r="208" spans="1:7" x14ac:dyDescent="0.25">
      <c r="A208" s="43"/>
      <c r="B208" s="31" t="s">
        <v>46</v>
      </c>
      <c r="C208" s="31">
        <f>+SUM(C209:C210)</f>
        <v>0</v>
      </c>
      <c r="D208" s="31">
        <f>+SUM(D209:D210)</f>
        <v>0</v>
      </c>
      <c r="E208" s="67"/>
      <c r="F208" s="68"/>
      <c r="G208" s="45"/>
    </row>
    <row r="209" spans="1:7" x14ac:dyDescent="0.25">
      <c r="A209" s="43"/>
      <c r="B209" s="276"/>
      <c r="C209" s="47"/>
      <c r="D209" s="47"/>
      <c r="E209" s="67"/>
      <c r="F209" s="68" t="s">
        <v>47</v>
      </c>
      <c r="G209" s="45"/>
    </row>
    <row r="210" spans="1:7" x14ac:dyDescent="0.25">
      <c r="A210" s="43"/>
      <c r="B210" s="276"/>
      <c r="C210" s="47"/>
      <c r="D210" s="47"/>
      <c r="E210" s="67"/>
      <c r="F210" s="68"/>
      <c r="G210" s="45"/>
    </row>
    <row r="211" spans="1:7" x14ac:dyDescent="0.25">
      <c r="A211" s="43"/>
      <c r="B211" s="44"/>
      <c r="C211" s="47"/>
      <c r="D211" s="47"/>
      <c r="E211" s="67"/>
      <c r="F211" s="68"/>
      <c r="G211" s="45"/>
    </row>
    <row r="212" spans="1:7" x14ac:dyDescent="0.25">
      <c r="A212" s="43"/>
      <c r="B212" s="273" t="s">
        <v>48</v>
      </c>
      <c r="C212" s="27">
        <f>SUM(C213:C323)</f>
        <v>98530.433199999999</v>
      </c>
      <c r="D212" s="27">
        <f>SUM(D213:D323)</f>
        <v>65055069.68</v>
      </c>
      <c r="E212" s="67"/>
      <c r="F212" s="268"/>
      <c r="G212" s="45"/>
    </row>
    <row r="213" spans="1:7" x14ac:dyDescent="0.25">
      <c r="A213" s="43">
        <v>42046</v>
      </c>
      <c r="B213" s="276" t="s">
        <v>104</v>
      </c>
      <c r="C213" s="53">
        <v>345.49686000000003</v>
      </c>
      <c r="D213" s="55">
        <v>345496.86</v>
      </c>
      <c r="E213" s="67">
        <v>33030</v>
      </c>
      <c r="F213" s="68" t="s">
        <v>49</v>
      </c>
      <c r="G213" s="45"/>
    </row>
    <row r="214" spans="1:7" x14ac:dyDescent="0.25">
      <c r="A214" s="43">
        <v>42096</v>
      </c>
      <c r="B214" s="276" t="s">
        <v>140</v>
      </c>
      <c r="C214" s="53">
        <v>90.980059999999995</v>
      </c>
      <c r="D214" s="55">
        <v>90980.06</v>
      </c>
      <c r="E214" s="67">
        <v>33030</v>
      </c>
      <c r="F214" s="68" t="s">
        <v>49</v>
      </c>
      <c r="G214" s="45"/>
    </row>
    <row r="215" spans="1:7" x14ac:dyDescent="0.25">
      <c r="A215" s="43">
        <v>42118</v>
      </c>
      <c r="B215" s="276" t="s">
        <v>223</v>
      </c>
      <c r="C215" s="53">
        <f>100577.6-4169.3-1410.24</f>
        <v>94998.06</v>
      </c>
      <c r="D215" s="55">
        <v>60346560</v>
      </c>
      <c r="E215" s="67">
        <v>13305</v>
      </c>
      <c r="F215" s="68">
        <v>4122</v>
      </c>
      <c r="G215" s="45"/>
    </row>
    <row r="216" spans="1:7" x14ac:dyDescent="0.25">
      <c r="A216" s="43">
        <v>42122</v>
      </c>
      <c r="B216" s="276" t="s">
        <v>150</v>
      </c>
      <c r="C216" s="55">
        <v>341.41081000000003</v>
      </c>
      <c r="D216" s="55">
        <v>341410.81</v>
      </c>
      <c r="E216" s="67">
        <v>33030</v>
      </c>
      <c r="F216" s="68">
        <v>4122</v>
      </c>
      <c r="G216" s="45"/>
    </row>
    <row r="217" spans="1:7" x14ac:dyDescent="0.25">
      <c r="A217" s="43">
        <v>42138</v>
      </c>
      <c r="B217" s="276" t="s">
        <v>181</v>
      </c>
      <c r="C217" s="55">
        <v>0</v>
      </c>
      <c r="D217" s="55">
        <v>41080</v>
      </c>
      <c r="E217" s="67">
        <v>14011</v>
      </c>
      <c r="F217" s="68">
        <v>4122</v>
      </c>
      <c r="G217" s="45">
        <v>41080</v>
      </c>
    </row>
    <row r="218" spans="1:7" x14ac:dyDescent="0.25">
      <c r="A218" s="43">
        <v>42145</v>
      </c>
      <c r="B218" s="276" t="s">
        <v>200</v>
      </c>
      <c r="C218" s="53">
        <v>0</v>
      </c>
      <c r="D218" s="55">
        <f>7080.33+1249.47</f>
        <v>8329.7999999999993</v>
      </c>
      <c r="E218" s="67">
        <v>33030</v>
      </c>
      <c r="F218" s="68">
        <v>4122</v>
      </c>
      <c r="G218" s="45"/>
    </row>
    <row r="219" spans="1:7" x14ac:dyDescent="0.25">
      <c r="A219" s="43">
        <v>42145</v>
      </c>
      <c r="B219" s="276" t="s">
        <v>201</v>
      </c>
      <c r="C219" s="53">
        <v>0</v>
      </c>
      <c r="D219" s="55">
        <f>1254672.38+221412.78</f>
        <v>1476085.16</v>
      </c>
      <c r="E219" s="67">
        <v>33030</v>
      </c>
      <c r="F219" s="68">
        <v>4122</v>
      </c>
      <c r="G219" s="45"/>
    </row>
    <row r="220" spans="1:7" x14ac:dyDescent="0.25">
      <c r="A220" s="43">
        <v>42145</v>
      </c>
      <c r="B220" s="276" t="s">
        <v>202</v>
      </c>
      <c r="C220" s="53">
        <v>0</v>
      </c>
      <c r="D220" s="55">
        <f>384915.29+67926.23</f>
        <v>452841.51999999996</v>
      </c>
      <c r="E220" s="67">
        <v>33030</v>
      </c>
      <c r="F220" s="68">
        <v>4122</v>
      </c>
      <c r="G220" s="45"/>
    </row>
    <row r="221" spans="1:7" x14ac:dyDescent="0.25">
      <c r="A221" s="43">
        <v>42152</v>
      </c>
      <c r="B221" s="276" t="s">
        <v>181</v>
      </c>
      <c r="C221" s="53">
        <v>0</v>
      </c>
      <c r="D221" s="55">
        <v>29640</v>
      </c>
      <c r="E221" s="67">
        <v>14011</v>
      </c>
      <c r="F221" s="68">
        <v>4122</v>
      </c>
      <c r="G221" s="45"/>
    </row>
    <row r="222" spans="1:7" x14ac:dyDescent="0.25">
      <c r="A222" s="43"/>
      <c r="B222" s="276"/>
      <c r="C222" s="53"/>
      <c r="D222" s="55"/>
      <c r="E222" s="67"/>
      <c r="F222" s="68">
        <v>4122</v>
      </c>
      <c r="G222" s="45"/>
    </row>
    <row r="223" spans="1:7" x14ac:dyDescent="0.25">
      <c r="A223" s="43"/>
      <c r="B223" s="276"/>
      <c r="C223" s="53"/>
      <c r="D223" s="55"/>
      <c r="E223" s="67"/>
      <c r="F223" s="68">
        <v>4122</v>
      </c>
      <c r="G223" s="45"/>
    </row>
    <row r="224" spans="1:7" x14ac:dyDescent="0.25">
      <c r="A224" s="43"/>
      <c r="B224" s="276"/>
      <c r="C224" s="53"/>
      <c r="D224" s="55"/>
      <c r="E224" s="67"/>
      <c r="F224" s="68">
        <v>4122</v>
      </c>
      <c r="G224" s="45"/>
    </row>
    <row r="225" spans="1:7" x14ac:dyDescent="0.25">
      <c r="A225" s="43"/>
      <c r="B225" s="276"/>
      <c r="C225" s="53"/>
      <c r="D225" s="55"/>
      <c r="E225" s="67"/>
      <c r="F225" s="68">
        <v>4122</v>
      </c>
      <c r="G225" s="45"/>
    </row>
    <row r="226" spans="1:7" x14ac:dyDescent="0.25">
      <c r="A226" s="43"/>
      <c r="B226" s="276"/>
      <c r="C226" s="53"/>
      <c r="D226" s="55"/>
      <c r="E226" s="67"/>
      <c r="F226" s="68">
        <v>4122</v>
      </c>
      <c r="G226" s="45"/>
    </row>
    <row r="227" spans="1:7" x14ac:dyDescent="0.25">
      <c r="A227" s="43"/>
      <c r="B227" s="276"/>
      <c r="C227" s="53"/>
      <c r="D227" s="55"/>
      <c r="E227" s="67"/>
      <c r="F227" s="68">
        <v>4122</v>
      </c>
      <c r="G227" s="45"/>
    </row>
    <row r="228" spans="1:7" x14ac:dyDescent="0.25">
      <c r="A228" s="43"/>
      <c r="B228" s="276"/>
      <c r="C228" s="53"/>
      <c r="D228" s="55"/>
      <c r="E228" s="67"/>
      <c r="F228" s="68">
        <v>4122</v>
      </c>
      <c r="G228" s="45"/>
    </row>
    <row r="229" spans="1:7" x14ac:dyDescent="0.25">
      <c r="A229" s="43"/>
      <c r="B229" s="276"/>
      <c r="C229" s="53"/>
      <c r="D229" s="55"/>
      <c r="E229" s="67"/>
      <c r="F229" s="68">
        <v>4122</v>
      </c>
      <c r="G229" s="45"/>
    </row>
    <row r="230" spans="1:7" x14ac:dyDescent="0.25">
      <c r="A230" s="43"/>
      <c r="B230" s="276"/>
      <c r="C230" s="53"/>
      <c r="D230" s="55"/>
      <c r="E230" s="67"/>
      <c r="F230" s="68">
        <v>4122</v>
      </c>
      <c r="G230" s="45"/>
    </row>
    <row r="231" spans="1:7" x14ac:dyDescent="0.25">
      <c r="A231" s="43"/>
      <c r="B231" s="276"/>
      <c r="C231" s="53"/>
      <c r="D231" s="55"/>
      <c r="E231" s="67"/>
      <c r="F231" s="68">
        <v>4122</v>
      </c>
      <c r="G231" s="45"/>
    </row>
    <row r="232" spans="1:7" x14ac:dyDescent="0.25">
      <c r="A232" s="43"/>
      <c r="B232" s="276"/>
      <c r="C232" s="53"/>
      <c r="D232" s="55"/>
      <c r="E232" s="67"/>
      <c r="F232" s="68">
        <v>4122</v>
      </c>
      <c r="G232" s="45"/>
    </row>
    <row r="233" spans="1:7" x14ac:dyDescent="0.25">
      <c r="A233" s="43"/>
      <c r="B233" s="276"/>
      <c r="C233" s="53"/>
      <c r="D233" s="55"/>
      <c r="E233" s="67"/>
      <c r="F233" s="68">
        <v>4122</v>
      </c>
      <c r="G233" s="45"/>
    </row>
    <row r="234" spans="1:7" x14ac:dyDescent="0.25">
      <c r="A234" s="43"/>
      <c r="B234" s="276"/>
      <c r="C234" s="53"/>
      <c r="D234" s="55"/>
      <c r="E234" s="67"/>
      <c r="F234" s="68">
        <v>4122</v>
      </c>
      <c r="G234" s="45"/>
    </row>
    <row r="235" spans="1:7" x14ac:dyDescent="0.25">
      <c r="A235" s="43"/>
      <c r="B235" s="276"/>
      <c r="C235" s="53"/>
      <c r="D235" s="55"/>
      <c r="E235" s="67"/>
      <c r="F235" s="68">
        <v>4122</v>
      </c>
      <c r="G235" s="45"/>
    </row>
    <row r="236" spans="1:7" x14ac:dyDescent="0.25">
      <c r="A236" s="43"/>
      <c r="B236" s="276"/>
      <c r="C236" s="53"/>
      <c r="D236" s="55"/>
      <c r="E236" s="67"/>
      <c r="F236" s="68">
        <v>4122</v>
      </c>
      <c r="G236" s="45"/>
    </row>
    <row r="237" spans="1:7" x14ac:dyDescent="0.25">
      <c r="A237" s="43"/>
      <c r="B237" s="276"/>
      <c r="C237" s="53"/>
      <c r="D237" s="55"/>
      <c r="E237" s="67"/>
      <c r="F237" s="68">
        <v>4122</v>
      </c>
      <c r="G237" s="45"/>
    </row>
    <row r="238" spans="1:7" x14ac:dyDescent="0.25">
      <c r="A238" s="43"/>
      <c r="B238" s="276"/>
      <c r="C238" s="53"/>
      <c r="D238" s="55"/>
      <c r="E238" s="67"/>
      <c r="F238" s="68">
        <v>4122</v>
      </c>
      <c r="G238" s="45"/>
    </row>
    <row r="239" spans="1:7" x14ac:dyDescent="0.25">
      <c r="A239" s="43"/>
      <c r="B239" s="276"/>
      <c r="C239" s="53"/>
      <c r="D239" s="55"/>
      <c r="E239" s="67"/>
      <c r="F239" s="68">
        <v>4122</v>
      </c>
      <c r="G239" s="45"/>
    </row>
    <row r="240" spans="1:7" x14ac:dyDescent="0.25">
      <c r="A240" s="43"/>
      <c r="B240" s="276"/>
      <c r="C240" s="53"/>
      <c r="D240" s="55"/>
      <c r="E240" s="67"/>
      <c r="F240" s="68">
        <v>4122</v>
      </c>
      <c r="G240" s="45"/>
    </row>
    <row r="241" spans="1:7" x14ac:dyDescent="0.25">
      <c r="A241" s="43"/>
      <c r="B241" s="276"/>
      <c r="C241" s="53"/>
      <c r="D241" s="55"/>
      <c r="E241" s="67"/>
      <c r="F241" s="68">
        <v>4122</v>
      </c>
      <c r="G241" s="45"/>
    </row>
    <row r="242" spans="1:7" x14ac:dyDescent="0.25">
      <c r="A242" s="43"/>
      <c r="B242" s="276"/>
      <c r="C242" s="53"/>
      <c r="D242" s="55"/>
      <c r="E242" s="67"/>
      <c r="F242" s="68">
        <v>4122</v>
      </c>
      <c r="G242" s="45"/>
    </row>
    <row r="243" spans="1:7" x14ac:dyDescent="0.25">
      <c r="A243" s="43"/>
      <c r="B243" s="276"/>
      <c r="C243" s="53"/>
      <c r="D243" s="55"/>
      <c r="E243" s="67"/>
      <c r="F243" s="68">
        <v>4122</v>
      </c>
      <c r="G243" s="45"/>
    </row>
    <row r="244" spans="1:7" x14ac:dyDescent="0.25">
      <c r="A244" s="43"/>
      <c r="B244" s="276"/>
      <c r="C244" s="53"/>
      <c r="D244" s="55"/>
      <c r="E244" s="67"/>
      <c r="F244" s="68">
        <v>4122</v>
      </c>
      <c r="G244" s="45"/>
    </row>
    <row r="245" spans="1:7" x14ac:dyDescent="0.25">
      <c r="A245" s="43"/>
      <c r="B245" s="276"/>
      <c r="C245" s="53"/>
      <c r="D245" s="55"/>
      <c r="E245" s="67"/>
      <c r="F245" s="68">
        <v>4122</v>
      </c>
      <c r="G245" s="45"/>
    </row>
    <row r="246" spans="1:7" x14ac:dyDescent="0.25">
      <c r="A246" s="43"/>
      <c r="B246" s="276"/>
      <c r="C246" s="53"/>
      <c r="D246" s="55"/>
      <c r="E246" s="67"/>
      <c r="F246" s="68">
        <v>4122</v>
      </c>
      <c r="G246" s="45"/>
    </row>
    <row r="247" spans="1:7" x14ac:dyDescent="0.25">
      <c r="A247" s="43"/>
      <c r="B247" s="276"/>
      <c r="C247" s="53"/>
      <c r="D247" s="55"/>
      <c r="E247" s="67"/>
      <c r="F247" s="68">
        <v>4122</v>
      </c>
      <c r="G247" s="45"/>
    </row>
    <row r="248" spans="1:7" x14ac:dyDescent="0.25">
      <c r="A248" s="43"/>
      <c r="B248" s="276"/>
      <c r="C248" s="53"/>
      <c r="D248" s="55"/>
      <c r="E248" s="67"/>
      <c r="F248" s="68">
        <v>4122</v>
      </c>
      <c r="G248" s="45"/>
    </row>
    <row r="249" spans="1:7" x14ac:dyDescent="0.25">
      <c r="A249" s="43"/>
      <c r="B249" s="276"/>
      <c r="C249" s="53"/>
      <c r="D249" s="55"/>
      <c r="E249" s="67"/>
      <c r="F249" s="68">
        <v>4122</v>
      </c>
      <c r="G249" s="45"/>
    </row>
    <row r="250" spans="1:7" x14ac:dyDescent="0.25">
      <c r="A250" s="43"/>
      <c r="B250" s="276"/>
      <c r="C250" s="53"/>
      <c r="D250" s="55"/>
      <c r="E250" s="67"/>
      <c r="F250" s="68">
        <v>4122</v>
      </c>
      <c r="G250" s="45"/>
    </row>
    <row r="251" spans="1:7" x14ac:dyDescent="0.25">
      <c r="A251" s="43"/>
      <c r="B251" s="276"/>
      <c r="C251" s="53"/>
      <c r="D251" s="55"/>
      <c r="E251" s="67"/>
      <c r="F251" s="68">
        <v>4122</v>
      </c>
      <c r="G251" s="45"/>
    </row>
    <row r="252" spans="1:7" x14ac:dyDescent="0.25">
      <c r="A252" s="43"/>
      <c r="B252" s="276"/>
      <c r="C252" s="53"/>
      <c r="D252" s="55"/>
      <c r="E252" s="67"/>
      <c r="F252" s="68">
        <v>4122</v>
      </c>
      <c r="G252" s="45"/>
    </row>
    <row r="253" spans="1:7" x14ac:dyDescent="0.25">
      <c r="A253" s="43"/>
      <c r="B253" s="276"/>
      <c r="C253" s="53"/>
      <c r="D253" s="55"/>
      <c r="E253" s="67"/>
      <c r="F253" s="68">
        <v>4122</v>
      </c>
      <c r="G253" s="45"/>
    </row>
    <row r="254" spans="1:7" x14ac:dyDescent="0.25">
      <c r="A254" s="43"/>
      <c r="B254" s="276"/>
      <c r="C254" s="53"/>
      <c r="D254" s="55"/>
      <c r="E254" s="67"/>
      <c r="F254" s="68">
        <v>4122</v>
      </c>
      <c r="G254" s="45"/>
    </row>
    <row r="255" spans="1:7" x14ac:dyDescent="0.25">
      <c r="A255" s="43"/>
      <c r="B255" s="276"/>
      <c r="C255" s="53"/>
      <c r="D255" s="55"/>
      <c r="E255" s="67"/>
      <c r="F255" s="68">
        <v>4122</v>
      </c>
      <c r="G255" s="45"/>
    </row>
    <row r="256" spans="1:7" x14ac:dyDescent="0.25">
      <c r="A256" s="43"/>
      <c r="B256" s="276"/>
      <c r="C256" s="53"/>
      <c r="D256" s="55"/>
      <c r="E256" s="67"/>
      <c r="F256" s="68">
        <v>4122</v>
      </c>
      <c r="G256" s="45"/>
    </row>
    <row r="257" spans="1:7" x14ac:dyDescent="0.25">
      <c r="A257" s="43"/>
      <c r="B257" s="276"/>
      <c r="C257" s="53"/>
      <c r="D257" s="55"/>
      <c r="E257" s="67"/>
      <c r="F257" s="68">
        <v>4122</v>
      </c>
      <c r="G257" s="45"/>
    </row>
    <row r="258" spans="1:7" x14ac:dyDescent="0.25">
      <c r="A258" s="43"/>
      <c r="B258" s="276"/>
      <c r="C258" s="53"/>
      <c r="D258" s="55"/>
      <c r="E258" s="67"/>
      <c r="F258" s="68">
        <v>4122</v>
      </c>
      <c r="G258" s="45"/>
    </row>
    <row r="259" spans="1:7" x14ac:dyDescent="0.25">
      <c r="A259" s="43"/>
      <c r="B259" s="276"/>
      <c r="C259" s="53"/>
      <c r="D259" s="55"/>
      <c r="E259" s="67"/>
      <c r="F259" s="68">
        <v>4122</v>
      </c>
      <c r="G259" s="45"/>
    </row>
    <row r="260" spans="1:7" x14ac:dyDescent="0.25">
      <c r="A260" s="43"/>
      <c r="B260" s="276"/>
      <c r="C260" s="55"/>
      <c r="D260" s="55"/>
      <c r="E260" s="67"/>
      <c r="F260" s="68">
        <v>4122</v>
      </c>
      <c r="G260" s="45"/>
    </row>
    <row r="261" spans="1:7" x14ac:dyDescent="0.25">
      <c r="A261" s="43"/>
      <c r="B261" s="276"/>
      <c r="C261" s="55"/>
      <c r="D261" s="55"/>
      <c r="E261" s="67"/>
      <c r="F261" s="68">
        <v>4122</v>
      </c>
      <c r="G261" s="45"/>
    </row>
    <row r="262" spans="1:7" x14ac:dyDescent="0.25">
      <c r="A262" s="43"/>
      <c r="B262" s="276"/>
      <c r="C262" s="55"/>
      <c r="D262" s="55"/>
      <c r="E262" s="67"/>
      <c r="F262" s="68">
        <v>4122</v>
      </c>
      <c r="G262" s="45"/>
    </row>
    <row r="263" spans="1:7" x14ac:dyDescent="0.25">
      <c r="A263" s="43"/>
      <c r="B263" s="276"/>
      <c r="C263" s="55"/>
      <c r="D263" s="55"/>
      <c r="E263" s="67"/>
      <c r="F263" s="68">
        <v>4122</v>
      </c>
      <c r="G263" s="45"/>
    </row>
    <row r="264" spans="1:7" x14ac:dyDescent="0.25">
      <c r="A264" s="43"/>
      <c r="B264" s="276"/>
      <c r="C264" s="55"/>
      <c r="D264" s="55"/>
      <c r="E264" s="67"/>
      <c r="F264" s="68">
        <v>4122</v>
      </c>
      <c r="G264" s="45"/>
    </row>
    <row r="265" spans="1:7" x14ac:dyDescent="0.25">
      <c r="A265" s="43"/>
      <c r="B265" s="276"/>
      <c r="C265" s="55"/>
      <c r="D265" s="55"/>
      <c r="E265" s="67"/>
      <c r="F265" s="68">
        <v>4122</v>
      </c>
      <c r="G265" s="45"/>
    </row>
    <row r="266" spans="1:7" x14ac:dyDescent="0.25">
      <c r="A266" s="43"/>
      <c r="B266" s="276"/>
      <c r="C266" s="55"/>
      <c r="D266" s="55"/>
      <c r="E266" s="67"/>
      <c r="F266" s="68">
        <v>4122</v>
      </c>
      <c r="G266" s="45"/>
    </row>
    <row r="267" spans="1:7" x14ac:dyDescent="0.25">
      <c r="A267" s="43"/>
      <c r="B267" s="276"/>
      <c r="C267" s="55"/>
      <c r="D267" s="55"/>
      <c r="E267" s="67"/>
      <c r="F267" s="68">
        <v>4122</v>
      </c>
      <c r="G267" s="45"/>
    </row>
    <row r="268" spans="1:7" x14ac:dyDescent="0.25">
      <c r="A268" s="43"/>
      <c r="B268" s="276"/>
      <c r="C268" s="53"/>
      <c r="D268" s="55"/>
      <c r="E268" s="67"/>
      <c r="F268" s="68">
        <v>4122</v>
      </c>
      <c r="G268" s="45"/>
    </row>
    <row r="269" spans="1:7" x14ac:dyDescent="0.25">
      <c r="A269" s="43"/>
      <c r="B269" s="276"/>
      <c r="C269" s="53"/>
      <c r="D269" s="55"/>
      <c r="E269" s="67"/>
      <c r="F269" s="68">
        <v>4122</v>
      </c>
      <c r="G269" s="45"/>
    </row>
    <row r="270" spans="1:7" x14ac:dyDescent="0.25">
      <c r="A270" s="43"/>
      <c r="B270" s="276"/>
      <c r="C270" s="53"/>
      <c r="D270" s="55"/>
      <c r="E270" s="67"/>
      <c r="F270" s="68">
        <v>4122</v>
      </c>
      <c r="G270" s="45"/>
    </row>
    <row r="271" spans="1:7" x14ac:dyDescent="0.25">
      <c r="A271" s="43"/>
      <c r="B271" s="276"/>
      <c r="C271" s="53"/>
      <c r="D271" s="55"/>
      <c r="E271" s="67"/>
      <c r="F271" s="68">
        <v>4122</v>
      </c>
      <c r="G271" s="45"/>
    </row>
    <row r="272" spans="1:7" x14ac:dyDescent="0.25">
      <c r="A272" s="43"/>
      <c r="B272" s="276"/>
      <c r="C272" s="53"/>
      <c r="D272" s="55"/>
      <c r="E272" s="268"/>
      <c r="F272" s="68">
        <v>4122</v>
      </c>
      <c r="G272" s="45"/>
    </row>
    <row r="273" spans="1:8" x14ac:dyDescent="0.25">
      <c r="A273" s="43"/>
      <c r="B273" s="276"/>
      <c r="C273" s="53"/>
      <c r="D273" s="55"/>
      <c r="E273" s="268"/>
      <c r="F273" s="68">
        <v>4122</v>
      </c>
      <c r="G273" s="45"/>
    </row>
    <row r="274" spans="1:8" x14ac:dyDescent="0.25">
      <c r="A274" s="43"/>
      <c r="B274" s="276"/>
      <c r="C274" s="53"/>
      <c r="D274" s="55"/>
      <c r="E274" s="268"/>
      <c r="F274" s="68">
        <v>4122</v>
      </c>
      <c r="G274" s="45"/>
    </row>
    <row r="275" spans="1:8" x14ac:dyDescent="0.25">
      <c r="A275" s="43"/>
      <c r="B275" s="276" t="s">
        <v>69</v>
      </c>
      <c r="C275" s="53">
        <v>674.88547000000005</v>
      </c>
      <c r="D275" s="55">
        <v>674885.47</v>
      </c>
      <c r="E275" s="268">
        <v>33030</v>
      </c>
      <c r="F275" s="68">
        <v>4122</v>
      </c>
      <c r="G275" s="45"/>
    </row>
    <row r="276" spans="1:8" x14ac:dyDescent="0.25">
      <c r="A276" s="43"/>
      <c r="B276" s="276" t="s">
        <v>139</v>
      </c>
      <c r="C276" s="53">
        <f>669.36+446.24</f>
        <v>1115.5999999999999</v>
      </c>
      <c r="D276" s="55">
        <v>669360</v>
      </c>
      <c r="E276" s="268">
        <v>13305</v>
      </c>
      <c r="F276" s="68">
        <v>4122</v>
      </c>
      <c r="G276" s="45"/>
    </row>
    <row r="277" spans="1:8" x14ac:dyDescent="0.25">
      <c r="A277" s="43"/>
      <c r="B277" s="276" t="s">
        <v>151</v>
      </c>
      <c r="C277" s="53">
        <v>964</v>
      </c>
      <c r="D277" s="55">
        <v>578400</v>
      </c>
      <c r="E277" s="268">
        <v>13305</v>
      </c>
      <c r="F277" s="68">
        <v>4122</v>
      </c>
      <c r="G277" s="45"/>
    </row>
    <row r="278" spans="1:8" x14ac:dyDescent="0.25">
      <c r="A278" s="43"/>
      <c r="B278" s="276"/>
      <c r="C278" s="53"/>
      <c r="D278" s="55"/>
      <c r="E278" s="268"/>
      <c r="F278" s="68">
        <v>4122</v>
      </c>
      <c r="G278" s="45"/>
    </row>
    <row r="279" spans="1:8" x14ac:dyDescent="0.25">
      <c r="A279" s="43"/>
      <c r="B279" s="276"/>
      <c r="C279" s="53"/>
      <c r="D279" s="55"/>
      <c r="E279" s="268"/>
      <c r="F279" s="68">
        <v>4122</v>
      </c>
      <c r="G279" s="45"/>
    </row>
    <row r="280" spans="1:8" x14ac:dyDescent="0.25">
      <c r="A280" s="43"/>
      <c r="B280" s="276"/>
      <c r="C280" s="53"/>
      <c r="D280" s="55"/>
      <c r="E280" s="268"/>
      <c r="F280" s="68">
        <v>4122</v>
      </c>
      <c r="G280" s="45"/>
    </row>
    <row r="281" spans="1:8" x14ac:dyDescent="0.25">
      <c r="A281" s="43"/>
      <c r="B281" s="276"/>
      <c r="C281" s="53"/>
      <c r="D281" s="55"/>
      <c r="E281" s="268"/>
      <c r="F281" s="68">
        <v>4122</v>
      </c>
      <c r="G281" s="45"/>
      <c r="H281" s="269"/>
    </row>
    <row r="282" spans="1:8" x14ac:dyDescent="0.25">
      <c r="A282" s="43"/>
      <c r="B282" s="276"/>
      <c r="C282" s="53"/>
      <c r="D282" s="55"/>
      <c r="E282" s="268"/>
      <c r="F282" s="68">
        <v>4122</v>
      </c>
      <c r="G282" s="45"/>
      <c r="H282" s="269"/>
    </row>
    <row r="283" spans="1:8" x14ac:dyDescent="0.25">
      <c r="A283" s="43"/>
      <c r="B283" s="276"/>
      <c r="C283" s="53"/>
      <c r="D283" s="55"/>
      <c r="E283" s="268"/>
      <c r="F283" s="68">
        <v>4122</v>
      </c>
      <c r="G283" s="45"/>
      <c r="H283" s="269"/>
    </row>
    <row r="284" spans="1:8" x14ac:dyDescent="0.25">
      <c r="A284" s="43"/>
      <c r="B284" s="276"/>
      <c r="C284" s="53"/>
      <c r="D284" s="55"/>
      <c r="E284" s="268"/>
      <c r="F284" s="68">
        <v>4122</v>
      </c>
      <c r="G284" s="45"/>
      <c r="H284" s="269"/>
    </row>
    <row r="285" spans="1:8" x14ac:dyDescent="0.25">
      <c r="A285" s="43"/>
      <c r="B285" s="276"/>
      <c r="C285" s="53"/>
      <c r="D285" s="55"/>
      <c r="E285" s="268"/>
      <c r="F285" s="68">
        <v>4122</v>
      </c>
      <c r="G285" s="45"/>
      <c r="H285" s="269"/>
    </row>
    <row r="286" spans="1:8" x14ac:dyDescent="0.25">
      <c r="A286" s="43"/>
      <c r="B286" s="276"/>
      <c r="C286" s="53"/>
      <c r="D286" s="55"/>
      <c r="E286" s="268"/>
      <c r="F286" s="68">
        <v>4122</v>
      </c>
      <c r="G286" s="45"/>
      <c r="H286" s="269"/>
    </row>
    <row r="287" spans="1:8" x14ac:dyDescent="0.25">
      <c r="A287" s="43"/>
      <c r="B287" s="276"/>
      <c r="C287" s="53"/>
      <c r="D287" s="55"/>
      <c r="E287" s="268"/>
      <c r="F287" s="68">
        <v>4122</v>
      </c>
      <c r="G287" s="45"/>
      <c r="H287" s="269"/>
    </row>
    <row r="288" spans="1:8" x14ac:dyDescent="0.25">
      <c r="A288" s="43"/>
      <c r="B288" s="276"/>
      <c r="C288" s="53"/>
      <c r="D288" s="55"/>
      <c r="E288" s="268"/>
      <c r="F288" s="68">
        <v>4122</v>
      </c>
      <c r="G288" s="45"/>
      <c r="H288" s="269"/>
    </row>
    <row r="289" spans="1:8" x14ac:dyDescent="0.25">
      <c r="A289" s="43"/>
      <c r="B289" s="276"/>
      <c r="C289" s="53"/>
      <c r="D289" s="55"/>
      <c r="E289" s="268"/>
      <c r="F289" s="68">
        <v>4122</v>
      </c>
      <c r="G289" s="45"/>
      <c r="H289" s="269"/>
    </row>
    <row r="290" spans="1:8" x14ac:dyDescent="0.25">
      <c r="A290" s="43"/>
      <c r="B290" s="276"/>
      <c r="C290" s="53"/>
      <c r="D290" s="55"/>
      <c r="E290" s="268"/>
      <c r="F290" s="68">
        <v>4122</v>
      </c>
      <c r="G290" s="45"/>
      <c r="H290" s="269"/>
    </row>
    <row r="291" spans="1:8" x14ac:dyDescent="0.25">
      <c r="A291" s="43"/>
      <c r="B291" s="276"/>
      <c r="C291" s="53"/>
      <c r="D291" s="55"/>
      <c r="E291" s="268"/>
      <c r="F291" s="68">
        <v>4122</v>
      </c>
      <c r="G291" s="45"/>
      <c r="H291" s="269"/>
    </row>
    <row r="292" spans="1:8" x14ac:dyDescent="0.25">
      <c r="A292" s="43"/>
      <c r="B292" s="276"/>
      <c r="C292" s="53"/>
      <c r="D292" s="55"/>
      <c r="E292" s="268"/>
      <c r="F292" s="68">
        <v>4122</v>
      </c>
      <c r="G292" s="45"/>
      <c r="H292" s="269"/>
    </row>
    <row r="293" spans="1:8" x14ac:dyDescent="0.25">
      <c r="A293" s="43"/>
      <c r="B293" s="276"/>
      <c r="C293" s="53"/>
      <c r="D293" s="55"/>
      <c r="E293" s="268"/>
      <c r="F293" s="68">
        <v>4122</v>
      </c>
      <c r="G293" s="45"/>
      <c r="H293" s="269"/>
    </row>
    <row r="294" spans="1:8" x14ac:dyDescent="0.25">
      <c r="A294" s="43"/>
      <c r="B294" s="276"/>
      <c r="C294" s="53"/>
      <c r="D294" s="55"/>
      <c r="E294" s="268"/>
      <c r="F294" s="68">
        <v>4122</v>
      </c>
      <c r="G294" s="45"/>
      <c r="H294" s="269"/>
    </row>
    <row r="295" spans="1:8" x14ac:dyDescent="0.25">
      <c r="A295" s="43"/>
      <c r="B295" s="276"/>
      <c r="C295" s="53"/>
      <c r="D295" s="55"/>
      <c r="E295" s="268"/>
      <c r="F295" s="68">
        <v>4122</v>
      </c>
      <c r="G295" s="45"/>
      <c r="H295" s="269"/>
    </row>
    <row r="296" spans="1:8" x14ac:dyDescent="0.25">
      <c r="A296" s="43"/>
      <c r="B296" s="276"/>
      <c r="C296" s="53"/>
      <c r="D296" s="55"/>
      <c r="E296" s="268"/>
      <c r="F296" s="68">
        <v>4122</v>
      </c>
      <c r="G296" s="45"/>
      <c r="H296" s="269"/>
    </row>
    <row r="297" spans="1:8" x14ac:dyDescent="0.25">
      <c r="A297" s="43"/>
      <c r="B297" s="276"/>
      <c r="C297" s="53"/>
      <c r="D297" s="55"/>
      <c r="E297" s="268"/>
      <c r="F297" s="68">
        <v>4122</v>
      </c>
      <c r="G297" s="45"/>
      <c r="H297" s="269"/>
    </row>
    <row r="298" spans="1:8" x14ac:dyDescent="0.25">
      <c r="A298" s="43"/>
      <c r="B298" s="276"/>
      <c r="C298" s="53"/>
      <c r="D298" s="55"/>
      <c r="E298" s="268"/>
      <c r="F298" s="68">
        <v>4122</v>
      </c>
      <c r="G298" s="45"/>
      <c r="H298" s="269"/>
    </row>
    <row r="299" spans="1:8" x14ac:dyDescent="0.25">
      <c r="A299" s="43"/>
      <c r="B299" s="276"/>
      <c r="C299" s="53"/>
      <c r="D299" s="55"/>
      <c r="E299" s="268"/>
      <c r="F299" s="68">
        <v>4122</v>
      </c>
      <c r="G299" s="45"/>
      <c r="H299" s="269"/>
    </row>
    <row r="300" spans="1:8" x14ac:dyDescent="0.25">
      <c r="A300" s="43"/>
      <c r="B300" s="276"/>
      <c r="C300" s="53"/>
      <c r="D300" s="55"/>
      <c r="E300" s="268"/>
      <c r="F300" s="68">
        <v>4122</v>
      </c>
      <c r="G300" s="45"/>
      <c r="H300" s="269"/>
    </row>
    <row r="301" spans="1:8" x14ac:dyDescent="0.25">
      <c r="A301" s="43"/>
      <c r="B301" s="276"/>
      <c r="C301" s="53"/>
      <c r="D301" s="55"/>
      <c r="E301" s="268"/>
      <c r="F301" s="68">
        <v>4122</v>
      </c>
      <c r="G301" s="45"/>
      <c r="H301" s="269"/>
    </row>
    <row r="302" spans="1:8" x14ac:dyDescent="0.25">
      <c r="A302" s="43"/>
      <c r="B302" s="276"/>
      <c r="C302" s="53"/>
      <c r="D302" s="55"/>
      <c r="E302" s="268"/>
      <c r="F302" s="68">
        <v>4122</v>
      </c>
      <c r="G302" s="45"/>
      <c r="H302" s="269"/>
    </row>
    <row r="303" spans="1:8" x14ac:dyDescent="0.25">
      <c r="A303" s="43"/>
      <c r="B303" s="276"/>
      <c r="C303" s="53"/>
      <c r="D303" s="55"/>
      <c r="E303" s="268"/>
      <c r="F303" s="68">
        <v>4122</v>
      </c>
      <c r="G303" s="45"/>
      <c r="H303" s="269"/>
    </row>
    <row r="304" spans="1:8" x14ac:dyDescent="0.25">
      <c r="A304" s="43"/>
      <c r="B304" s="276"/>
      <c r="C304" s="53"/>
      <c r="D304" s="55"/>
      <c r="E304" s="268"/>
      <c r="F304" s="68">
        <v>4122</v>
      </c>
      <c r="G304" s="45"/>
      <c r="H304" s="269"/>
    </row>
    <row r="305" spans="1:8" x14ac:dyDescent="0.25">
      <c r="A305" s="43"/>
      <c r="B305" s="276"/>
      <c r="C305" s="53"/>
      <c r="D305" s="55"/>
      <c r="E305" s="268"/>
      <c r="F305" s="68">
        <v>4122</v>
      </c>
      <c r="G305" s="45"/>
      <c r="H305" s="269"/>
    </row>
    <row r="306" spans="1:8" x14ac:dyDescent="0.25">
      <c r="A306" s="43"/>
      <c r="B306" s="276"/>
      <c r="C306" s="53"/>
      <c r="D306" s="55"/>
      <c r="E306" s="268"/>
      <c r="F306" s="68">
        <v>4122</v>
      </c>
      <c r="G306" s="45"/>
      <c r="H306" s="269"/>
    </row>
    <row r="307" spans="1:8" x14ac:dyDescent="0.25">
      <c r="A307" s="43"/>
      <c r="B307" s="276"/>
      <c r="C307" s="53"/>
      <c r="D307" s="55"/>
      <c r="E307" s="268"/>
      <c r="F307" s="68">
        <v>4122</v>
      </c>
      <c r="G307" s="45"/>
      <c r="H307" s="269"/>
    </row>
    <row r="308" spans="1:8" x14ac:dyDescent="0.25">
      <c r="A308" s="43"/>
      <c r="B308" s="276"/>
      <c r="C308" s="53"/>
      <c r="D308" s="55"/>
      <c r="E308" s="268"/>
      <c r="F308" s="68">
        <v>4122</v>
      </c>
      <c r="G308" s="45"/>
      <c r="H308" s="269"/>
    </row>
    <row r="309" spans="1:8" x14ac:dyDescent="0.25">
      <c r="A309" s="43"/>
      <c r="B309" s="276"/>
      <c r="C309" s="55"/>
      <c r="D309" s="55"/>
      <c r="E309" s="67"/>
      <c r="F309" s="68">
        <v>4122</v>
      </c>
      <c r="G309" s="45"/>
      <c r="H309" s="269"/>
    </row>
    <row r="310" spans="1:8" x14ac:dyDescent="0.25">
      <c r="A310" s="43"/>
      <c r="B310" s="276"/>
      <c r="C310" s="55"/>
      <c r="D310" s="55"/>
      <c r="E310" s="67"/>
      <c r="F310" s="68">
        <v>4122</v>
      </c>
      <c r="G310" s="45"/>
      <c r="H310" s="269"/>
    </row>
    <row r="311" spans="1:8" x14ac:dyDescent="0.25">
      <c r="A311" s="43"/>
      <c r="B311" s="276"/>
      <c r="C311" s="55"/>
      <c r="D311" s="55"/>
      <c r="E311" s="67"/>
      <c r="F311" s="68">
        <v>4122</v>
      </c>
      <c r="G311" s="45"/>
      <c r="H311" s="269"/>
    </row>
    <row r="312" spans="1:8" x14ac:dyDescent="0.25">
      <c r="A312" s="43"/>
      <c r="B312" s="276"/>
      <c r="C312" s="55"/>
      <c r="D312" s="55"/>
      <c r="E312" s="67"/>
      <c r="F312" s="68">
        <v>4122</v>
      </c>
      <c r="G312" s="45"/>
      <c r="H312" s="269"/>
    </row>
    <row r="313" spans="1:8" x14ac:dyDescent="0.25">
      <c r="A313" s="43"/>
      <c r="B313" s="276"/>
      <c r="C313" s="55"/>
      <c r="D313" s="55"/>
      <c r="E313" s="67"/>
      <c r="F313" s="68">
        <v>4122</v>
      </c>
      <c r="G313" s="45"/>
      <c r="H313" s="269"/>
    </row>
    <row r="314" spans="1:8" x14ac:dyDescent="0.25">
      <c r="A314" s="43"/>
      <c r="B314" s="276"/>
      <c r="C314" s="55"/>
      <c r="D314" s="55"/>
      <c r="E314" s="67"/>
      <c r="F314" s="68">
        <v>4122</v>
      </c>
      <c r="G314" s="45"/>
      <c r="H314" s="269"/>
    </row>
    <row r="315" spans="1:8" x14ac:dyDescent="0.25">
      <c r="A315" s="43"/>
      <c r="B315" s="276"/>
      <c r="C315" s="55"/>
      <c r="D315" s="55"/>
      <c r="E315" s="67"/>
      <c r="F315" s="68">
        <v>4122</v>
      </c>
      <c r="G315" s="45"/>
      <c r="H315" s="269"/>
    </row>
    <row r="316" spans="1:8" x14ac:dyDescent="0.25">
      <c r="A316" s="43"/>
      <c r="B316" s="276"/>
      <c r="C316" s="55"/>
      <c r="D316" s="55"/>
      <c r="E316" s="67"/>
      <c r="F316" s="68">
        <v>4122</v>
      </c>
      <c r="G316" s="45"/>
      <c r="H316" s="269"/>
    </row>
    <row r="317" spans="1:8" x14ac:dyDescent="0.25">
      <c r="A317" s="43"/>
      <c r="B317" s="276"/>
      <c r="C317" s="55"/>
      <c r="D317" s="55"/>
      <c r="E317" s="67"/>
      <c r="F317" s="68">
        <v>4122</v>
      </c>
      <c r="G317" s="45"/>
      <c r="H317" s="269"/>
    </row>
    <row r="318" spans="1:8" x14ac:dyDescent="0.25">
      <c r="A318" s="43"/>
      <c r="B318" s="276"/>
      <c r="C318" s="55"/>
      <c r="D318" s="55"/>
      <c r="E318" s="67"/>
      <c r="F318" s="68">
        <v>4122</v>
      </c>
      <c r="G318" s="45"/>
      <c r="H318" s="269"/>
    </row>
    <row r="319" spans="1:8" x14ac:dyDescent="0.25">
      <c r="A319" s="43"/>
      <c r="B319" s="276"/>
      <c r="C319" s="55"/>
      <c r="D319" s="55"/>
      <c r="E319" s="67"/>
      <c r="F319" s="68">
        <v>4122</v>
      </c>
      <c r="G319" s="45"/>
      <c r="H319" s="269"/>
    </row>
    <row r="320" spans="1:8" x14ac:dyDescent="0.25">
      <c r="A320" s="43"/>
      <c r="B320" s="276"/>
      <c r="C320" s="55"/>
      <c r="D320" s="55"/>
      <c r="E320" s="67"/>
      <c r="F320" s="68">
        <v>4122</v>
      </c>
      <c r="G320" s="45"/>
      <c r="H320" s="269"/>
    </row>
    <row r="321" spans="1:7" x14ac:dyDescent="0.25">
      <c r="A321" s="43"/>
      <c r="B321" s="276"/>
      <c r="C321" s="55"/>
      <c r="D321" s="55"/>
      <c r="E321" s="67"/>
      <c r="F321" s="68">
        <v>4122</v>
      </c>
      <c r="G321" s="45"/>
    </row>
    <row r="322" spans="1:7" x14ac:dyDescent="0.25">
      <c r="A322" s="43"/>
      <c r="B322" s="276"/>
      <c r="C322" s="55"/>
      <c r="D322" s="55"/>
      <c r="E322" s="67"/>
      <c r="F322" s="68">
        <v>4122</v>
      </c>
      <c r="G322" s="45"/>
    </row>
    <row r="323" spans="1:7" x14ac:dyDescent="0.25">
      <c r="A323" s="43"/>
      <c r="B323" s="276"/>
      <c r="C323" s="55"/>
      <c r="D323" s="55"/>
      <c r="E323" s="67"/>
      <c r="F323" s="68">
        <v>4122</v>
      </c>
      <c r="G323" s="45"/>
    </row>
    <row r="324" spans="1:7" x14ac:dyDescent="0.25">
      <c r="A324" s="43"/>
      <c r="B324" s="276"/>
      <c r="C324" s="55"/>
      <c r="D324" s="55"/>
      <c r="E324" s="67"/>
      <c r="F324" s="277"/>
      <c r="G324" s="45"/>
    </row>
    <row r="325" spans="1:7" x14ac:dyDescent="0.25">
      <c r="A325" s="43"/>
      <c r="B325" s="31" t="s">
        <v>50</v>
      </c>
      <c r="C325" s="27">
        <f>SUM(C326:C330)</f>
        <v>984.7969700000001</v>
      </c>
      <c r="D325" s="27">
        <f>+SUM(D326:D330)</f>
        <v>984796.97</v>
      </c>
      <c r="E325" s="67"/>
      <c r="F325" s="277"/>
      <c r="G325" s="45"/>
    </row>
    <row r="326" spans="1:7" x14ac:dyDescent="0.25">
      <c r="A326" s="272">
        <v>42101</v>
      </c>
      <c r="B326" s="276" t="s">
        <v>138</v>
      </c>
      <c r="C326" s="53">
        <v>131.06369000000001</v>
      </c>
      <c r="D326" s="55">
        <v>131063.69</v>
      </c>
      <c r="E326" s="268">
        <v>86005</v>
      </c>
      <c r="F326" s="68">
        <v>4123</v>
      </c>
      <c r="G326" s="45"/>
    </row>
    <row r="327" spans="1:7" x14ac:dyDescent="0.25">
      <c r="A327" s="287">
        <v>42131</v>
      </c>
      <c r="B327" s="276" t="s">
        <v>180</v>
      </c>
      <c r="C327" s="53">
        <v>853.73328000000004</v>
      </c>
      <c r="D327" s="55">
        <v>853733.28</v>
      </c>
      <c r="E327" s="290">
        <v>86005</v>
      </c>
      <c r="F327" s="68">
        <v>4123</v>
      </c>
      <c r="G327" s="45"/>
    </row>
    <row r="328" spans="1:7" x14ac:dyDescent="0.25">
      <c r="A328" s="287"/>
      <c r="B328" s="276"/>
      <c r="C328" s="53"/>
      <c r="D328" s="55"/>
      <c r="E328" s="290"/>
      <c r="F328" s="68">
        <v>4123</v>
      </c>
      <c r="G328" s="45"/>
    </row>
    <row r="329" spans="1:7" x14ac:dyDescent="0.25">
      <c r="A329" s="287"/>
      <c r="B329" s="276"/>
      <c r="C329" s="53"/>
      <c r="D329" s="55"/>
      <c r="E329" s="290"/>
      <c r="F329" s="68">
        <v>4123</v>
      </c>
      <c r="G329" s="45"/>
    </row>
    <row r="330" spans="1:7" x14ac:dyDescent="0.25">
      <c r="A330" s="43"/>
      <c r="B330" s="291"/>
      <c r="C330" s="56"/>
      <c r="D330" s="56"/>
      <c r="E330" s="67"/>
      <c r="F330" s="68"/>
      <c r="G330" s="45"/>
    </row>
    <row r="331" spans="1:7" x14ac:dyDescent="0.25">
      <c r="A331" s="43"/>
      <c r="B331" s="292" t="s">
        <v>51</v>
      </c>
      <c r="C331" s="31">
        <f>+C332</f>
        <v>0</v>
      </c>
      <c r="D331" s="31">
        <f>+D332</f>
        <v>0</v>
      </c>
      <c r="E331" s="67"/>
      <c r="F331" s="277"/>
      <c r="G331" s="45"/>
    </row>
    <row r="332" spans="1:7" x14ac:dyDescent="0.25">
      <c r="A332" s="43"/>
      <c r="B332" s="44"/>
      <c r="C332" s="47"/>
      <c r="D332" s="47"/>
      <c r="E332" s="67"/>
      <c r="F332" s="68">
        <v>4151</v>
      </c>
      <c r="G332" s="45"/>
    </row>
    <row r="333" spans="1:7" x14ac:dyDescent="0.25">
      <c r="A333" s="43"/>
      <c r="B333" s="44"/>
      <c r="C333" s="47"/>
      <c r="D333" s="47"/>
      <c r="E333" s="67"/>
      <c r="F333" s="68"/>
      <c r="G333" s="45"/>
    </row>
    <row r="334" spans="1:7" x14ac:dyDescent="0.25">
      <c r="A334" s="43"/>
      <c r="B334" s="293" t="s">
        <v>52</v>
      </c>
      <c r="C334" s="31">
        <f>+SUM(C335:C338)</f>
        <v>582</v>
      </c>
      <c r="D334" s="31">
        <f>+SUM(D335:D338)</f>
        <v>581714.24</v>
      </c>
      <c r="E334" s="67"/>
      <c r="F334" s="68"/>
      <c r="G334" s="45"/>
    </row>
    <row r="335" spans="1:7" x14ac:dyDescent="0.25">
      <c r="A335" s="43">
        <v>42075</v>
      </c>
      <c r="B335" s="276" t="s">
        <v>124</v>
      </c>
      <c r="C335" s="53">
        <v>582</v>
      </c>
      <c r="D335" s="55">
        <v>581714.24</v>
      </c>
      <c r="E335" s="67"/>
      <c r="F335" s="68">
        <v>4152</v>
      </c>
      <c r="G335" s="45"/>
    </row>
    <row r="336" spans="1:7" x14ac:dyDescent="0.25">
      <c r="A336" s="43"/>
      <c r="B336" s="276"/>
      <c r="C336" s="53"/>
      <c r="D336" s="55"/>
      <c r="E336" s="67"/>
      <c r="F336" s="68">
        <v>4152</v>
      </c>
      <c r="G336" s="45"/>
    </row>
    <row r="337" spans="1:7" x14ac:dyDescent="0.25">
      <c r="A337" s="43"/>
      <c r="B337" s="276"/>
      <c r="C337" s="53"/>
      <c r="D337" s="55"/>
      <c r="E337" s="67"/>
      <c r="F337" s="68">
        <v>4152</v>
      </c>
      <c r="G337" s="45"/>
    </row>
    <row r="338" spans="1:7" x14ac:dyDescent="0.25">
      <c r="A338" s="43"/>
      <c r="B338" s="276"/>
      <c r="C338" s="53"/>
      <c r="D338" s="55"/>
      <c r="E338" s="67"/>
      <c r="F338" s="68">
        <v>4152</v>
      </c>
      <c r="G338" s="45"/>
    </row>
    <row r="339" spans="1:7" x14ac:dyDescent="0.25">
      <c r="A339" s="43"/>
      <c r="B339" s="276"/>
      <c r="C339" s="47"/>
      <c r="D339" s="55"/>
      <c r="E339" s="67"/>
      <c r="F339" s="68"/>
      <c r="G339" s="45"/>
    </row>
    <row r="340" spans="1:7" x14ac:dyDescent="0.25">
      <c r="A340" s="43"/>
      <c r="B340" s="294" t="s">
        <v>53</v>
      </c>
      <c r="C340" s="27">
        <f>+C334+C212+C140+C137+C116+C103+C36+C12+C7+C121+C331+C325+C208+C61+C156+C181+C18+C173+C32+C66</f>
        <v>138618.29930999997</v>
      </c>
      <c r="D340" s="27">
        <f>+D334+D212+D140+D137+D116+D103+D36+D12+D7+D121+D331+D325+D208+D61+D156+D181+D18+D173+D32+D66</f>
        <v>100799132.28</v>
      </c>
      <c r="E340" s="295"/>
      <c r="F340" s="268"/>
      <c r="G340" s="45"/>
    </row>
    <row r="341" spans="1:7" ht="16.5" thickBot="1" x14ac:dyDescent="0.3">
      <c r="A341" s="296"/>
      <c r="B341" s="297"/>
      <c r="C341" s="75"/>
      <c r="D341" s="75"/>
      <c r="E341" s="298"/>
      <c r="F341" s="299"/>
      <c r="G341" s="45"/>
    </row>
    <row r="342" spans="1:7" x14ac:dyDescent="0.25">
      <c r="A342" s="300"/>
      <c r="B342" s="79"/>
      <c r="C342" s="79"/>
      <c r="D342" s="79"/>
      <c r="E342" s="301"/>
      <c r="F342" s="301"/>
      <c r="G342" s="45"/>
    </row>
    <row r="343" spans="1:7" ht="16.5" thickBot="1" x14ac:dyDescent="0.3">
      <c r="A343" s="300"/>
      <c r="B343" s="79"/>
      <c r="C343" s="79"/>
      <c r="D343" s="79"/>
      <c r="E343" s="301"/>
      <c r="F343" s="301"/>
      <c r="G343" s="45"/>
    </row>
    <row r="344" spans="1:7" x14ac:dyDescent="0.25">
      <c r="A344" s="690" t="s">
        <v>141</v>
      </c>
      <c r="B344" s="5"/>
      <c r="C344" s="5"/>
      <c r="D344" s="5"/>
      <c r="E344" s="302"/>
      <c r="F344" s="302"/>
      <c r="G344" s="45"/>
    </row>
    <row r="345" spans="1:7" ht="16.5" thickBot="1" x14ac:dyDescent="0.3">
      <c r="A345" s="691"/>
      <c r="B345" s="10" t="s">
        <v>54</v>
      </c>
      <c r="C345" s="10" t="s">
        <v>3</v>
      </c>
      <c r="D345" s="10" t="s">
        <v>4</v>
      </c>
      <c r="E345" s="303" t="s">
        <v>5</v>
      </c>
      <c r="F345" s="303" t="s">
        <v>6</v>
      </c>
      <c r="G345" s="45"/>
    </row>
    <row r="346" spans="1:7" x14ac:dyDescent="0.25">
      <c r="A346" s="43"/>
      <c r="B346" s="273" t="s">
        <v>14</v>
      </c>
      <c r="C346" s="40">
        <f>+SUM(C347:C379)</f>
        <v>581.68250999999998</v>
      </c>
      <c r="D346" s="40">
        <f>+SUM(D347:D379)</f>
        <v>656317.54</v>
      </c>
      <c r="E346" s="68"/>
      <c r="F346" s="68"/>
      <c r="G346" s="45"/>
    </row>
    <row r="347" spans="1:7" x14ac:dyDescent="0.25">
      <c r="A347" s="43">
        <v>42069</v>
      </c>
      <c r="B347" s="44" t="s">
        <v>114</v>
      </c>
      <c r="C347" s="53">
        <v>141.55572000000001</v>
      </c>
      <c r="D347" s="21">
        <v>141555.72</v>
      </c>
      <c r="E347" s="68">
        <v>90877</v>
      </c>
      <c r="F347" s="68">
        <v>4213</v>
      </c>
      <c r="G347" s="45">
        <f>+C347*1000-D347</f>
        <v>0</v>
      </c>
    </row>
    <row r="348" spans="1:7" x14ac:dyDescent="0.25">
      <c r="A348" s="43">
        <v>42114</v>
      </c>
      <c r="B348" s="44" t="s">
        <v>156</v>
      </c>
      <c r="C348" s="53">
        <v>47.117789999999999</v>
      </c>
      <c r="D348" s="21">
        <v>47117.79</v>
      </c>
      <c r="E348" s="68">
        <v>90877</v>
      </c>
      <c r="F348" s="68">
        <v>4213</v>
      </c>
      <c r="G348" s="45">
        <f>+C348*1000-D348</f>
        <v>0</v>
      </c>
    </row>
    <row r="349" spans="1:7" x14ac:dyDescent="0.25">
      <c r="A349" s="43">
        <v>42142</v>
      </c>
      <c r="B349" s="44" t="s">
        <v>169</v>
      </c>
      <c r="C349" s="53">
        <v>0</v>
      </c>
      <c r="D349" s="21">
        <v>21145.89</v>
      </c>
      <c r="E349" s="68">
        <v>90877</v>
      </c>
      <c r="F349" s="68">
        <v>4213</v>
      </c>
      <c r="G349" s="45">
        <v>21145.89</v>
      </c>
    </row>
    <row r="350" spans="1:7" x14ac:dyDescent="0.25">
      <c r="A350" s="43">
        <v>42150</v>
      </c>
      <c r="B350" s="44" t="s">
        <v>218</v>
      </c>
      <c r="C350" s="53">
        <v>0</v>
      </c>
      <c r="D350" s="21">
        <v>32193.08</v>
      </c>
      <c r="E350" s="68">
        <v>90877</v>
      </c>
      <c r="F350" s="68">
        <v>4213</v>
      </c>
      <c r="G350" s="45"/>
    </row>
    <row r="351" spans="1:7" x14ac:dyDescent="0.25">
      <c r="A351" s="43">
        <v>42150</v>
      </c>
      <c r="B351" s="44" t="s">
        <v>219</v>
      </c>
      <c r="C351" s="53">
        <v>0</v>
      </c>
      <c r="D351" s="21">
        <v>21296.06</v>
      </c>
      <c r="E351" s="68">
        <v>90877</v>
      </c>
      <c r="F351" s="68">
        <v>4213</v>
      </c>
      <c r="G351" s="45"/>
    </row>
    <row r="352" spans="1:7" x14ac:dyDescent="0.25">
      <c r="A352" s="43"/>
      <c r="B352" s="44"/>
      <c r="C352" s="53"/>
      <c r="D352" s="21"/>
      <c r="E352" s="68"/>
      <c r="F352" s="68"/>
      <c r="G352" s="45"/>
    </row>
    <row r="353" spans="1:7" x14ac:dyDescent="0.25">
      <c r="A353" s="43"/>
      <c r="B353" s="44"/>
      <c r="C353" s="53"/>
      <c r="D353" s="21"/>
      <c r="E353" s="68"/>
      <c r="F353" s="68">
        <v>4213</v>
      </c>
      <c r="G353" s="45"/>
    </row>
    <row r="354" spans="1:7" x14ac:dyDescent="0.25">
      <c r="A354" s="43"/>
      <c r="B354" s="44"/>
      <c r="C354" s="53"/>
      <c r="D354" s="21"/>
      <c r="E354" s="68"/>
      <c r="F354" s="68">
        <v>4213</v>
      </c>
      <c r="G354" s="45"/>
    </row>
    <row r="355" spans="1:7" x14ac:dyDescent="0.25">
      <c r="A355" s="43"/>
      <c r="B355" s="44"/>
      <c r="C355" s="53"/>
      <c r="D355" s="21"/>
      <c r="E355" s="68"/>
      <c r="F355" s="68">
        <v>4213</v>
      </c>
      <c r="G355" s="45"/>
    </row>
    <row r="356" spans="1:7" x14ac:dyDescent="0.25">
      <c r="A356" s="43"/>
      <c r="B356" s="44"/>
      <c r="C356" s="53"/>
      <c r="D356" s="21"/>
      <c r="E356" s="68"/>
      <c r="F356" s="68">
        <v>4213</v>
      </c>
      <c r="G356" s="45"/>
    </row>
    <row r="357" spans="1:7" x14ac:dyDescent="0.25">
      <c r="A357" s="43"/>
      <c r="B357" s="44"/>
      <c r="C357" s="53"/>
      <c r="D357" s="21"/>
      <c r="E357" s="68"/>
      <c r="F357" s="68">
        <v>4213</v>
      </c>
      <c r="G357" s="45"/>
    </row>
    <row r="358" spans="1:7" x14ac:dyDescent="0.25">
      <c r="A358" s="43"/>
      <c r="B358" s="44"/>
      <c r="C358" s="53"/>
      <c r="D358" s="21"/>
      <c r="E358" s="68"/>
      <c r="F358" s="68">
        <v>4213</v>
      </c>
      <c r="G358" s="45"/>
    </row>
    <row r="359" spans="1:7" x14ac:dyDescent="0.25">
      <c r="A359" s="43"/>
      <c r="B359" s="44"/>
      <c r="C359" s="53"/>
      <c r="D359" s="21"/>
      <c r="E359" s="68"/>
      <c r="F359" s="68">
        <v>4213</v>
      </c>
      <c r="G359" s="45"/>
    </row>
    <row r="360" spans="1:7" x14ac:dyDescent="0.25">
      <c r="A360" s="43"/>
      <c r="B360" s="44"/>
      <c r="C360" s="53"/>
      <c r="D360" s="21"/>
      <c r="E360" s="68"/>
      <c r="F360" s="68">
        <v>4213</v>
      </c>
      <c r="G360" s="45"/>
    </row>
    <row r="361" spans="1:7" x14ac:dyDescent="0.25">
      <c r="A361" s="43"/>
      <c r="B361" s="44"/>
      <c r="C361" s="53"/>
      <c r="D361" s="21"/>
      <c r="E361" s="68"/>
      <c r="F361" s="68">
        <v>4213</v>
      </c>
      <c r="G361" s="45"/>
    </row>
    <row r="362" spans="1:7" x14ac:dyDescent="0.25">
      <c r="A362" s="43"/>
      <c r="B362" s="44"/>
      <c r="C362" s="53"/>
      <c r="D362" s="21"/>
      <c r="E362" s="68"/>
      <c r="F362" s="68">
        <v>4213</v>
      </c>
      <c r="G362" s="45"/>
    </row>
    <row r="363" spans="1:7" x14ac:dyDescent="0.25">
      <c r="A363" s="43"/>
      <c r="B363" s="44"/>
      <c r="C363" s="53"/>
      <c r="D363" s="21"/>
      <c r="E363" s="68"/>
      <c r="F363" s="68">
        <v>4213</v>
      </c>
      <c r="G363" s="45"/>
    </row>
    <row r="364" spans="1:7" x14ac:dyDescent="0.25">
      <c r="A364" s="43"/>
      <c r="B364" s="44"/>
      <c r="C364" s="53"/>
      <c r="D364" s="21"/>
      <c r="E364" s="68"/>
      <c r="F364" s="68">
        <v>4213</v>
      </c>
      <c r="G364" s="45"/>
    </row>
    <row r="365" spans="1:7" x14ac:dyDescent="0.25">
      <c r="A365" s="43"/>
      <c r="B365" s="44"/>
      <c r="C365" s="21"/>
      <c r="D365" s="21"/>
      <c r="E365" s="68"/>
      <c r="F365" s="68">
        <v>4213</v>
      </c>
      <c r="G365" s="45"/>
    </row>
    <row r="366" spans="1:7" x14ac:dyDescent="0.25">
      <c r="A366" s="43"/>
      <c r="B366" s="276"/>
      <c r="C366" s="21"/>
      <c r="D366" s="21"/>
      <c r="E366" s="68"/>
      <c r="F366" s="68">
        <v>4213</v>
      </c>
      <c r="G366" s="45"/>
    </row>
    <row r="367" spans="1:7" x14ac:dyDescent="0.25">
      <c r="A367" s="43"/>
      <c r="B367" s="44"/>
      <c r="C367" s="21"/>
      <c r="D367" s="21"/>
      <c r="E367" s="68"/>
      <c r="F367" s="68">
        <v>4213</v>
      </c>
      <c r="G367" s="45"/>
    </row>
    <row r="368" spans="1:7" x14ac:dyDescent="0.25">
      <c r="A368" s="43"/>
      <c r="B368" s="44"/>
      <c r="C368" s="21"/>
      <c r="D368" s="21"/>
      <c r="E368" s="68"/>
      <c r="F368" s="68">
        <v>4213</v>
      </c>
      <c r="G368" s="45"/>
    </row>
    <row r="369" spans="1:7" x14ac:dyDescent="0.25">
      <c r="A369" s="43"/>
      <c r="B369" s="44"/>
      <c r="C369" s="21"/>
      <c r="D369" s="21"/>
      <c r="E369" s="68"/>
      <c r="F369" s="68">
        <v>4213</v>
      </c>
      <c r="G369" s="45"/>
    </row>
    <row r="370" spans="1:7" x14ac:dyDescent="0.25">
      <c r="A370" s="43"/>
      <c r="B370" s="44"/>
      <c r="C370" s="21"/>
      <c r="D370" s="21"/>
      <c r="E370" s="68"/>
      <c r="F370" s="68">
        <v>4213</v>
      </c>
      <c r="G370" s="45"/>
    </row>
    <row r="371" spans="1:7" x14ac:dyDescent="0.25">
      <c r="A371" s="43"/>
      <c r="B371" s="44"/>
      <c r="C371" s="21"/>
      <c r="D371" s="21"/>
      <c r="E371" s="68"/>
      <c r="F371" s="68">
        <v>4213</v>
      </c>
      <c r="G371" s="45"/>
    </row>
    <row r="372" spans="1:7" x14ac:dyDescent="0.25">
      <c r="A372" s="43"/>
      <c r="B372" s="44"/>
      <c r="C372" s="21"/>
      <c r="D372" s="21"/>
      <c r="E372" s="68"/>
      <c r="F372" s="68">
        <v>4213</v>
      </c>
      <c r="G372" s="45"/>
    </row>
    <row r="373" spans="1:7" x14ac:dyDescent="0.25">
      <c r="A373" s="43"/>
      <c r="B373" s="44"/>
      <c r="C373" s="21"/>
      <c r="D373" s="21"/>
      <c r="E373" s="68"/>
      <c r="F373" s="68">
        <v>4213</v>
      </c>
      <c r="G373" s="45"/>
    </row>
    <row r="374" spans="1:7" x14ac:dyDescent="0.25">
      <c r="A374" s="43"/>
      <c r="B374" s="44" t="s">
        <v>121</v>
      </c>
      <c r="C374" s="21">
        <v>0.97499999999999998</v>
      </c>
      <c r="D374" s="21">
        <v>975</v>
      </c>
      <c r="E374" s="68">
        <v>90877</v>
      </c>
      <c r="F374" s="68">
        <v>4213</v>
      </c>
      <c r="G374" s="45"/>
    </row>
    <row r="375" spans="1:7" x14ac:dyDescent="0.25">
      <c r="A375" s="43"/>
      <c r="B375" s="44" t="s">
        <v>110</v>
      </c>
      <c r="C375" s="21">
        <v>392.03399999999999</v>
      </c>
      <c r="D375" s="21">
        <v>392034</v>
      </c>
      <c r="E375" s="68">
        <v>90909</v>
      </c>
      <c r="F375" s="68">
        <v>4213</v>
      </c>
      <c r="G375" s="45"/>
    </row>
    <row r="376" spans="1:7" x14ac:dyDescent="0.25">
      <c r="A376" s="43"/>
      <c r="B376" s="44"/>
      <c r="C376" s="21"/>
      <c r="D376" s="21"/>
      <c r="E376" s="68"/>
      <c r="F376" s="68"/>
      <c r="G376" s="45"/>
    </row>
    <row r="377" spans="1:7" x14ac:dyDescent="0.25">
      <c r="A377" s="43"/>
      <c r="B377" s="44"/>
      <c r="C377" s="21"/>
      <c r="D377" s="21"/>
      <c r="E377" s="68"/>
      <c r="F377" s="68"/>
      <c r="G377" s="45"/>
    </row>
    <row r="378" spans="1:7" x14ac:dyDescent="0.25">
      <c r="A378" s="43"/>
      <c r="B378" s="44"/>
      <c r="C378" s="21"/>
      <c r="D378" s="21"/>
      <c r="E378" s="68"/>
      <c r="F378" s="68">
        <v>4213</v>
      </c>
      <c r="G378" s="45"/>
    </row>
    <row r="379" spans="1:7" x14ac:dyDescent="0.25">
      <c r="A379" s="43"/>
      <c r="B379" s="44"/>
      <c r="C379" s="21"/>
      <c r="D379" s="40"/>
      <c r="E379" s="68"/>
      <c r="F379" s="68"/>
      <c r="G379" s="45"/>
    </row>
    <row r="380" spans="1:7" x14ac:dyDescent="0.25">
      <c r="A380" s="43"/>
      <c r="B380" s="44"/>
      <c r="C380" s="21"/>
      <c r="D380" s="40"/>
      <c r="E380" s="68"/>
      <c r="F380" s="68"/>
      <c r="G380" s="45"/>
    </row>
    <row r="381" spans="1:7" x14ac:dyDescent="0.25">
      <c r="A381" s="43"/>
      <c r="B381" s="273" t="s">
        <v>45</v>
      </c>
      <c r="C381" s="40">
        <f>+SUM(C382:C431)</f>
        <v>817.57743000000005</v>
      </c>
      <c r="D381" s="40">
        <f>+SUM(D382:D431)</f>
        <v>2086373.15</v>
      </c>
      <c r="E381" s="68"/>
      <c r="F381" s="68"/>
      <c r="G381" s="45"/>
    </row>
    <row r="382" spans="1:7" x14ac:dyDescent="0.25">
      <c r="A382" s="43">
        <v>42114</v>
      </c>
      <c r="B382" s="44" t="s">
        <v>156</v>
      </c>
      <c r="C382" s="53">
        <v>801.00243</v>
      </c>
      <c r="D382" s="21">
        <v>801002.43</v>
      </c>
      <c r="E382" s="68">
        <v>15827</v>
      </c>
      <c r="F382" s="68">
        <v>4216</v>
      </c>
      <c r="G382" s="45"/>
    </row>
    <row r="383" spans="1:7" x14ac:dyDescent="0.25">
      <c r="A383" s="43">
        <v>42139</v>
      </c>
      <c r="B383" s="44" t="s">
        <v>169</v>
      </c>
      <c r="C383" s="53">
        <v>0</v>
      </c>
      <c r="D383" s="21">
        <v>359480.19</v>
      </c>
      <c r="E383" s="68">
        <v>15835</v>
      </c>
      <c r="F383" s="68">
        <v>4216</v>
      </c>
      <c r="G383" s="45">
        <v>359480.19</v>
      </c>
    </row>
    <row r="384" spans="1:7" x14ac:dyDescent="0.25">
      <c r="A384" s="43">
        <v>42150</v>
      </c>
      <c r="B384" s="44" t="s">
        <v>218</v>
      </c>
      <c r="C384" s="53">
        <v>0</v>
      </c>
      <c r="D384" s="21">
        <v>547282.4</v>
      </c>
      <c r="E384" s="68">
        <v>15835</v>
      </c>
      <c r="F384" s="68">
        <v>4216</v>
      </c>
      <c r="G384" s="45"/>
    </row>
    <row r="385" spans="1:7" x14ac:dyDescent="0.25">
      <c r="A385" s="43">
        <v>42150</v>
      </c>
      <c r="B385" s="44" t="s">
        <v>219</v>
      </c>
      <c r="C385" s="53">
        <v>0</v>
      </c>
      <c r="D385" s="21">
        <v>362033.13</v>
      </c>
      <c r="E385" s="68">
        <v>15835</v>
      </c>
      <c r="F385" s="68">
        <v>4216</v>
      </c>
      <c r="G385" s="45"/>
    </row>
    <row r="386" spans="1:7" x14ac:dyDescent="0.25">
      <c r="A386" s="43"/>
      <c r="B386" s="44"/>
      <c r="C386" s="53"/>
      <c r="D386" s="21"/>
      <c r="E386" s="68"/>
      <c r="F386" s="68"/>
      <c r="G386" s="45"/>
    </row>
    <row r="387" spans="1:7" x14ac:dyDescent="0.25">
      <c r="A387" s="43"/>
      <c r="B387" s="44"/>
      <c r="C387" s="53"/>
      <c r="D387" s="21"/>
      <c r="E387" s="68"/>
      <c r="F387" s="68">
        <v>4216</v>
      </c>
      <c r="G387" s="45"/>
    </row>
    <row r="388" spans="1:7" x14ac:dyDescent="0.25">
      <c r="A388" s="43"/>
      <c r="B388" s="44"/>
      <c r="C388" s="53"/>
      <c r="D388" s="21"/>
      <c r="E388" s="68"/>
      <c r="F388" s="68">
        <v>4216</v>
      </c>
      <c r="G388" s="45"/>
    </row>
    <row r="389" spans="1:7" x14ac:dyDescent="0.25">
      <c r="A389" s="43"/>
      <c r="B389" s="44"/>
      <c r="C389" s="53"/>
      <c r="D389" s="21"/>
      <c r="E389" s="68"/>
      <c r="F389" s="68">
        <v>4216</v>
      </c>
      <c r="G389" s="45"/>
    </row>
    <row r="390" spans="1:7" x14ac:dyDescent="0.25">
      <c r="A390" s="43"/>
      <c r="B390" s="44"/>
      <c r="C390" s="53"/>
      <c r="D390" s="21"/>
      <c r="E390" s="68"/>
      <c r="F390" s="68">
        <v>4216</v>
      </c>
      <c r="G390" s="45"/>
    </row>
    <row r="391" spans="1:7" x14ac:dyDescent="0.25">
      <c r="A391" s="43"/>
      <c r="B391" s="44"/>
      <c r="C391" s="53"/>
      <c r="D391" s="21"/>
      <c r="E391" s="68"/>
      <c r="F391" s="68">
        <v>4216</v>
      </c>
      <c r="G391" s="45"/>
    </row>
    <row r="392" spans="1:7" x14ac:dyDescent="0.25">
      <c r="A392" s="43"/>
      <c r="B392" s="44"/>
      <c r="C392" s="53"/>
      <c r="D392" s="21"/>
      <c r="E392" s="68"/>
      <c r="F392" s="68">
        <v>4216</v>
      </c>
      <c r="G392" s="45"/>
    </row>
    <row r="393" spans="1:7" x14ac:dyDescent="0.25">
      <c r="A393" s="43"/>
      <c r="B393" s="44"/>
      <c r="C393" s="53"/>
      <c r="D393" s="21"/>
      <c r="E393" s="68"/>
      <c r="F393" s="68">
        <v>4216</v>
      </c>
      <c r="G393" s="45"/>
    </row>
    <row r="394" spans="1:7" x14ac:dyDescent="0.25">
      <c r="A394" s="43"/>
      <c r="B394" s="44"/>
      <c r="C394" s="53"/>
      <c r="D394" s="21"/>
      <c r="E394" s="68"/>
      <c r="F394" s="68">
        <v>4216</v>
      </c>
      <c r="G394" s="45"/>
    </row>
    <row r="395" spans="1:7" x14ac:dyDescent="0.25">
      <c r="A395" s="43"/>
      <c r="B395" s="44"/>
      <c r="C395" s="53"/>
      <c r="D395" s="21"/>
      <c r="E395" s="68"/>
      <c r="F395" s="68">
        <v>4216</v>
      </c>
      <c r="G395" s="45"/>
    </row>
    <row r="396" spans="1:7" x14ac:dyDescent="0.25">
      <c r="A396" s="43"/>
      <c r="B396" s="44"/>
      <c r="C396" s="53"/>
      <c r="D396" s="21"/>
      <c r="E396" s="68"/>
      <c r="F396" s="68">
        <v>4216</v>
      </c>
      <c r="G396" s="45"/>
    </row>
    <row r="397" spans="1:7" x14ac:dyDescent="0.25">
      <c r="A397" s="43"/>
      <c r="B397" s="44"/>
      <c r="C397" s="53"/>
      <c r="D397" s="21"/>
      <c r="E397" s="68"/>
      <c r="F397" s="68">
        <v>4216</v>
      </c>
      <c r="G397" s="45"/>
    </row>
    <row r="398" spans="1:7" x14ac:dyDescent="0.25">
      <c r="A398" s="43"/>
      <c r="B398" s="44"/>
      <c r="C398" s="53"/>
      <c r="D398" s="21"/>
      <c r="E398" s="68"/>
      <c r="F398" s="68">
        <v>4216</v>
      </c>
      <c r="G398" s="45"/>
    </row>
    <row r="399" spans="1:7" x14ac:dyDescent="0.25">
      <c r="A399" s="43"/>
      <c r="B399" s="44"/>
      <c r="C399" s="53"/>
      <c r="D399" s="21"/>
      <c r="E399" s="68"/>
      <c r="F399" s="68">
        <v>4216</v>
      </c>
      <c r="G399" s="45"/>
    </row>
    <row r="400" spans="1:7" x14ac:dyDescent="0.25">
      <c r="A400" s="43"/>
      <c r="B400" s="44"/>
      <c r="C400" s="53"/>
      <c r="D400" s="21"/>
      <c r="E400" s="68"/>
      <c r="F400" s="68">
        <v>4216</v>
      </c>
      <c r="G400" s="45"/>
    </row>
    <row r="401" spans="1:7" x14ac:dyDescent="0.25">
      <c r="A401" s="43"/>
      <c r="B401" s="44"/>
      <c r="C401" s="53"/>
      <c r="D401" s="21"/>
      <c r="E401" s="68"/>
      <c r="F401" s="68">
        <v>4216</v>
      </c>
      <c r="G401" s="45"/>
    </row>
    <row r="402" spans="1:7" x14ac:dyDescent="0.25">
      <c r="A402" s="43"/>
      <c r="B402" s="44"/>
      <c r="C402" s="53"/>
      <c r="D402" s="21"/>
      <c r="E402" s="68"/>
      <c r="F402" s="68">
        <v>4216</v>
      </c>
      <c r="G402" s="45"/>
    </row>
    <row r="403" spans="1:7" x14ac:dyDescent="0.25">
      <c r="A403" s="43"/>
      <c r="B403" s="44"/>
      <c r="C403" s="53"/>
      <c r="D403" s="21"/>
      <c r="E403" s="68"/>
      <c r="F403" s="68">
        <v>4216</v>
      </c>
      <c r="G403" s="45"/>
    </row>
    <row r="404" spans="1:7" x14ac:dyDescent="0.25">
      <c r="A404" s="43"/>
      <c r="B404" s="44"/>
      <c r="C404" s="21"/>
      <c r="D404" s="21"/>
      <c r="E404" s="68"/>
      <c r="F404" s="68">
        <v>4216</v>
      </c>
      <c r="G404" s="45"/>
    </row>
    <row r="405" spans="1:7" x14ac:dyDescent="0.25">
      <c r="A405" s="43"/>
      <c r="B405" s="44" t="s">
        <v>121</v>
      </c>
      <c r="C405" s="21">
        <v>16.574999999999999</v>
      </c>
      <c r="D405" s="21">
        <v>16575</v>
      </c>
      <c r="E405" s="68">
        <v>15835</v>
      </c>
      <c r="F405" s="68">
        <v>4216</v>
      </c>
      <c r="G405" s="45"/>
    </row>
    <row r="406" spans="1:7" x14ac:dyDescent="0.25">
      <c r="A406" s="43"/>
      <c r="B406" s="44"/>
      <c r="C406" s="21"/>
      <c r="D406" s="21"/>
      <c r="E406" s="68"/>
      <c r="F406" s="68"/>
      <c r="G406" s="45"/>
    </row>
    <row r="407" spans="1:7" x14ac:dyDescent="0.25">
      <c r="A407" s="43"/>
      <c r="B407" s="276"/>
      <c r="C407" s="21"/>
      <c r="D407" s="47"/>
      <c r="E407" s="68"/>
      <c r="F407" s="68"/>
      <c r="G407" s="45"/>
    </row>
    <row r="408" spans="1:7" x14ac:dyDescent="0.25">
      <c r="A408" s="43"/>
      <c r="B408" s="276"/>
      <c r="C408" s="21"/>
      <c r="D408" s="47"/>
      <c r="E408" s="68"/>
      <c r="F408" s="68">
        <v>4216</v>
      </c>
      <c r="G408" s="45"/>
    </row>
    <row r="409" spans="1:7" x14ac:dyDescent="0.25">
      <c r="A409" s="43"/>
      <c r="B409" s="276"/>
      <c r="C409" s="21"/>
      <c r="D409" s="47"/>
      <c r="E409" s="68"/>
      <c r="F409" s="68">
        <v>4216</v>
      </c>
      <c r="G409" s="45"/>
    </row>
    <row r="410" spans="1:7" x14ac:dyDescent="0.25">
      <c r="A410" s="43"/>
      <c r="B410" s="44"/>
      <c r="C410" s="21"/>
      <c r="D410" s="47"/>
      <c r="E410" s="68"/>
      <c r="F410" s="68">
        <v>4216</v>
      </c>
      <c r="G410" s="45"/>
    </row>
    <row r="411" spans="1:7" x14ac:dyDescent="0.25">
      <c r="A411" s="43"/>
      <c r="B411" s="276"/>
      <c r="C411" s="21"/>
      <c r="D411" s="47"/>
      <c r="E411" s="68"/>
      <c r="F411" s="68">
        <v>4216</v>
      </c>
      <c r="G411" s="45"/>
    </row>
    <row r="412" spans="1:7" x14ac:dyDescent="0.25">
      <c r="A412" s="43"/>
      <c r="B412" s="276"/>
      <c r="C412" s="53"/>
      <c r="D412" s="47"/>
      <c r="E412" s="68"/>
      <c r="F412" s="68">
        <v>4216</v>
      </c>
      <c r="G412" s="45"/>
    </row>
    <row r="413" spans="1:7" x14ac:dyDescent="0.25">
      <c r="A413" s="43"/>
      <c r="B413" s="276"/>
      <c r="C413" s="53"/>
      <c r="D413" s="47"/>
      <c r="E413" s="68"/>
      <c r="F413" s="68">
        <v>4216</v>
      </c>
      <c r="G413" s="45"/>
    </row>
    <row r="414" spans="1:7" x14ac:dyDescent="0.25">
      <c r="A414" s="43"/>
      <c r="B414" s="276"/>
      <c r="C414" s="53"/>
      <c r="D414" s="21"/>
      <c r="E414" s="68"/>
      <c r="F414" s="68">
        <v>4216</v>
      </c>
      <c r="G414" s="45"/>
    </row>
    <row r="415" spans="1:7" x14ac:dyDescent="0.25">
      <c r="A415" s="43"/>
      <c r="B415" s="276"/>
      <c r="C415" s="53"/>
      <c r="D415" s="21"/>
      <c r="E415" s="68"/>
      <c r="F415" s="68">
        <v>4216</v>
      </c>
      <c r="G415" s="45"/>
    </row>
    <row r="416" spans="1:7" x14ac:dyDescent="0.25">
      <c r="A416" s="43"/>
      <c r="B416" s="276"/>
      <c r="C416" s="53"/>
      <c r="D416" s="21"/>
      <c r="E416" s="68"/>
      <c r="F416" s="68">
        <v>4216</v>
      </c>
      <c r="G416" s="45"/>
    </row>
    <row r="417" spans="1:7" x14ac:dyDescent="0.25">
      <c r="A417" s="43"/>
      <c r="B417" s="276"/>
      <c r="C417" s="53"/>
      <c r="D417" s="21"/>
      <c r="E417" s="68"/>
      <c r="F417" s="68">
        <v>4216</v>
      </c>
      <c r="G417" s="45"/>
    </row>
    <row r="418" spans="1:7" x14ac:dyDescent="0.25">
      <c r="A418" s="43"/>
      <c r="B418" s="276"/>
      <c r="C418" s="53"/>
      <c r="D418" s="21"/>
      <c r="E418" s="68"/>
      <c r="F418" s="68">
        <v>4216</v>
      </c>
      <c r="G418" s="45"/>
    </row>
    <row r="419" spans="1:7" x14ac:dyDescent="0.25">
      <c r="A419" s="43"/>
      <c r="B419" s="276"/>
      <c r="C419" s="53"/>
      <c r="D419" s="21"/>
      <c r="E419" s="68"/>
      <c r="F419" s="68">
        <v>4216</v>
      </c>
      <c r="G419" s="45"/>
    </row>
    <row r="420" spans="1:7" x14ac:dyDescent="0.25">
      <c r="A420" s="43"/>
      <c r="B420" s="276"/>
      <c r="C420" s="53"/>
      <c r="D420" s="21"/>
      <c r="E420" s="68"/>
      <c r="F420" s="68">
        <v>4216</v>
      </c>
      <c r="G420" s="45"/>
    </row>
    <row r="421" spans="1:7" x14ac:dyDescent="0.25">
      <c r="A421" s="43"/>
      <c r="B421" s="276"/>
      <c r="C421" s="53"/>
      <c r="D421" s="21"/>
      <c r="E421" s="68"/>
      <c r="F421" s="68">
        <v>4216</v>
      </c>
      <c r="G421" s="45"/>
    </row>
    <row r="422" spans="1:7" x14ac:dyDescent="0.25">
      <c r="A422" s="43"/>
      <c r="B422" s="276"/>
      <c r="C422" s="53"/>
      <c r="D422" s="21"/>
      <c r="E422" s="68"/>
      <c r="F422" s="68">
        <v>4216</v>
      </c>
      <c r="G422" s="45"/>
    </row>
    <row r="423" spans="1:7" x14ac:dyDescent="0.25">
      <c r="A423" s="43"/>
      <c r="B423" s="276"/>
      <c r="C423" s="53"/>
      <c r="D423" s="21"/>
      <c r="E423" s="68"/>
      <c r="F423" s="68">
        <v>4216</v>
      </c>
      <c r="G423" s="45"/>
    </row>
    <row r="424" spans="1:7" x14ac:dyDescent="0.25">
      <c r="A424" s="43"/>
      <c r="B424" s="276"/>
      <c r="C424" s="53"/>
      <c r="D424" s="21"/>
      <c r="E424" s="68"/>
      <c r="F424" s="68">
        <v>4216</v>
      </c>
      <c r="G424" s="45"/>
    </row>
    <row r="425" spans="1:7" x14ac:dyDescent="0.25">
      <c r="A425" s="43"/>
      <c r="B425" s="276"/>
      <c r="C425" s="53"/>
      <c r="D425" s="21"/>
      <c r="E425" s="68"/>
      <c r="F425" s="68">
        <v>4216</v>
      </c>
      <c r="G425" s="45"/>
    </row>
    <row r="426" spans="1:7" x14ac:dyDescent="0.25">
      <c r="A426" s="43"/>
      <c r="B426" s="276"/>
      <c r="C426" s="53"/>
      <c r="D426" s="21"/>
      <c r="E426" s="68"/>
      <c r="F426" s="68">
        <v>4216</v>
      </c>
      <c r="G426" s="45"/>
    </row>
    <row r="427" spans="1:7" x14ac:dyDescent="0.25">
      <c r="A427" s="43"/>
      <c r="B427" s="276"/>
      <c r="C427" s="53"/>
      <c r="D427" s="21"/>
      <c r="E427" s="68"/>
      <c r="F427" s="68">
        <v>4216</v>
      </c>
      <c r="G427" s="45"/>
    </row>
    <row r="428" spans="1:7" x14ac:dyDescent="0.25">
      <c r="A428" s="43"/>
      <c r="B428" s="276"/>
      <c r="C428" s="53"/>
      <c r="D428" s="21"/>
      <c r="E428" s="68"/>
      <c r="F428" s="68">
        <v>4216</v>
      </c>
      <c r="G428" s="45"/>
    </row>
    <row r="429" spans="1:7" x14ac:dyDescent="0.25">
      <c r="A429" s="43"/>
      <c r="B429" s="276"/>
      <c r="C429" s="53"/>
      <c r="D429" s="21"/>
      <c r="E429" s="68"/>
      <c r="F429" s="68">
        <v>4216</v>
      </c>
      <c r="G429" s="45"/>
    </row>
    <row r="430" spans="1:7" x14ac:dyDescent="0.25">
      <c r="A430" s="43"/>
      <c r="B430" s="276"/>
      <c r="C430" s="53"/>
      <c r="D430" s="21"/>
      <c r="E430" s="68"/>
      <c r="F430" s="68">
        <v>4216</v>
      </c>
      <c r="G430" s="45"/>
    </row>
    <row r="431" spans="1:7" x14ac:dyDescent="0.25">
      <c r="A431" s="43"/>
      <c r="B431" s="276"/>
      <c r="C431" s="21"/>
      <c r="D431" s="21"/>
      <c r="E431" s="68"/>
      <c r="F431" s="68">
        <v>4216</v>
      </c>
      <c r="G431" s="45"/>
    </row>
    <row r="432" spans="1:7" x14ac:dyDescent="0.25">
      <c r="A432" s="43"/>
      <c r="B432" s="31" t="s">
        <v>36</v>
      </c>
      <c r="C432" s="40">
        <f>+C433+C434</f>
        <v>0</v>
      </c>
      <c r="D432" s="40">
        <f>+D433+D434</f>
        <v>0</v>
      </c>
      <c r="E432" s="68"/>
      <c r="F432" s="68"/>
      <c r="G432" s="45"/>
    </row>
    <row r="433" spans="1:8" x14ac:dyDescent="0.25">
      <c r="A433" s="43"/>
      <c r="B433" s="276"/>
      <c r="C433" s="21"/>
      <c r="D433" s="21"/>
      <c r="E433" s="68"/>
      <c r="F433" s="68">
        <v>4216</v>
      </c>
      <c r="G433" s="45"/>
    </row>
    <row r="434" spans="1:8" x14ac:dyDescent="0.25">
      <c r="A434" s="43"/>
      <c r="B434" s="276"/>
      <c r="C434" s="21"/>
      <c r="D434" s="21"/>
      <c r="E434" s="68"/>
      <c r="F434" s="68">
        <v>4216</v>
      </c>
      <c r="G434" s="45"/>
    </row>
    <row r="435" spans="1:8" x14ac:dyDescent="0.25">
      <c r="A435" s="43"/>
      <c r="B435" s="285" t="s">
        <v>91</v>
      </c>
      <c r="C435" s="40">
        <f>+C437+C436+C438</f>
        <v>5171.2852200000007</v>
      </c>
      <c r="D435" s="40">
        <f>+D437+D436+D438</f>
        <v>27949130.579999998</v>
      </c>
      <c r="E435" s="68"/>
      <c r="F435" s="68"/>
      <c r="G435" s="45"/>
    </row>
    <row r="436" spans="1:8" x14ac:dyDescent="0.25">
      <c r="A436" s="43">
        <v>42034</v>
      </c>
      <c r="B436" s="276" t="s">
        <v>103</v>
      </c>
      <c r="C436" s="21">
        <v>4395.5924400000004</v>
      </c>
      <c r="D436" s="21">
        <v>4395592.4400000004</v>
      </c>
      <c r="E436" s="68">
        <v>17871</v>
      </c>
      <c r="F436" s="68">
        <v>4216</v>
      </c>
      <c r="G436" s="45"/>
    </row>
    <row r="437" spans="1:8" x14ac:dyDescent="0.25">
      <c r="A437" s="43">
        <v>42034</v>
      </c>
      <c r="B437" s="276" t="s">
        <v>103</v>
      </c>
      <c r="C437" s="21">
        <v>775.69277999999997</v>
      </c>
      <c r="D437" s="21">
        <v>775692.78</v>
      </c>
      <c r="E437" s="68">
        <v>17870</v>
      </c>
      <c r="F437" s="68">
        <v>4216</v>
      </c>
      <c r="G437" s="45"/>
    </row>
    <row r="438" spans="1:8" x14ac:dyDescent="0.25">
      <c r="A438" s="43">
        <v>42151</v>
      </c>
      <c r="B438" s="276" t="s">
        <v>220</v>
      </c>
      <c r="C438" s="21">
        <v>0</v>
      </c>
      <c r="D438" s="21">
        <v>22777845.359999999</v>
      </c>
      <c r="E438" s="68">
        <v>17871</v>
      </c>
      <c r="F438" s="68">
        <v>4216</v>
      </c>
      <c r="G438" s="45"/>
    </row>
    <row r="439" spans="1:8" x14ac:dyDescent="0.25">
      <c r="A439" s="43"/>
      <c r="B439" s="276"/>
      <c r="C439" s="21"/>
      <c r="D439" s="21"/>
      <c r="E439" s="68"/>
      <c r="F439" s="68"/>
      <c r="G439" s="45"/>
    </row>
    <row r="440" spans="1:8" x14ac:dyDescent="0.25">
      <c r="A440" s="43"/>
      <c r="B440" s="31" t="s">
        <v>149</v>
      </c>
      <c r="C440" s="40">
        <f>+C441</f>
        <v>450</v>
      </c>
      <c r="D440" s="40">
        <f>+D441</f>
        <v>450000</v>
      </c>
      <c r="E440" s="68"/>
      <c r="F440" s="68"/>
      <c r="G440" s="45"/>
    </row>
    <row r="441" spans="1:8" x14ac:dyDescent="0.25">
      <c r="A441" s="43">
        <v>42121</v>
      </c>
      <c r="B441" s="276" t="s">
        <v>155</v>
      </c>
      <c r="C441" s="21">
        <v>450</v>
      </c>
      <c r="D441" s="21">
        <v>450000</v>
      </c>
      <c r="E441" s="68">
        <v>35621</v>
      </c>
      <c r="F441" s="68">
        <v>4216</v>
      </c>
      <c r="G441" s="45"/>
    </row>
    <row r="442" spans="1:8" x14ac:dyDescent="0.25">
      <c r="A442" s="43"/>
      <c r="B442" s="273"/>
      <c r="C442" s="40"/>
      <c r="D442" s="40"/>
      <c r="E442" s="68"/>
      <c r="F442" s="68"/>
      <c r="G442" s="45"/>
    </row>
    <row r="443" spans="1:8" x14ac:dyDescent="0.25">
      <c r="A443" s="43"/>
      <c r="B443" s="273" t="s">
        <v>48</v>
      </c>
      <c r="C443" s="40">
        <f>SUM(C444:C458)</f>
        <v>0</v>
      </c>
      <c r="D443" s="40">
        <f>SUM(D444:D458)</f>
        <v>0</v>
      </c>
      <c r="E443" s="68"/>
      <c r="F443" s="68"/>
      <c r="G443" s="45"/>
    </row>
    <row r="444" spans="1:8" x14ac:dyDescent="0.25">
      <c r="A444" s="43"/>
      <c r="B444" s="44"/>
      <c r="C444" s="53"/>
      <c r="D444" s="55"/>
      <c r="E444" s="268"/>
      <c r="F444" s="68">
        <v>4222</v>
      </c>
      <c r="G444" s="45"/>
      <c r="H444" s="269"/>
    </row>
    <row r="445" spans="1:8" x14ac:dyDescent="0.25">
      <c r="A445" s="43"/>
      <c r="B445" s="44"/>
      <c r="C445" s="53"/>
      <c r="D445" s="55"/>
      <c r="E445" s="268"/>
      <c r="F445" s="68">
        <v>4222</v>
      </c>
      <c r="G445" s="45"/>
      <c r="H445" s="269"/>
    </row>
    <row r="446" spans="1:8" x14ac:dyDescent="0.25">
      <c r="A446" s="43"/>
      <c r="B446" s="44"/>
      <c r="C446" s="21"/>
      <c r="D446" s="55"/>
      <c r="E446" s="68"/>
      <c r="F446" s="68">
        <v>4222</v>
      </c>
      <c r="G446" s="45"/>
    </row>
    <row r="447" spans="1:8" x14ac:dyDescent="0.25">
      <c r="A447" s="43"/>
      <c r="B447" s="44"/>
      <c r="C447" s="21"/>
      <c r="D447" s="55"/>
      <c r="E447" s="68"/>
      <c r="F447" s="68">
        <v>4222</v>
      </c>
      <c r="G447" s="45"/>
    </row>
    <row r="448" spans="1:8" x14ac:dyDescent="0.25">
      <c r="A448" s="43"/>
      <c r="B448" s="44"/>
      <c r="C448" s="21"/>
      <c r="D448" s="55"/>
      <c r="E448" s="68"/>
      <c r="F448" s="68">
        <v>4222</v>
      </c>
      <c r="G448" s="45"/>
    </row>
    <row r="449" spans="1:8" x14ac:dyDescent="0.25">
      <c r="A449" s="43"/>
      <c r="B449" s="44"/>
      <c r="C449" s="21"/>
      <c r="D449" s="55"/>
      <c r="E449" s="68"/>
      <c r="F449" s="68">
        <v>4222</v>
      </c>
      <c r="G449" s="45"/>
    </row>
    <row r="450" spans="1:8" x14ac:dyDescent="0.25">
      <c r="A450" s="43"/>
      <c r="B450" s="44"/>
      <c r="C450" s="21"/>
      <c r="D450" s="55"/>
      <c r="E450" s="68"/>
      <c r="F450" s="68">
        <v>4222</v>
      </c>
      <c r="G450" s="45"/>
    </row>
    <row r="451" spans="1:8" x14ac:dyDescent="0.25">
      <c r="A451" s="43"/>
      <c r="B451" s="44"/>
      <c r="C451" s="21"/>
      <c r="D451" s="55"/>
      <c r="E451" s="68"/>
      <c r="F451" s="68">
        <v>4222</v>
      </c>
      <c r="G451" s="45"/>
    </row>
    <row r="452" spans="1:8" x14ac:dyDescent="0.25">
      <c r="A452" s="43"/>
      <c r="B452" s="276"/>
      <c r="C452" s="21"/>
      <c r="D452" s="55"/>
      <c r="E452" s="68"/>
      <c r="F452" s="68">
        <v>4222</v>
      </c>
      <c r="G452" s="45"/>
      <c r="H452" s="269"/>
    </row>
    <row r="453" spans="1:8" x14ac:dyDescent="0.25">
      <c r="A453" s="43"/>
      <c r="B453" s="44"/>
      <c r="C453" s="21"/>
      <c r="D453" s="55"/>
      <c r="E453" s="68"/>
      <c r="F453" s="68">
        <v>4222</v>
      </c>
      <c r="G453" s="45"/>
    </row>
    <row r="454" spans="1:8" x14ac:dyDescent="0.25">
      <c r="A454" s="43"/>
      <c r="B454" s="44"/>
      <c r="C454" s="21"/>
      <c r="D454" s="55"/>
      <c r="E454" s="68"/>
      <c r="F454" s="68">
        <v>4222</v>
      </c>
      <c r="G454" s="45"/>
    </row>
    <row r="455" spans="1:8" x14ac:dyDescent="0.25">
      <c r="A455" s="43"/>
      <c r="B455" s="44"/>
      <c r="C455" s="21"/>
      <c r="D455" s="55"/>
      <c r="E455" s="68"/>
      <c r="F455" s="68">
        <v>4222</v>
      </c>
      <c r="G455" s="45"/>
    </row>
    <row r="456" spans="1:8" x14ac:dyDescent="0.25">
      <c r="A456" s="43"/>
      <c r="B456" s="44"/>
      <c r="C456" s="21"/>
      <c r="D456" s="55"/>
      <c r="E456" s="68"/>
      <c r="F456" s="68">
        <v>4222</v>
      </c>
      <c r="G456" s="45"/>
    </row>
    <row r="457" spans="1:8" x14ac:dyDescent="0.25">
      <c r="A457" s="43"/>
      <c r="B457" s="44"/>
      <c r="C457" s="47"/>
      <c r="D457" s="55"/>
      <c r="E457" s="68"/>
      <c r="F457" s="68">
        <v>4222</v>
      </c>
      <c r="G457" s="45"/>
    </row>
    <row r="458" spans="1:8" x14ac:dyDescent="0.25">
      <c r="A458" s="43"/>
      <c r="B458" s="44"/>
      <c r="C458" s="21"/>
      <c r="D458" s="55"/>
      <c r="E458" s="68"/>
      <c r="F458" s="68">
        <v>4222</v>
      </c>
      <c r="G458" s="45"/>
    </row>
    <row r="459" spans="1:8" x14ac:dyDescent="0.25">
      <c r="A459" s="43"/>
      <c r="B459" s="304"/>
      <c r="C459" s="53"/>
      <c r="D459" s="55"/>
      <c r="E459" s="268"/>
      <c r="F459" s="68"/>
      <c r="G459" s="45"/>
    </row>
    <row r="460" spans="1:8" x14ac:dyDescent="0.25">
      <c r="A460" s="43"/>
      <c r="B460" s="31" t="s">
        <v>50</v>
      </c>
      <c r="C460" s="31">
        <f>+SUM(C461:C474)</f>
        <v>52328.804300000003</v>
      </c>
      <c r="D460" s="31">
        <f>+SUM(D461:D474)</f>
        <v>71313897.030000001</v>
      </c>
      <c r="E460" s="68"/>
      <c r="F460" s="68"/>
      <c r="G460" s="45"/>
    </row>
    <row r="461" spans="1:8" x14ac:dyDescent="0.25">
      <c r="A461" s="43">
        <v>42073</v>
      </c>
      <c r="B461" s="276" t="s">
        <v>112</v>
      </c>
      <c r="C461" s="21">
        <v>24568.326000000001</v>
      </c>
      <c r="D461" s="21">
        <v>24568326</v>
      </c>
      <c r="E461" s="68">
        <v>86505</v>
      </c>
      <c r="F461" s="68">
        <v>4223</v>
      </c>
      <c r="G461" s="45"/>
    </row>
    <row r="462" spans="1:8" x14ac:dyDescent="0.25">
      <c r="A462" s="43">
        <v>42073</v>
      </c>
      <c r="B462" s="276" t="s">
        <v>112</v>
      </c>
      <c r="C462" s="21">
        <v>2167.7934799999998</v>
      </c>
      <c r="D462" s="21">
        <v>2167793.48</v>
      </c>
      <c r="E462" s="68">
        <v>86501</v>
      </c>
      <c r="F462" s="68">
        <v>4223</v>
      </c>
      <c r="G462" s="45"/>
    </row>
    <row r="463" spans="1:8" x14ac:dyDescent="0.25">
      <c r="A463" s="43">
        <v>42087</v>
      </c>
      <c r="B463" s="44" t="s">
        <v>123</v>
      </c>
      <c r="C463" s="47">
        <v>17507.565600000002</v>
      </c>
      <c r="D463" s="47">
        <v>17507565.600000001</v>
      </c>
      <c r="E463" s="268">
        <v>86505</v>
      </c>
      <c r="F463" s="68">
        <v>4223</v>
      </c>
      <c r="G463" s="45"/>
    </row>
    <row r="464" spans="1:8" x14ac:dyDescent="0.25">
      <c r="A464" s="43">
        <v>42101</v>
      </c>
      <c r="B464" s="44" t="s">
        <v>138</v>
      </c>
      <c r="C464" s="47">
        <v>3893.92481</v>
      </c>
      <c r="D464" s="47">
        <v>3893924.81</v>
      </c>
      <c r="E464" s="268">
        <v>86505</v>
      </c>
      <c r="F464" s="68">
        <v>4223</v>
      </c>
      <c r="G464" s="45"/>
    </row>
    <row r="465" spans="1:8" x14ac:dyDescent="0.25">
      <c r="A465" s="43">
        <v>42122</v>
      </c>
      <c r="B465" s="44" t="s">
        <v>152</v>
      </c>
      <c r="C465" s="47">
        <v>4191.1944100000001</v>
      </c>
      <c r="D465" s="47">
        <v>4191194.41</v>
      </c>
      <c r="E465" s="268">
        <v>86505</v>
      </c>
      <c r="F465" s="68">
        <v>4223</v>
      </c>
      <c r="G465" s="45"/>
    </row>
    <row r="466" spans="1:8" x14ac:dyDescent="0.25">
      <c r="A466" s="43">
        <v>42143</v>
      </c>
      <c r="B466" s="44" t="s">
        <v>171</v>
      </c>
      <c r="C466" s="47">
        <v>0</v>
      </c>
      <c r="D466" s="21">
        <v>18985092.73</v>
      </c>
      <c r="E466" s="268">
        <v>86505</v>
      </c>
      <c r="F466" s="68">
        <v>4223</v>
      </c>
      <c r="G466" s="45">
        <v>18985092.73</v>
      </c>
    </row>
    <row r="467" spans="1:8" x14ac:dyDescent="0.25">
      <c r="A467" s="43"/>
      <c r="B467" s="44"/>
      <c r="C467" s="47"/>
      <c r="D467" s="21"/>
      <c r="E467" s="268"/>
      <c r="F467" s="68">
        <v>4223</v>
      </c>
      <c r="G467" s="45"/>
    </row>
    <row r="468" spans="1:8" x14ac:dyDescent="0.25">
      <c r="A468" s="43"/>
      <c r="B468" s="44"/>
      <c r="C468" s="47"/>
      <c r="D468" s="21"/>
      <c r="E468" s="268"/>
      <c r="F468" s="68">
        <v>4223</v>
      </c>
      <c r="G468" s="45"/>
    </row>
    <row r="469" spans="1:8" x14ac:dyDescent="0.25">
      <c r="A469" s="43"/>
      <c r="B469" s="44"/>
      <c r="C469" s="47"/>
      <c r="D469" s="21"/>
      <c r="E469" s="268"/>
      <c r="F469" s="68">
        <v>4223</v>
      </c>
      <c r="G469" s="45"/>
    </row>
    <row r="470" spans="1:8" x14ac:dyDescent="0.25">
      <c r="A470" s="43"/>
      <c r="B470" s="44"/>
      <c r="C470" s="47"/>
      <c r="D470" s="21"/>
      <c r="E470" s="268"/>
      <c r="F470" s="68">
        <v>4223</v>
      </c>
      <c r="G470" s="45"/>
    </row>
    <row r="471" spans="1:8" x14ac:dyDescent="0.25">
      <c r="A471" s="43"/>
      <c r="B471" s="44"/>
      <c r="C471" s="47"/>
      <c r="D471" s="21"/>
      <c r="E471" s="268"/>
      <c r="F471" s="68">
        <v>4223</v>
      </c>
      <c r="G471" s="45"/>
    </row>
    <row r="472" spans="1:8" x14ac:dyDescent="0.25">
      <c r="A472" s="43"/>
      <c r="B472" s="44"/>
      <c r="C472" s="47"/>
      <c r="D472" s="21"/>
      <c r="E472" s="268"/>
      <c r="F472" s="68">
        <v>4223</v>
      </c>
      <c r="G472" s="45"/>
    </row>
    <row r="473" spans="1:8" x14ac:dyDescent="0.25">
      <c r="A473" s="43"/>
      <c r="B473" s="44"/>
      <c r="C473" s="47"/>
      <c r="D473" s="21"/>
      <c r="E473" s="268"/>
      <c r="F473" s="68">
        <v>4223</v>
      </c>
      <c r="G473" s="45"/>
    </row>
    <row r="474" spans="1:8" x14ac:dyDescent="0.25">
      <c r="A474" s="43"/>
      <c r="B474" s="44"/>
      <c r="C474" s="47"/>
      <c r="D474" s="21"/>
      <c r="E474" s="268"/>
      <c r="F474" s="68"/>
    </row>
    <row r="475" spans="1:8" x14ac:dyDescent="0.25">
      <c r="A475" s="43"/>
      <c r="B475" s="276"/>
      <c r="C475" s="47"/>
      <c r="D475" s="86"/>
      <c r="E475" s="68"/>
      <c r="F475" s="68"/>
    </row>
    <row r="476" spans="1:8" x14ac:dyDescent="0.25">
      <c r="A476" s="43"/>
      <c r="B476" s="294" t="s">
        <v>55</v>
      </c>
      <c r="C476" s="27">
        <f>+C443+C460+C346+C381+C435+C432+C440</f>
        <v>59349.349459999998</v>
      </c>
      <c r="D476" s="27">
        <f>+D443+D460+D346+D381+D435+D432+D440</f>
        <v>102455718.30000001</v>
      </c>
      <c r="E476" s="295"/>
      <c r="F476" s="67"/>
    </row>
    <row r="477" spans="1:8" ht="16.5" thickBot="1" x14ac:dyDescent="0.3">
      <c r="A477" s="296"/>
      <c r="B477" s="297"/>
      <c r="C477" s="75"/>
      <c r="D477" s="75"/>
      <c r="E477" s="298"/>
      <c r="F477" s="298"/>
    </row>
    <row r="479" spans="1:8" ht="16.5" thickBot="1" x14ac:dyDescent="0.3">
      <c r="A479" s="307"/>
      <c r="B479" s="91"/>
      <c r="C479" s="91"/>
      <c r="D479" s="91"/>
      <c r="E479" s="308"/>
      <c r="F479" s="308"/>
    </row>
    <row r="480" spans="1:8" x14ac:dyDescent="0.25">
      <c r="A480" s="309"/>
      <c r="B480" s="310"/>
      <c r="C480" s="310"/>
      <c r="D480" s="5"/>
      <c r="E480" s="311"/>
      <c r="F480" s="312"/>
      <c r="G480" s="306"/>
      <c r="H480" s="269"/>
    </row>
    <row r="481" spans="1:14" ht="16.5" thickBot="1" x14ac:dyDescent="0.3">
      <c r="A481" s="309"/>
      <c r="B481" s="10" t="s">
        <v>56</v>
      </c>
      <c r="C481" s="10" t="s">
        <v>3</v>
      </c>
      <c r="D481" s="10" t="s">
        <v>4</v>
      </c>
      <c r="E481" s="311"/>
      <c r="F481" s="312"/>
      <c r="G481" s="306"/>
      <c r="H481" s="269"/>
    </row>
    <row r="482" spans="1:14" x14ac:dyDescent="0.25">
      <c r="A482" s="309"/>
      <c r="B482" s="313"/>
      <c r="C482" s="313"/>
      <c r="D482" s="97"/>
      <c r="E482" s="311"/>
      <c r="F482" s="312"/>
      <c r="G482" s="306"/>
      <c r="H482" s="269"/>
    </row>
    <row r="483" spans="1:14" x14ac:dyDescent="0.25">
      <c r="A483" s="314"/>
      <c r="B483" s="122" t="s">
        <v>57</v>
      </c>
      <c r="C483" s="122">
        <f>+C340</f>
        <v>138618.29930999997</v>
      </c>
      <c r="D483" s="56">
        <f>+D340</f>
        <v>100799132.28</v>
      </c>
      <c r="E483" s="315"/>
      <c r="F483" s="301"/>
      <c r="G483" s="306" t="s">
        <v>61</v>
      </c>
      <c r="H483" s="269">
        <f>'[1]Vstupni Seznam'!$M$1</f>
        <v>951693271.66000009</v>
      </c>
      <c r="J483" s="45" t="s">
        <v>225</v>
      </c>
      <c r="K483" s="45">
        <v>46797196</v>
      </c>
      <c r="L483" s="45" t="s">
        <v>225</v>
      </c>
      <c r="N483" s="45">
        <v>10500</v>
      </c>
    </row>
    <row r="484" spans="1:14" x14ac:dyDescent="0.25">
      <c r="A484" s="314"/>
      <c r="B484" s="122" t="s">
        <v>58</v>
      </c>
      <c r="C484" s="122">
        <f>+C476</f>
        <v>59349.349459999998</v>
      </c>
      <c r="D484" s="122">
        <f>+D476</f>
        <v>102455718.30000001</v>
      </c>
      <c r="E484" s="316"/>
      <c r="F484" s="308"/>
      <c r="G484" s="306" t="s">
        <v>62</v>
      </c>
      <c r="H484" s="269">
        <f>27388800*6</f>
        <v>164332800</v>
      </c>
      <c r="K484" s="45">
        <v>505566</v>
      </c>
      <c r="L484" s="45" t="s">
        <v>226</v>
      </c>
    </row>
    <row r="485" spans="1:14" x14ac:dyDescent="0.25">
      <c r="A485" s="314"/>
      <c r="B485" s="122"/>
      <c r="C485" s="122"/>
      <c r="D485" s="56"/>
      <c r="E485" s="316"/>
      <c r="F485" s="308"/>
      <c r="G485" s="306" t="s">
        <v>64</v>
      </c>
      <c r="H485" s="269">
        <f>+D40+D41+D42+D43+D46+D45+D47+D48+D49+D50+D51+D52+D53+D54+D55+D56+D57+D58+D59+D375+D44</f>
        <v>6784073</v>
      </c>
      <c r="K485" s="45">
        <v>10500</v>
      </c>
      <c r="L485" s="45">
        <v>29004</v>
      </c>
    </row>
    <row r="486" spans="1:14" x14ac:dyDescent="0.25">
      <c r="A486" s="314"/>
      <c r="B486" s="317" t="s">
        <v>59</v>
      </c>
      <c r="C486" s="317">
        <f>+C483+C484</f>
        <v>197967.64876999997</v>
      </c>
      <c r="D486" s="27">
        <f>SUM(D483:D484)</f>
        <v>203254850.58000001</v>
      </c>
      <c r="E486" s="316"/>
      <c r="F486" s="308"/>
      <c r="G486" s="45" t="s">
        <v>63</v>
      </c>
      <c r="H486" s="269">
        <f>H483-H484-H481-H482+H485</f>
        <v>794144544.66000009</v>
      </c>
      <c r="K486" s="45">
        <v>84285</v>
      </c>
      <c r="L486" s="45">
        <v>29008</v>
      </c>
    </row>
    <row r="487" spans="1:14" ht="16.5" thickBot="1" x14ac:dyDescent="0.3">
      <c r="A487" s="314"/>
      <c r="B487" s="318"/>
      <c r="C487" s="318"/>
      <c r="D487" s="75"/>
      <c r="E487" s="315"/>
      <c r="F487" s="301"/>
      <c r="G487" s="45"/>
      <c r="H487" s="269">
        <f>+H486-D486+J490</f>
        <v>590889694.08000004</v>
      </c>
      <c r="I487" s="319" t="s">
        <v>101</v>
      </c>
      <c r="K487" s="45">
        <v>198000</v>
      </c>
      <c r="L487" s="45">
        <v>539</v>
      </c>
      <c r="N487" s="45">
        <v>100000</v>
      </c>
    </row>
    <row r="488" spans="1:14" x14ac:dyDescent="0.25">
      <c r="E488" s="269"/>
      <c r="F488" s="45"/>
      <c r="H488" s="269">
        <v>0</v>
      </c>
      <c r="I488" s="320"/>
      <c r="K488" s="45">
        <f>+K483+K484+K485+K486+K487</f>
        <v>47595547</v>
      </c>
      <c r="N488" s="45">
        <v>84285</v>
      </c>
    </row>
    <row r="489" spans="1:14" ht="16.5" thickBot="1" x14ac:dyDescent="0.3">
      <c r="B489" s="321"/>
      <c r="C489" s="154"/>
      <c r="D489" s="154"/>
      <c r="E489" s="305"/>
      <c r="F489" s="305"/>
      <c r="H489" s="269">
        <f>+H487-H488</f>
        <v>590889694.08000004</v>
      </c>
      <c r="I489" s="45" t="s">
        <v>227</v>
      </c>
    </row>
    <row r="490" spans="1:14" ht="16.5" thickBot="1" x14ac:dyDescent="0.3">
      <c r="B490" s="322" t="s">
        <v>79</v>
      </c>
      <c r="C490" s="137" t="s">
        <v>80</v>
      </c>
      <c r="D490" s="137" t="s">
        <v>80</v>
      </c>
      <c r="E490" s="137" t="s">
        <v>82</v>
      </c>
      <c r="F490" s="137" t="s">
        <v>81</v>
      </c>
      <c r="G490" s="323" t="s">
        <v>83</v>
      </c>
      <c r="H490" s="324" t="s">
        <v>84</v>
      </c>
      <c r="K490" s="45" t="s">
        <v>160</v>
      </c>
    </row>
    <row r="491" spans="1:14" s="329" customFormat="1" x14ac:dyDescent="0.25">
      <c r="A491" s="325" t="e">
        <f>IF(#REF!=#REF!,1,IF(#REF!&gt;#REF!,0,-1))</f>
        <v>#REF!</v>
      </c>
      <c r="B491" s="326">
        <v>4111</v>
      </c>
      <c r="C491" s="327"/>
      <c r="D491" s="155">
        <f>SUMIF(C509:C537,B491,G509:G537)</f>
        <v>0</v>
      </c>
      <c r="E491" s="328">
        <f t="shared" ref="E491:E502" si="0">SUMIF($F$7:$F$539,B491,$C$7:$C$539)</f>
        <v>0</v>
      </c>
      <c r="F491" s="328">
        <f t="shared" ref="F491:F502" si="1">SUMIF($F$7:$F$489,B491,$D$7:$D$489)</f>
        <v>0</v>
      </c>
      <c r="G491" s="328">
        <f>C491-E491*1000</f>
        <v>0</v>
      </c>
      <c r="H491" s="328">
        <f>+D491-F491</f>
        <v>0</v>
      </c>
      <c r="L491" s="45"/>
      <c r="N491" s="329">
        <v>98000</v>
      </c>
    </row>
    <row r="492" spans="1:14" x14ac:dyDescent="0.25">
      <c r="B492" s="330">
        <v>4113</v>
      </c>
      <c r="C492" s="156">
        <v>5940050.9699999997</v>
      </c>
      <c r="D492" s="155">
        <v>1962117.21</v>
      </c>
      <c r="E492" s="331">
        <f t="shared" si="0"/>
        <v>5940.0509700000011</v>
      </c>
      <c r="F492" s="328">
        <f t="shared" si="1"/>
        <v>1962117.21</v>
      </c>
      <c r="G492" s="328">
        <f t="shared" ref="G492:G502" si="2">C492-E492*1000</f>
        <v>0</v>
      </c>
      <c r="H492" s="328">
        <f t="shared" ref="H492:H502" si="3">+D492-F492</f>
        <v>0</v>
      </c>
      <c r="I492" s="329"/>
      <c r="J492" s="45">
        <f>+K488-H487</f>
        <v>-543294147.08000004</v>
      </c>
      <c r="N492" s="45">
        <v>27388800</v>
      </c>
    </row>
    <row r="493" spans="1:14" x14ac:dyDescent="0.25">
      <c r="B493" s="330">
        <v>4116</v>
      </c>
      <c r="C493" s="156">
        <v>32581021.170000002</v>
      </c>
      <c r="D493" s="155">
        <v>32215434.18</v>
      </c>
      <c r="E493" s="331">
        <f t="shared" si="0"/>
        <v>32581.018169999999</v>
      </c>
      <c r="F493" s="328">
        <f t="shared" si="1"/>
        <v>32215434.18</v>
      </c>
      <c r="G493" s="328">
        <f>C493-E493*1000</f>
        <v>3.0000000037252903</v>
      </c>
      <c r="H493" s="328">
        <f t="shared" si="3"/>
        <v>0</v>
      </c>
      <c r="I493" s="329"/>
      <c r="N493" s="45">
        <v>46797196</v>
      </c>
    </row>
    <row r="494" spans="1:14" x14ac:dyDescent="0.25">
      <c r="B494" s="330">
        <v>4119</v>
      </c>
      <c r="C494" s="156">
        <v>0</v>
      </c>
      <c r="D494" s="155">
        <f>SUMIF(C514:C540,B494,G512:G540)</f>
        <v>0</v>
      </c>
      <c r="E494" s="331">
        <f t="shared" si="0"/>
        <v>0</v>
      </c>
      <c r="F494" s="328">
        <f t="shared" si="1"/>
        <v>0</v>
      </c>
      <c r="G494" s="328">
        <f t="shared" si="2"/>
        <v>0</v>
      </c>
      <c r="H494" s="328">
        <f t="shared" si="3"/>
        <v>0</v>
      </c>
      <c r="I494" s="329"/>
      <c r="N494" s="45">
        <v>505566</v>
      </c>
    </row>
    <row r="495" spans="1:14" x14ac:dyDescent="0.25">
      <c r="B495" s="330">
        <v>4122</v>
      </c>
      <c r="C495" s="156">
        <v>98530433.200000003</v>
      </c>
      <c r="D495" s="155">
        <v>65055069.68</v>
      </c>
      <c r="E495" s="331">
        <f t="shared" si="0"/>
        <v>98530.433199999999</v>
      </c>
      <c r="F495" s="328">
        <f t="shared" si="1"/>
        <v>65055069.68</v>
      </c>
      <c r="G495" s="328">
        <f t="shared" si="2"/>
        <v>0</v>
      </c>
      <c r="H495" s="328">
        <f t="shared" si="3"/>
        <v>0</v>
      </c>
      <c r="I495" s="329"/>
    </row>
    <row r="496" spans="1:14" x14ac:dyDescent="0.25">
      <c r="B496" s="330">
        <v>4123</v>
      </c>
      <c r="C496" s="156">
        <v>984796.97</v>
      </c>
      <c r="D496" s="155">
        <v>984796.97</v>
      </c>
      <c r="E496" s="331">
        <f t="shared" si="0"/>
        <v>984.7969700000001</v>
      </c>
      <c r="F496" s="328">
        <f t="shared" si="1"/>
        <v>984796.97</v>
      </c>
      <c r="G496" s="328">
        <f t="shared" si="2"/>
        <v>0</v>
      </c>
      <c r="H496" s="328">
        <f t="shared" si="3"/>
        <v>0</v>
      </c>
      <c r="I496" s="329"/>
    </row>
    <row r="497" spans="2:9" x14ac:dyDescent="0.25">
      <c r="B497" s="330">
        <v>4151</v>
      </c>
      <c r="C497" s="156"/>
      <c r="D497" s="155">
        <f t="shared" ref="D497:D501" si="4">SUMIF(C515:C543,B497,G515:G543)</f>
        <v>0</v>
      </c>
      <c r="E497" s="331">
        <f t="shared" si="0"/>
        <v>0</v>
      </c>
      <c r="F497" s="328">
        <f t="shared" si="1"/>
        <v>0</v>
      </c>
      <c r="G497" s="328">
        <f t="shared" si="2"/>
        <v>0</v>
      </c>
      <c r="H497" s="328">
        <f t="shared" si="3"/>
        <v>0</v>
      </c>
      <c r="I497" s="329"/>
    </row>
    <row r="498" spans="2:9" x14ac:dyDescent="0.25">
      <c r="B498" s="330">
        <v>4152</v>
      </c>
      <c r="C498" s="156">
        <v>582000</v>
      </c>
      <c r="D498" s="155">
        <v>581714.24</v>
      </c>
      <c r="E498" s="331">
        <f t="shared" si="0"/>
        <v>582</v>
      </c>
      <c r="F498" s="328">
        <f t="shared" si="1"/>
        <v>581714.24</v>
      </c>
      <c r="G498" s="328">
        <f t="shared" si="2"/>
        <v>0</v>
      </c>
      <c r="H498" s="328">
        <f t="shared" si="3"/>
        <v>0</v>
      </c>
      <c r="I498" s="329"/>
    </row>
    <row r="499" spans="2:9" x14ac:dyDescent="0.25">
      <c r="B499" s="330">
        <v>4213</v>
      </c>
      <c r="C499" s="156">
        <v>581682.55099999998</v>
      </c>
      <c r="D499" s="155">
        <v>656317.54</v>
      </c>
      <c r="E499" s="331">
        <f t="shared" si="0"/>
        <v>581.68250999999998</v>
      </c>
      <c r="F499" s="328">
        <f t="shared" si="1"/>
        <v>656317.54</v>
      </c>
      <c r="G499" s="328">
        <f t="shared" si="2"/>
        <v>4.0999999968335032E-2</v>
      </c>
      <c r="H499" s="328">
        <f t="shared" si="3"/>
        <v>0</v>
      </c>
      <c r="I499" s="329"/>
    </row>
    <row r="500" spans="2:9" x14ac:dyDescent="0.25">
      <c r="B500" s="330">
        <v>4216</v>
      </c>
      <c r="C500" s="156">
        <v>6438862.6500000004</v>
      </c>
      <c r="D500" s="155">
        <v>30485503.73</v>
      </c>
      <c r="E500" s="331">
        <f t="shared" si="0"/>
        <v>6438.8626500000009</v>
      </c>
      <c r="F500" s="328">
        <f t="shared" si="1"/>
        <v>30485503.73</v>
      </c>
      <c r="G500" s="328">
        <f t="shared" si="2"/>
        <v>0</v>
      </c>
      <c r="H500" s="328">
        <f t="shared" si="3"/>
        <v>0</v>
      </c>
      <c r="I500" s="329"/>
    </row>
    <row r="501" spans="2:9" x14ac:dyDescent="0.25">
      <c r="B501" s="330">
        <v>4222</v>
      </c>
      <c r="C501" s="156">
        <v>0</v>
      </c>
      <c r="D501" s="155">
        <f t="shared" si="4"/>
        <v>0</v>
      </c>
      <c r="E501" s="331">
        <f t="shared" si="0"/>
        <v>0</v>
      </c>
      <c r="F501" s="328">
        <f t="shared" si="1"/>
        <v>0</v>
      </c>
      <c r="G501" s="328">
        <f t="shared" si="2"/>
        <v>0</v>
      </c>
      <c r="H501" s="328">
        <f t="shared" si="3"/>
        <v>0</v>
      </c>
      <c r="I501" s="329"/>
    </row>
    <row r="502" spans="2:9" x14ac:dyDescent="0.25">
      <c r="B502" s="330">
        <v>4223</v>
      </c>
      <c r="C502" s="156">
        <v>52328804.299999997</v>
      </c>
      <c r="D502" s="155">
        <v>71313897.030000001</v>
      </c>
      <c r="E502" s="331">
        <f t="shared" si="0"/>
        <v>52328.804300000003</v>
      </c>
      <c r="F502" s="328">
        <f t="shared" si="1"/>
        <v>71313897.030000001</v>
      </c>
      <c r="G502" s="328">
        <f t="shared" si="2"/>
        <v>0</v>
      </c>
      <c r="H502" s="328">
        <f t="shared" si="3"/>
        <v>0</v>
      </c>
      <c r="I502" s="329"/>
    </row>
    <row r="503" spans="2:9" x14ac:dyDescent="0.25">
      <c r="B503" s="332"/>
      <c r="C503" s="156">
        <f t="shared" ref="C503:H503" si="5">+SUM(C491:C502)</f>
        <v>197967651.81099999</v>
      </c>
      <c r="D503" s="156">
        <f t="shared" si="5"/>
        <v>203254850.57999998</v>
      </c>
      <c r="E503" s="156">
        <f t="shared" si="5"/>
        <v>197967.64877000003</v>
      </c>
      <c r="F503" s="156">
        <f t="shared" si="5"/>
        <v>203254850.57999998</v>
      </c>
      <c r="G503" s="328">
        <f t="shared" si="5"/>
        <v>3.0410000036936253</v>
      </c>
      <c r="H503" s="328">
        <f t="shared" si="5"/>
        <v>0</v>
      </c>
      <c r="I503" s="329"/>
    </row>
    <row r="504" spans="2:9" ht="16.5" thickBot="1" x14ac:dyDescent="0.3">
      <c r="B504" s="333"/>
      <c r="C504" s="157"/>
      <c r="D504" s="157"/>
      <c r="E504" s="334"/>
      <c r="F504" s="334"/>
      <c r="G504" s="335"/>
      <c r="H504" s="336"/>
      <c r="I504" s="329"/>
    </row>
    <row r="508" spans="2:9" x14ac:dyDescent="0.25">
      <c r="B508" s="337"/>
      <c r="C508" s="337"/>
      <c r="D508" s="344"/>
      <c r="E508" s="338"/>
      <c r="F508" s="338"/>
      <c r="G508" s="338"/>
      <c r="H508" s="337"/>
    </row>
    <row r="509" spans="2:9" x14ac:dyDescent="0.25">
      <c r="B509" s="337"/>
      <c r="C509" s="337"/>
      <c r="D509" s="338"/>
      <c r="E509" s="338"/>
      <c r="F509" s="338"/>
      <c r="G509" s="338"/>
      <c r="H509" s="337"/>
    </row>
    <row r="510" spans="2:9" x14ac:dyDescent="0.25">
      <c r="B510" s="337"/>
      <c r="C510" s="337"/>
      <c r="D510" s="337"/>
      <c r="E510" s="338"/>
      <c r="F510" s="338"/>
      <c r="G510" s="338"/>
      <c r="H510" s="337"/>
    </row>
    <row r="511" spans="2:9" x14ac:dyDescent="0.25">
      <c r="B511" s="337"/>
      <c r="C511" s="337"/>
      <c r="D511" s="338"/>
      <c r="E511" s="338"/>
      <c r="F511" s="338"/>
      <c r="G511" s="338"/>
      <c r="H511" s="337"/>
    </row>
    <row r="512" spans="2:9" x14ac:dyDescent="0.25">
      <c r="B512" s="337"/>
      <c r="D512" s="337"/>
      <c r="E512" s="338"/>
      <c r="F512" s="338"/>
      <c r="G512" s="337"/>
      <c r="H512" s="337"/>
    </row>
    <row r="513" spans="2:8" x14ac:dyDescent="0.25">
      <c r="B513" s="337"/>
      <c r="D513" s="337"/>
      <c r="E513" s="338"/>
      <c r="F513" s="338"/>
      <c r="G513" s="338"/>
    </row>
    <row r="514" spans="2:8" x14ac:dyDescent="0.25">
      <c r="B514" s="337"/>
      <c r="C514" s="337"/>
      <c r="D514" s="337"/>
      <c r="E514" s="338"/>
      <c r="F514" s="338"/>
      <c r="G514" s="338"/>
    </row>
    <row r="515" spans="2:8" x14ac:dyDescent="0.25">
      <c r="B515" s="337"/>
      <c r="C515" s="337"/>
      <c r="D515" s="337"/>
      <c r="E515" s="338"/>
      <c r="F515" s="338"/>
      <c r="G515" s="338"/>
      <c r="H515" s="337"/>
    </row>
    <row r="516" spans="2:8" x14ac:dyDescent="0.25">
      <c r="B516" s="337"/>
      <c r="C516" s="337"/>
      <c r="D516" s="337"/>
      <c r="E516" s="338"/>
      <c r="F516" s="338"/>
      <c r="G516" s="337"/>
      <c r="H516" s="337"/>
    </row>
    <row r="517" spans="2:8" x14ac:dyDescent="0.25">
      <c r="B517" s="337"/>
      <c r="C517" s="337"/>
      <c r="D517" s="337"/>
      <c r="E517" s="338"/>
      <c r="F517" s="338"/>
      <c r="G517" s="338"/>
      <c r="H517" s="337"/>
    </row>
    <row r="518" spans="2:8" x14ac:dyDescent="0.25">
      <c r="B518" s="337"/>
      <c r="C518" s="337"/>
      <c r="D518" s="337"/>
      <c r="E518" s="338"/>
      <c r="F518" s="338"/>
      <c r="G518" s="338"/>
      <c r="H518" s="337"/>
    </row>
    <row r="519" spans="2:8" x14ac:dyDescent="0.25">
      <c r="B519" s="337"/>
      <c r="C519" s="337"/>
      <c r="D519" s="337"/>
      <c r="E519" s="338"/>
      <c r="F519" s="338"/>
      <c r="G519" s="338"/>
      <c r="H519" s="337"/>
    </row>
    <row r="520" spans="2:8" x14ac:dyDescent="0.25">
      <c r="B520" s="337"/>
      <c r="C520" s="337"/>
      <c r="D520" s="337"/>
      <c r="E520" s="338"/>
      <c r="F520" s="338"/>
      <c r="G520" s="338"/>
      <c r="H520" s="337"/>
    </row>
    <row r="521" spans="2:8" x14ac:dyDescent="0.25">
      <c r="B521" s="337"/>
      <c r="C521" s="337"/>
      <c r="D521" s="337"/>
      <c r="E521" s="338"/>
      <c r="F521" s="338"/>
      <c r="G521" s="338"/>
      <c r="H521" s="337"/>
    </row>
    <row r="522" spans="2:8" x14ac:dyDescent="0.25">
      <c r="B522" s="337"/>
      <c r="C522" s="337"/>
      <c r="D522" s="337"/>
      <c r="E522" s="337"/>
      <c r="F522" s="337"/>
      <c r="G522" s="338"/>
      <c r="H522" s="337"/>
    </row>
    <row r="523" spans="2:8" x14ac:dyDescent="0.25">
      <c r="B523" s="337"/>
      <c r="C523" s="337"/>
      <c r="D523" s="337"/>
      <c r="E523" s="338"/>
      <c r="F523" s="338"/>
      <c r="G523" s="338"/>
      <c r="H523" s="337"/>
    </row>
    <row r="524" spans="2:8" x14ac:dyDescent="0.25">
      <c r="B524" s="337"/>
      <c r="C524" s="337"/>
      <c r="D524" s="337"/>
      <c r="E524" s="338"/>
      <c r="F524" s="338"/>
      <c r="G524" s="338"/>
      <c r="H524" s="337"/>
    </row>
    <row r="525" spans="2:8" x14ac:dyDescent="0.25">
      <c r="B525" s="337"/>
      <c r="C525" s="337"/>
      <c r="D525" s="337"/>
      <c r="E525" s="338"/>
      <c r="F525" s="338"/>
      <c r="G525" s="338"/>
      <c r="H525" s="337"/>
    </row>
    <row r="526" spans="2:8" x14ac:dyDescent="0.25">
      <c r="B526" s="337"/>
      <c r="C526" s="337"/>
      <c r="D526" s="337"/>
      <c r="E526" s="337"/>
      <c r="F526" s="337"/>
      <c r="G526" s="337"/>
      <c r="H526" s="337"/>
    </row>
    <row r="527" spans="2:8" x14ac:dyDescent="0.25">
      <c r="B527" s="337"/>
      <c r="C527" s="337"/>
      <c r="D527" s="337"/>
      <c r="E527" s="338"/>
      <c r="F527" s="338"/>
      <c r="G527" s="337"/>
      <c r="H527" s="337"/>
    </row>
    <row r="528" spans="2:8" x14ac:dyDescent="0.25">
      <c r="B528" s="337"/>
      <c r="C528" s="337"/>
      <c r="D528" s="337"/>
      <c r="E528" s="338"/>
      <c r="F528" s="338"/>
      <c r="G528" s="338"/>
      <c r="H528" s="337"/>
    </row>
    <row r="529" spans="2:8" x14ac:dyDescent="0.25">
      <c r="B529" s="337"/>
      <c r="C529" s="337"/>
      <c r="D529" s="337"/>
      <c r="E529" s="338"/>
      <c r="F529" s="338"/>
      <c r="G529" s="338"/>
      <c r="H529" s="337"/>
    </row>
    <row r="530" spans="2:8" x14ac:dyDescent="0.25">
      <c r="B530" s="337"/>
      <c r="C530" s="337"/>
      <c r="D530" s="337"/>
      <c r="E530" s="337"/>
      <c r="F530" s="337"/>
      <c r="G530" s="338"/>
      <c r="H530" s="337"/>
    </row>
    <row r="531" spans="2:8" x14ac:dyDescent="0.25">
      <c r="B531" s="337"/>
      <c r="C531" s="337"/>
      <c r="D531" s="337"/>
      <c r="E531" s="337"/>
      <c r="F531" s="337"/>
      <c r="G531" s="338"/>
      <c r="H531" s="337"/>
    </row>
    <row r="532" spans="2:8" x14ac:dyDescent="0.25">
      <c r="B532" s="337"/>
      <c r="C532" s="337"/>
      <c r="D532" s="337"/>
      <c r="E532" s="338"/>
      <c r="F532" s="338"/>
      <c r="G532" s="338"/>
      <c r="H532" s="337"/>
    </row>
    <row r="533" spans="2:8" x14ac:dyDescent="0.25">
      <c r="B533" s="337"/>
      <c r="C533" s="337"/>
      <c r="D533" s="337"/>
      <c r="E533" s="337"/>
      <c r="F533" s="337"/>
      <c r="G533" s="338"/>
      <c r="H533" s="337"/>
    </row>
    <row r="534" spans="2:8" x14ac:dyDescent="0.25">
      <c r="B534" s="337"/>
      <c r="C534" s="337"/>
      <c r="D534" s="337"/>
      <c r="E534" s="337"/>
      <c r="F534" s="337"/>
      <c r="G534" s="337"/>
      <c r="H534" s="337"/>
    </row>
    <row r="535" spans="2:8" x14ac:dyDescent="0.25">
      <c r="B535" s="337"/>
      <c r="C535" s="337"/>
      <c r="D535" s="337"/>
      <c r="E535" s="337"/>
      <c r="F535" s="337"/>
      <c r="G535" s="337"/>
      <c r="H535" s="337"/>
    </row>
    <row r="536" spans="2:8" x14ac:dyDescent="0.25">
      <c r="B536" s="337"/>
      <c r="C536" s="337"/>
      <c r="D536" s="337"/>
      <c r="E536" s="337"/>
      <c r="F536" s="337"/>
      <c r="G536" s="338"/>
      <c r="H536" s="337"/>
    </row>
    <row r="537" spans="2:8" x14ac:dyDescent="0.25">
      <c r="B537" s="337"/>
      <c r="C537" s="337"/>
      <c r="D537" s="337"/>
      <c r="E537" s="337"/>
      <c r="F537" s="337"/>
      <c r="G537" s="337"/>
      <c r="H537" s="337"/>
    </row>
    <row r="538" spans="2:8" x14ac:dyDescent="0.25">
      <c r="B538" s="337"/>
      <c r="C538" s="337"/>
      <c r="D538" s="337"/>
      <c r="E538" s="337"/>
      <c r="F538" s="337"/>
      <c r="G538" s="337"/>
      <c r="H538" s="337"/>
    </row>
    <row r="575" spans="1:8" x14ac:dyDescent="0.25">
      <c r="A575" s="339"/>
      <c r="B575" s="340"/>
      <c r="C575" s="340"/>
      <c r="D575" s="341"/>
      <c r="E575" s="342"/>
      <c r="F575" s="343"/>
      <c r="G575" s="341"/>
      <c r="H575" s="194"/>
    </row>
    <row r="576" spans="1:8" x14ac:dyDescent="0.25">
      <c r="A576" s="339"/>
      <c r="B576" s="340"/>
      <c r="C576" s="340"/>
      <c r="D576" s="341"/>
      <c r="E576" s="342"/>
      <c r="F576" s="343"/>
      <c r="G576" s="341"/>
      <c r="H576" s="194"/>
    </row>
    <row r="577" spans="1:8" x14ac:dyDescent="0.25">
      <c r="A577" s="339"/>
      <c r="B577" s="340"/>
      <c r="C577" s="340"/>
      <c r="D577" s="341"/>
      <c r="E577" s="342"/>
      <c r="F577" s="343"/>
      <c r="G577" s="341"/>
      <c r="H577" s="194"/>
    </row>
    <row r="578" spans="1:8" x14ac:dyDescent="0.25">
      <c r="A578" s="339"/>
      <c r="B578" s="340"/>
      <c r="C578" s="340"/>
      <c r="D578" s="341"/>
      <c r="E578" s="342"/>
      <c r="F578" s="343"/>
      <c r="G578" s="341"/>
      <c r="H578" s="194"/>
    </row>
    <row r="579" spans="1:8" x14ac:dyDescent="0.25">
      <c r="A579" s="339"/>
      <c r="B579" s="340"/>
      <c r="C579" s="340"/>
      <c r="D579" s="341"/>
      <c r="E579" s="342"/>
      <c r="F579" s="343"/>
      <c r="G579" s="341"/>
      <c r="H579" s="194"/>
    </row>
    <row r="580" spans="1:8" x14ac:dyDescent="0.25">
      <c r="A580" s="339"/>
      <c r="B580" s="340"/>
      <c r="C580" s="340"/>
      <c r="D580" s="341"/>
      <c r="E580" s="342"/>
      <c r="F580" s="343"/>
      <c r="G580" s="341"/>
      <c r="H580" s="194"/>
    </row>
    <row r="581" spans="1:8" x14ac:dyDescent="0.25">
      <c r="A581" s="339"/>
      <c r="B581" s="340"/>
      <c r="C581" s="340"/>
      <c r="D581" s="341"/>
      <c r="E581" s="342"/>
      <c r="F581" s="343"/>
      <c r="G581" s="341"/>
      <c r="H581" s="194"/>
    </row>
    <row r="582" spans="1:8" x14ac:dyDescent="0.25">
      <c r="A582" s="339"/>
      <c r="B582" s="340"/>
      <c r="C582" s="340"/>
      <c r="D582" s="341"/>
      <c r="E582" s="342"/>
      <c r="F582" s="343"/>
      <c r="G582" s="341"/>
      <c r="H582" s="194"/>
    </row>
    <row r="583" spans="1:8" x14ac:dyDescent="0.25">
      <c r="A583" s="339"/>
      <c r="B583" s="340"/>
      <c r="C583" s="340"/>
      <c r="D583" s="341"/>
      <c r="E583" s="342"/>
      <c r="F583" s="343"/>
      <c r="G583" s="341"/>
      <c r="H583" s="194"/>
    </row>
    <row r="584" spans="1:8" x14ac:dyDescent="0.25">
      <c r="A584" s="339"/>
      <c r="B584" s="340"/>
      <c r="C584" s="340"/>
      <c r="D584" s="341"/>
      <c r="E584" s="342"/>
      <c r="F584" s="343"/>
      <c r="G584" s="341"/>
      <c r="H584" s="194"/>
    </row>
    <row r="585" spans="1:8" x14ac:dyDescent="0.25">
      <c r="A585" s="339"/>
      <c r="B585" s="340"/>
      <c r="C585" s="340"/>
      <c r="D585" s="341"/>
      <c r="E585" s="342"/>
      <c r="F585" s="343"/>
      <c r="G585" s="341"/>
      <c r="H585" s="194"/>
    </row>
    <row r="586" spans="1:8" x14ac:dyDescent="0.25">
      <c r="A586" s="339"/>
      <c r="B586" s="340"/>
      <c r="C586" s="340"/>
      <c r="D586" s="341"/>
      <c r="E586" s="342"/>
      <c r="F586" s="343"/>
      <c r="G586" s="341"/>
      <c r="H586" s="194"/>
    </row>
    <row r="587" spans="1:8" x14ac:dyDescent="0.25">
      <c r="A587" s="339"/>
      <c r="B587" s="340"/>
      <c r="C587" s="340"/>
      <c r="D587" s="341"/>
      <c r="E587" s="342"/>
      <c r="F587" s="343"/>
      <c r="G587" s="341"/>
      <c r="H587" s="194"/>
    </row>
    <row r="588" spans="1:8" x14ac:dyDescent="0.25">
      <c r="A588" s="339"/>
      <c r="B588" s="340"/>
      <c r="C588" s="340"/>
      <c r="D588" s="341"/>
      <c r="E588" s="342"/>
      <c r="F588" s="343"/>
      <c r="G588" s="341"/>
      <c r="H588" s="194"/>
    </row>
    <row r="589" spans="1:8" x14ac:dyDescent="0.25">
      <c r="A589" s="339"/>
      <c r="B589" s="340"/>
      <c r="C589" s="340"/>
      <c r="D589" s="341"/>
      <c r="E589" s="342"/>
      <c r="F589" s="343"/>
      <c r="G589" s="341"/>
      <c r="H589" s="194"/>
    </row>
    <row r="590" spans="1:8" x14ac:dyDescent="0.25">
      <c r="A590" s="339"/>
      <c r="B590" s="340"/>
      <c r="C590" s="340"/>
      <c r="D590" s="341"/>
      <c r="E590" s="342"/>
      <c r="F590" s="343"/>
      <c r="G590" s="341"/>
      <c r="H590" s="194"/>
    </row>
    <row r="591" spans="1:8" x14ac:dyDescent="0.25">
      <c r="A591" s="339"/>
      <c r="B591" s="340"/>
      <c r="C591" s="340"/>
      <c r="D591" s="341"/>
      <c r="E591" s="342"/>
      <c r="F591" s="343"/>
      <c r="G591" s="341"/>
      <c r="H591" s="194"/>
    </row>
    <row r="592" spans="1:8" x14ac:dyDescent="0.25">
      <c r="A592" s="339"/>
      <c r="B592" s="340"/>
      <c r="C592" s="340"/>
      <c r="D592" s="341"/>
      <c r="E592" s="342"/>
      <c r="F592" s="343"/>
      <c r="G592" s="341"/>
      <c r="H592" s="194"/>
    </row>
    <row r="593" spans="1:8" x14ac:dyDescent="0.25">
      <c r="A593" s="339"/>
      <c r="B593" s="340"/>
      <c r="C593" s="340"/>
      <c r="D593" s="341"/>
      <c r="E593" s="342"/>
      <c r="F593" s="343"/>
      <c r="G593" s="341"/>
      <c r="H593" s="194"/>
    </row>
    <row r="594" spans="1:8" x14ac:dyDescent="0.25">
      <c r="A594" s="339"/>
      <c r="B594" s="340"/>
      <c r="C594" s="340"/>
      <c r="D594" s="341"/>
      <c r="E594" s="342"/>
      <c r="F594" s="343"/>
      <c r="G594" s="341"/>
      <c r="H594" s="194"/>
    </row>
    <row r="595" spans="1:8" x14ac:dyDescent="0.25">
      <c r="A595" s="339"/>
      <c r="B595" s="340"/>
      <c r="C595" s="340"/>
      <c r="D595" s="341"/>
      <c r="E595" s="342"/>
      <c r="F595" s="343"/>
      <c r="G595" s="341"/>
      <c r="H595" s="194"/>
    </row>
    <row r="596" spans="1:8" x14ac:dyDescent="0.25">
      <c r="A596" s="339"/>
      <c r="B596" s="340"/>
      <c r="C596" s="340"/>
      <c r="D596" s="341"/>
      <c r="E596" s="342"/>
      <c r="F596" s="343"/>
      <c r="G596" s="341"/>
      <c r="H596" s="194"/>
    </row>
    <row r="597" spans="1:8" x14ac:dyDescent="0.25">
      <c r="A597" s="339"/>
      <c r="B597" s="340"/>
      <c r="C597" s="340"/>
      <c r="D597" s="341"/>
      <c r="E597" s="342"/>
      <c r="F597" s="343"/>
      <c r="G597" s="341"/>
      <c r="H597" s="194"/>
    </row>
    <row r="598" spans="1:8" x14ac:dyDescent="0.25">
      <c r="A598" s="339"/>
      <c r="B598" s="340"/>
      <c r="C598" s="340"/>
      <c r="D598" s="341"/>
      <c r="E598" s="342"/>
      <c r="F598" s="343"/>
      <c r="G598" s="341"/>
      <c r="H598" s="194"/>
    </row>
    <row r="599" spans="1:8" x14ac:dyDescent="0.25">
      <c r="A599" s="339"/>
      <c r="B599" s="340"/>
      <c r="C599" s="340"/>
      <c r="D599" s="341"/>
      <c r="E599" s="342"/>
      <c r="F599" s="343"/>
      <c r="G599" s="341"/>
      <c r="H599" s="194"/>
    </row>
    <row r="600" spans="1:8" x14ac:dyDescent="0.25">
      <c r="A600" s="339"/>
      <c r="B600" s="340"/>
      <c r="C600" s="340"/>
      <c r="D600" s="341"/>
      <c r="E600" s="342"/>
      <c r="F600" s="343"/>
      <c r="G600" s="341"/>
      <c r="H600" s="194"/>
    </row>
    <row r="601" spans="1:8" x14ac:dyDescent="0.25">
      <c r="A601" s="339"/>
      <c r="B601" s="340"/>
      <c r="C601" s="340"/>
      <c r="D601" s="341"/>
      <c r="E601" s="342"/>
      <c r="F601" s="343"/>
      <c r="G601" s="341"/>
      <c r="H601" s="194"/>
    </row>
    <row r="602" spans="1:8" x14ac:dyDescent="0.25">
      <c r="A602" s="339"/>
      <c r="B602" s="340"/>
      <c r="C602" s="340"/>
      <c r="D602" s="341"/>
      <c r="E602" s="342"/>
      <c r="F602" s="343"/>
      <c r="G602" s="341"/>
      <c r="H602" s="194"/>
    </row>
    <row r="603" spans="1:8" x14ac:dyDescent="0.25">
      <c r="A603" s="339"/>
      <c r="B603" s="340"/>
      <c r="C603" s="340"/>
      <c r="D603" s="341"/>
      <c r="E603" s="342"/>
      <c r="F603" s="343"/>
      <c r="G603" s="341"/>
      <c r="H603" s="194"/>
    </row>
    <row r="604" spans="1:8" x14ac:dyDescent="0.25">
      <c r="A604" s="339"/>
      <c r="B604" s="340"/>
      <c r="C604" s="340"/>
      <c r="D604" s="341"/>
      <c r="E604" s="342"/>
      <c r="F604" s="343"/>
      <c r="G604" s="341"/>
      <c r="H604" s="194"/>
    </row>
    <row r="605" spans="1:8" x14ac:dyDescent="0.25">
      <c r="A605" s="339"/>
      <c r="B605" s="340"/>
      <c r="C605" s="340"/>
      <c r="D605" s="341"/>
      <c r="E605" s="342"/>
      <c r="F605" s="343"/>
      <c r="G605" s="341"/>
      <c r="H605" s="194"/>
    </row>
    <row r="606" spans="1:8" x14ac:dyDescent="0.25">
      <c r="A606" s="339"/>
      <c r="B606" s="340"/>
      <c r="C606" s="340"/>
      <c r="D606" s="341"/>
      <c r="E606" s="342"/>
      <c r="F606" s="343"/>
      <c r="G606" s="341"/>
      <c r="H606" s="194"/>
    </row>
    <row r="607" spans="1:8" x14ac:dyDescent="0.25">
      <c r="A607" s="339"/>
      <c r="B607" s="340"/>
      <c r="C607" s="340"/>
      <c r="D607" s="341"/>
      <c r="E607" s="342"/>
      <c r="F607" s="343"/>
      <c r="G607" s="341"/>
      <c r="H607" s="194"/>
    </row>
    <row r="608" spans="1:8" x14ac:dyDescent="0.25">
      <c r="A608" s="339"/>
      <c r="B608" s="340"/>
      <c r="C608" s="340"/>
      <c r="D608" s="341"/>
      <c r="E608" s="342"/>
      <c r="F608" s="343"/>
      <c r="G608" s="341"/>
      <c r="H608" s="194"/>
    </row>
    <row r="609" spans="1:8" x14ac:dyDescent="0.25">
      <c r="A609" s="339"/>
      <c r="B609" s="340"/>
      <c r="C609" s="340"/>
      <c r="D609" s="341"/>
      <c r="E609" s="342"/>
      <c r="F609" s="343"/>
      <c r="G609" s="341"/>
      <c r="H609" s="194"/>
    </row>
    <row r="610" spans="1:8" x14ac:dyDescent="0.25">
      <c r="A610" s="339"/>
      <c r="B610" s="340"/>
      <c r="C610" s="340"/>
      <c r="D610" s="341"/>
      <c r="E610" s="342"/>
      <c r="F610" s="343"/>
      <c r="G610" s="341"/>
      <c r="H610" s="194"/>
    </row>
    <row r="611" spans="1:8" x14ac:dyDescent="0.25">
      <c r="A611" s="339"/>
      <c r="B611" s="340"/>
      <c r="C611" s="340"/>
      <c r="D611" s="341"/>
      <c r="E611" s="342"/>
      <c r="F611" s="343"/>
      <c r="G611" s="341"/>
      <c r="H611" s="194"/>
    </row>
    <row r="612" spans="1:8" x14ac:dyDescent="0.25">
      <c r="A612" s="339"/>
      <c r="B612" s="340"/>
      <c r="C612" s="340"/>
      <c r="D612" s="341"/>
      <c r="E612" s="342"/>
      <c r="F612" s="343"/>
      <c r="G612" s="341"/>
      <c r="H612" s="194"/>
    </row>
    <row r="613" spans="1:8" x14ac:dyDescent="0.25">
      <c r="A613" s="339"/>
      <c r="B613" s="340"/>
      <c r="C613" s="340"/>
      <c r="D613" s="341"/>
      <c r="E613" s="342"/>
      <c r="F613" s="343"/>
      <c r="G613" s="341"/>
      <c r="H613" s="194"/>
    </row>
    <row r="614" spans="1:8" x14ac:dyDescent="0.25">
      <c r="A614" s="339"/>
      <c r="B614" s="340"/>
      <c r="C614" s="340"/>
      <c r="D614" s="341"/>
      <c r="E614" s="342"/>
      <c r="F614" s="343"/>
      <c r="G614" s="341"/>
      <c r="H614" s="194"/>
    </row>
    <row r="615" spans="1:8" x14ac:dyDescent="0.25">
      <c r="A615" s="339"/>
      <c r="B615" s="340"/>
      <c r="C615" s="340"/>
      <c r="D615" s="341"/>
      <c r="E615" s="342"/>
      <c r="F615" s="343"/>
      <c r="G615" s="341"/>
      <c r="H615" s="194"/>
    </row>
    <row r="616" spans="1:8" x14ac:dyDescent="0.25">
      <c r="A616" s="339"/>
      <c r="B616" s="340"/>
      <c r="C616" s="340"/>
      <c r="D616" s="341"/>
      <c r="E616" s="342"/>
      <c r="F616" s="343"/>
      <c r="G616" s="341"/>
      <c r="H616" s="194"/>
    </row>
    <row r="617" spans="1:8" x14ac:dyDescent="0.25">
      <c r="A617" s="339"/>
      <c r="B617" s="340"/>
      <c r="C617" s="340"/>
      <c r="D617" s="341"/>
      <c r="E617" s="342"/>
      <c r="F617" s="343"/>
      <c r="G617" s="341"/>
      <c r="H617" s="194"/>
    </row>
    <row r="618" spans="1:8" x14ac:dyDescent="0.25">
      <c r="A618" s="339"/>
      <c r="B618" s="340"/>
      <c r="C618" s="340"/>
      <c r="D618" s="341"/>
      <c r="E618" s="342"/>
      <c r="F618" s="343"/>
      <c r="G618" s="341"/>
      <c r="H618" s="194"/>
    </row>
    <row r="619" spans="1:8" x14ac:dyDescent="0.25">
      <c r="A619" s="339"/>
      <c r="B619" s="340"/>
      <c r="C619" s="340"/>
      <c r="D619" s="341"/>
      <c r="E619" s="342"/>
      <c r="F619" s="343"/>
      <c r="G619" s="341"/>
      <c r="H619" s="194"/>
    </row>
    <row r="620" spans="1:8" x14ac:dyDescent="0.25">
      <c r="A620" s="339"/>
      <c r="B620" s="340"/>
      <c r="C620" s="340"/>
      <c r="D620" s="341"/>
      <c r="E620" s="342"/>
      <c r="F620" s="343"/>
      <c r="G620" s="341"/>
      <c r="H620" s="194"/>
    </row>
    <row r="621" spans="1:8" x14ac:dyDescent="0.25">
      <c r="A621" s="339"/>
      <c r="B621" s="340"/>
      <c r="C621" s="340"/>
      <c r="D621" s="341"/>
      <c r="E621" s="342"/>
      <c r="F621" s="343"/>
      <c r="G621" s="341"/>
      <c r="H621" s="194"/>
    </row>
    <row r="622" spans="1:8" x14ac:dyDescent="0.25">
      <c r="A622" s="339"/>
      <c r="B622" s="340"/>
      <c r="C622" s="340"/>
      <c r="D622" s="341"/>
      <c r="E622" s="342"/>
      <c r="F622" s="343"/>
      <c r="G622" s="341"/>
      <c r="H622" s="194"/>
    </row>
    <row r="623" spans="1:8" x14ac:dyDescent="0.25">
      <c r="A623" s="339"/>
      <c r="B623" s="340"/>
      <c r="C623" s="340"/>
      <c r="D623" s="341"/>
      <c r="E623" s="342"/>
      <c r="F623" s="343"/>
      <c r="G623" s="341"/>
      <c r="H623" s="194"/>
    </row>
    <row r="624" spans="1:8" x14ac:dyDescent="0.25">
      <c r="A624" s="339"/>
      <c r="B624" s="340"/>
      <c r="C624" s="340"/>
      <c r="D624" s="341"/>
      <c r="E624" s="342"/>
      <c r="F624" s="343"/>
      <c r="G624" s="341"/>
      <c r="H624" s="194"/>
    </row>
    <row r="625" spans="1:8" x14ac:dyDescent="0.25">
      <c r="A625" s="339"/>
      <c r="B625" s="340"/>
      <c r="C625" s="340"/>
      <c r="D625" s="341"/>
      <c r="E625" s="342"/>
      <c r="F625" s="343"/>
      <c r="G625" s="341"/>
      <c r="H625" s="194"/>
    </row>
    <row r="626" spans="1:8" x14ac:dyDescent="0.25">
      <c r="A626" s="339"/>
      <c r="B626" s="340"/>
      <c r="C626" s="340"/>
      <c r="D626" s="341"/>
      <c r="E626" s="342"/>
      <c r="F626" s="343"/>
      <c r="G626" s="341"/>
      <c r="H626" s="194"/>
    </row>
    <row r="627" spans="1:8" x14ac:dyDescent="0.25">
      <c r="A627" s="339"/>
      <c r="B627" s="340"/>
      <c r="C627" s="340"/>
      <c r="D627" s="341"/>
      <c r="E627" s="342"/>
      <c r="F627" s="343"/>
      <c r="G627" s="341"/>
      <c r="H627" s="194"/>
    </row>
    <row r="628" spans="1:8" x14ac:dyDescent="0.25">
      <c r="A628" s="339"/>
      <c r="B628" s="340"/>
      <c r="C628" s="340"/>
      <c r="D628" s="341"/>
      <c r="E628" s="342"/>
      <c r="F628" s="343"/>
      <c r="G628" s="341"/>
      <c r="H628" s="194"/>
    </row>
    <row r="629" spans="1:8" x14ac:dyDescent="0.25">
      <c r="A629" s="339"/>
      <c r="B629" s="340"/>
      <c r="C629" s="340"/>
      <c r="D629" s="341"/>
      <c r="E629" s="342"/>
      <c r="F629" s="343"/>
      <c r="G629" s="341"/>
      <c r="H629" s="194"/>
    </row>
    <row r="630" spans="1:8" x14ac:dyDescent="0.25">
      <c r="A630" s="339"/>
      <c r="B630" s="340"/>
      <c r="C630" s="340"/>
      <c r="D630" s="341"/>
      <c r="E630" s="342"/>
      <c r="F630" s="343"/>
      <c r="G630" s="341"/>
      <c r="H630" s="194"/>
    </row>
    <row r="631" spans="1:8" x14ac:dyDescent="0.25">
      <c r="A631" s="339"/>
      <c r="B631" s="340"/>
      <c r="C631" s="340"/>
      <c r="D631" s="341"/>
      <c r="E631" s="342"/>
      <c r="F631" s="343"/>
      <c r="G631" s="341"/>
      <c r="H631" s="194"/>
    </row>
    <row r="632" spans="1:8" x14ac:dyDescent="0.25">
      <c r="A632" s="339"/>
      <c r="B632" s="340"/>
      <c r="C632" s="340"/>
      <c r="D632" s="341"/>
      <c r="E632" s="342"/>
      <c r="F632" s="343"/>
      <c r="G632" s="341"/>
      <c r="H632" s="194"/>
    </row>
    <row r="633" spans="1:8" x14ac:dyDescent="0.25">
      <c r="A633" s="339"/>
      <c r="B633" s="340"/>
      <c r="C633" s="340"/>
      <c r="D633" s="341"/>
      <c r="E633" s="342"/>
      <c r="F633" s="343"/>
      <c r="G633" s="341"/>
      <c r="H633" s="194"/>
    </row>
    <row r="634" spans="1:8" x14ac:dyDescent="0.25">
      <c r="A634" s="339"/>
      <c r="B634" s="340"/>
      <c r="C634" s="340"/>
      <c r="D634" s="341"/>
      <c r="E634" s="342"/>
      <c r="F634" s="343"/>
      <c r="G634" s="341"/>
      <c r="H634" s="194"/>
    </row>
    <row r="635" spans="1:8" x14ac:dyDescent="0.25">
      <c r="A635" s="339"/>
      <c r="B635" s="340"/>
      <c r="C635" s="340"/>
      <c r="D635" s="341"/>
      <c r="E635" s="342"/>
      <c r="F635" s="343"/>
      <c r="G635" s="341"/>
      <c r="H635" s="194"/>
    </row>
    <row r="636" spans="1:8" x14ac:dyDescent="0.25">
      <c r="A636" s="339"/>
      <c r="B636" s="340"/>
      <c r="C636" s="340"/>
      <c r="D636" s="341"/>
      <c r="E636" s="342"/>
      <c r="F636" s="343"/>
      <c r="G636" s="341"/>
      <c r="H636" s="194"/>
    </row>
    <row r="637" spans="1:8" x14ac:dyDescent="0.25">
      <c r="A637" s="339"/>
      <c r="B637" s="340"/>
      <c r="C637" s="340"/>
      <c r="D637" s="341"/>
      <c r="E637" s="342"/>
      <c r="F637" s="343"/>
      <c r="G637" s="341"/>
      <c r="H637" s="194"/>
    </row>
    <row r="638" spans="1:8" x14ac:dyDescent="0.25">
      <c r="A638" s="339"/>
      <c r="B638" s="340"/>
      <c r="C638" s="340"/>
      <c r="D638" s="341"/>
      <c r="E638" s="342"/>
      <c r="F638" s="343"/>
      <c r="G638" s="341"/>
      <c r="H638" s="194"/>
    </row>
    <row r="639" spans="1:8" x14ac:dyDescent="0.25">
      <c r="A639" s="339"/>
      <c r="B639" s="340"/>
      <c r="C639" s="340"/>
      <c r="D639" s="341"/>
      <c r="E639" s="342"/>
      <c r="F639" s="343"/>
      <c r="G639" s="341"/>
      <c r="H639" s="194"/>
    </row>
    <row r="640" spans="1:8" x14ac:dyDescent="0.25">
      <c r="A640" s="339"/>
      <c r="B640" s="340"/>
      <c r="C640" s="340"/>
      <c r="D640" s="341"/>
      <c r="E640" s="342"/>
      <c r="F640" s="343"/>
      <c r="G640" s="341"/>
      <c r="H640" s="194"/>
    </row>
    <row r="641" spans="1:8" x14ac:dyDescent="0.25">
      <c r="A641" s="339"/>
      <c r="B641" s="340"/>
      <c r="C641" s="340"/>
      <c r="D641" s="341"/>
      <c r="E641" s="342"/>
      <c r="F641" s="343"/>
      <c r="G641" s="341"/>
      <c r="H641" s="194"/>
    </row>
    <row r="642" spans="1:8" x14ac:dyDescent="0.25">
      <c r="A642" s="339"/>
      <c r="B642" s="340"/>
      <c r="C642" s="340"/>
      <c r="D642" s="341"/>
      <c r="E642" s="342"/>
      <c r="F642" s="343"/>
      <c r="G642" s="341"/>
      <c r="H642" s="194"/>
    </row>
    <row r="643" spans="1:8" x14ac:dyDescent="0.25">
      <c r="A643" s="339"/>
      <c r="B643" s="340"/>
      <c r="C643" s="340"/>
      <c r="D643" s="341"/>
      <c r="E643" s="342"/>
      <c r="F643" s="343"/>
      <c r="G643" s="341"/>
      <c r="H643" s="194"/>
    </row>
    <row r="644" spans="1:8" x14ac:dyDescent="0.25">
      <c r="A644" s="339"/>
      <c r="B644" s="340"/>
      <c r="C644" s="340"/>
      <c r="D644" s="341"/>
      <c r="E644" s="342"/>
      <c r="F644" s="343"/>
      <c r="G644" s="341"/>
      <c r="H644" s="194"/>
    </row>
    <row r="645" spans="1:8" x14ac:dyDescent="0.25">
      <c r="A645" s="339"/>
      <c r="B645" s="340"/>
      <c r="C645" s="340"/>
      <c r="D645" s="341"/>
      <c r="E645" s="342"/>
      <c r="F645" s="343"/>
      <c r="G645" s="341"/>
      <c r="H645" s="194"/>
    </row>
    <row r="646" spans="1:8" x14ac:dyDescent="0.25">
      <c r="A646" s="339"/>
      <c r="B646" s="340"/>
      <c r="C646" s="340"/>
      <c r="D646" s="341"/>
      <c r="E646" s="342"/>
      <c r="F646" s="343"/>
      <c r="G646" s="341"/>
      <c r="H646" s="194"/>
    </row>
    <row r="647" spans="1:8" x14ac:dyDescent="0.25">
      <c r="A647" s="339"/>
      <c r="B647" s="340"/>
      <c r="C647" s="340"/>
      <c r="D647" s="341"/>
      <c r="E647" s="342"/>
      <c r="F647" s="343"/>
      <c r="G647" s="341"/>
      <c r="H647" s="194"/>
    </row>
    <row r="648" spans="1:8" x14ac:dyDescent="0.25">
      <c r="A648" s="339"/>
      <c r="B648" s="340"/>
      <c r="C648" s="340"/>
      <c r="D648" s="341"/>
      <c r="E648" s="342"/>
      <c r="F648" s="343"/>
      <c r="G648" s="341"/>
      <c r="H648" s="194"/>
    </row>
    <row r="649" spans="1:8" x14ac:dyDescent="0.25">
      <c r="A649" s="339"/>
      <c r="B649" s="340"/>
      <c r="C649" s="340"/>
      <c r="D649" s="341"/>
      <c r="E649" s="342"/>
      <c r="F649" s="343"/>
      <c r="G649" s="341"/>
      <c r="H649" s="194"/>
    </row>
    <row r="650" spans="1:8" x14ac:dyDescent="0.25">
      <c r="A650" s="339"/>
      <c r="B650" s="340"/>
      <c r="C650" s="340"/>
      <c r="D650" s="341"/>
      <c r="E650" s="342"/>
      <c r="F650" s="343"/>
      <c r="G650" s="341"/>
      <c r="H650" s="194"/>
    </row>
    <row r="651" spans="1:8" x14ac:dyDescent="0.25">
      <c r="A651" s="339"/>
      <c r="B651" s="340"/>
      <c r="C651" s="340"/>
      <c r="D651" s="341"/>
      <c r="E651" s="342"/>
      <c r="F651" s="343"/>
      <c r="G651" s="341"/>
      <c r="H651" s="194"/>
    </row>
    <row r="652" spans="1:8" x14ac:dyDescent="0.25">
      <c r="A652" s="339"/>
      <c r="B652" s="340"/>
      <c r="C652" s="340"/>
      <c r="D652" s="341"/>
      <c r="E652" s="342"/>
      <c r="F652" s="343"/>
      <c r="G652" s="341"/>
      <c r="H652" s="194"/>
    </row>
    <row r="653" spans="1:8" x14ac:dyDescent="0.25">
      <c r="A653" s="339"/>
      <c r="B653" s="340"/>
      <c r="C653" s="340"/>
      <c r="D653" s="341"/>
      <c r="E653" s="342"/>
      <c r="F653" s="343"/>
      <c r="G653" s="341"/>
      <c r="H653" s="194"/>
    </row>
    <row r="654" spans="1:8" x14ac:dyDescent="0.25">
      <c r="A654" s="339"/>
      <c r="B654" s="340"/>
      <c r="C654" s="340"/>
      <c r="D654" s="341"/>
      <c r="E654" s="342"/>
      <c r="F654" s="343"/>
      <c r="G654" s="341"/>
      <c r="H654" s="194"/>
    </row>
    <row r="655" spans="1:8" x14ac:dyDescent="0.25">
      <c r="A655" s="339"/>
      <c r="B655" s="340"/>
      <c r="C655" s="340"/>
      <c r="D655" s="341"/>
      <c r="E655" s="342"/>
      <c r="F655" s="343"/>
      <c r="G655" s="341"/>
      <c r="H655" s="194"/>
    </row>
    <row r="656" spans="1:8" x14ac:dyDescent="0.25">
      <c r="A656" s="339"/>
      <c r="B656" s="340"/>
      <c r="C656" s="340"/>
      <c r="D656" s="341"/>
      <c r="E656" s="342"/>
      <c r="F656" s="343"/>
      <c r="G656" s="341"/>
      <c r="H656" s="194"/>
    </row>
    <row r="657" spans="1:8" x14ac:dyDescent="0.25">
      <c r="A657" s="339"/>
      <c r="B657" s="340"/>
      <c r="C657" s="340"/>
      <c r="D657" s="341"/>
      <c r="E657" s="342"/>
      <c r="F657" s="343"/>
      <c r="G657" s="341"/>
      <c r="H657" s="194"/>
    </row>
    <row r="658" spans="1:8" x14ac:dyDescent="0.25">
      <c r="A658" s="339"/>
      <c r="B658" s="340"/>
      <c r="C658" s="340"/>
      <c r="D658" s="341"/>
      <c r="E658" s="342"/>
      <c r="F658" s="343"/>
      <c r="G658" s="341"/>
      <c r="H658" s="194"/>
    </row>
    <row r="659" spans="1:8" x14ac:dyDescent="0.25">
      <c r="A659" s="339"/>
      <c r="B659" s="340"/>
      <c r="C659" s="340"/>
      <c r="D659" s="341"/>
      <c r="E659" s="342"/>
      <c r="F659" s="343"/>
      <c r="G659" s="341"/>
      <c r="H659" s="194"/>
    </row>
    <row r="660" spans="1:8" x14ac:dyDescent="0.25">
      <c r="A660" s="339"/>
      <c r="B660" s="340"/>
      <c r="C660" s="340"/>
      <c r="D660" s="341"/>
      <c r="E660" s="342"/>
      <c r="F660" s="343"/>
      <c r="G660" s="341"/>
      <c r="H660" s="194"/>
    </row>
    <row r="661" spans="1:8" x14ac:dyDescent="0.25">
      <c r="A661" s="339"/>
      <c r="B661" s="340"/>
      <c r="C661" s="340"/>
      <c r="D661" s="341"/>
      <c r="E661" s="342"/>
      <c r="F661" s="343"/>
      <c r="G661" s="341"/>
      <c r="H661" s="194"/>
    </row>
    <row r="662" spans="1:8" x14ac:dyDescent="0.25">
      <c r="A662" s="339"/>
      <c r="B662" s="340"/>
      <c r="C662" s="340"/>
      <c r="D662" s="341"/>
      <c r="E662" s="342"/>
      <c r="F662" s="343"/>
      <c r="G662" s="341"/>
      <c r="H662" s="194"/>
    </row>
    <row r="663" spans="1:8" x14ac:dyDescent="0.25">
      <c r="A663" s="339"/>
      <c r="B663" s="340"/>
      <c r="C663" s="340"/>
      <c r="D663" s="341"/>
      <c r="E663" s="342"/>
      <c r="F663" s="343"/>
      <c r="G663" s="341"/>
      <c r="H663" s="194"/>
    </row>
    <row r="664" spans="1:8" x14ac:dyDescent="0.25">
      <c r="A664" s="339"/>
      <c r="B664" s="340"/>
      <c r="C664" s="340"/>
      <c r="D664" s="341"/>
      <c r="E664" s="342"/>
      <c r="F664" s="343"/>
      <c r="G664" s="341"/>
      <c r="H664" s="194"/>
    </row>
    <row r="665" spans="1:8" x14ac:dyDescent="0.25">
      <c r="A665" s="339"/>
      <c r="B665" s="340"/>
      <c r="C665" s="340"/>
      <c r="D665" s="341"/>
      <c r="E665" s="342"/>
      <c r="F665" s="343"/>
      <c r="G665" s="341"/>
      <c r="H665" s="194"/>
    </row>
    <row r="666" spans="1:8" x14ac:dyDescent="0.25">
      <c r="A666" s="339"/>
      <c r="B666" s="340"/>
      <c r="C666" s="340"/>
      <c r="D666" s="341"/>
      <c r="E666" s="342"/>
      <c r="F666" s="343"/>
      <c r="G666" s="341"/>
      <c r="H666" s="194"/>
    </row>
    <row r="667" spans="1:8" x14ac:dyDescent="0.25">
      <c r="A667" s="339"/>
      <c r="B667" s="340"/>
      <c r="C667" s="340"/>
      <c r="D667" s="341"/>
      <c r="E667" s="342"/>
      <c r="F667" s="343"/>
      <c r="G667" s="341"/>
      <c r="H667" s="194"/>
    </row>
    <row r="668" spans="1:8" x14ac:dyDescent="0.25">
      <c r="A668" s="339"/>
      <c r="B668" s="340"/>
      <c r="C668" s="340"/>
      <c r="D668" s="341"/>
      <c r="E668" s="342"/>
      <c r="F668" s="343"/>
      <c r="G668" s="341"/>
      <c r="H668" s="194"/>
    </row>
    <row r="669" spans="1:8" x14ac:dyDescent="0.25">
      <c r="A669" s="339"/>
      <c r="B669" s="340"/>
      <c r="C669" s="340"/>
      <c r="D669" s="341"/>
      <c r="E669" s="342"/>
      <c r="F669" s="343"/>
      <c r="G669" s="341"/>
      <c r="H669" s="194"/>
    </row>
    <row r="670" spans="1:8" x14ac:dyDescent="0.25">
      <c r="A670" s="339"/>
      <c r="B670" s="340"/>
      <c r="C670" s="340"/>
      <c r="D670" s="341"/>
      <c r="E670" s="342"/>
      <c r="F670" s="343"/>
      <c r="G670" s="341"/>
      <c r="H670" s="194"/>
    </row>
    <row r="671" spans="1:8" x14ac:dyDescent="0.25">
      <c r="A671" s="339"/>
      <c r="B671" s="340"/>
      <c r="C671" s="340"/>
      <c r="D671" s="341"/>
      <c r="E671" s="342"/>
      <c r="F671" s="343"/>
      <c r="G671" s="341"/>
      <c r="H671" s="194"/>
    </row>
    <row r="672" spans="1:8" x14ac:dyDescent="0.25">
      <c r="A672" s="339"/>
      <c r="B672" s="340"/>
      <c r="C672" s="340"/>
      <c r="D672" s="341"/>
      <c r="E672" s="342"/>
      <c r="F672" s="343"/>
      <c r="G672" s="341"/>
      <c r="H672" s="194"/>
    </row>
    <row r="673" spans="1:8" x14ac:dyDescent="0.25">
      <c r="A673" s="339"/>
      <c r="B673" s="340"/>
      <c r="C673" s="340"/>
      <c r="D673" s="341"/>
      <c r="E673" s="342"/>
      <c r="F673" s="343"/>
      <c r="G673" s="341"/>
      <c r="H673" s="194"/>
    </row>
    <row r="674" spans="1:8" x14ac:dyDescent="0.25">
      <c r="A674" s="339"/>
      <c r="B674" s="340"/>
      <c r="C674" s="340"/>
      <c r="D674" s="341"/>
      <c r="E674" s="342"/>
      <c r="F674" s="343"/>
      <c r="G674" s="341"/>
      <c r="H674" s="194"/>
    </row>
    <row r="675" spans="1:8" x14ac:dyDescent="0.25">
      <c r="A675" s="339"/>
      <c r="B675" s="340"/>
      <c r="C675" s="340"/>
      <c r="D675" s="341"/>
      <c r="E675" s="342"/>
      <c r="F675" s="343"/>
      <c r="G675" s="341"/>
      <c r="H675" s="194"/>
    </row>
    <row r="676" spans="1:8" x14ac:dyDescent="0.25">
      <c r="A676" s="339"/>
      <c r="B676" s="340"/>
      <c r="C676" s="340"/>
      <c r="D676" s="341"/>
      <c r="E676" s="342"/>
      <c r="F676" s="343"/>
      <c r="G676" s="341"/>
      <c r="H676" s="194"/>
    </row>
    <row r="677" spans="1:8" x14ac:dyDescent="0.25">
      <c r="A677" s="339"/>
      <c r="B677" s="340"/>
      <c r="C677" s="340"/>
      <c r="D677" s="341"/>
      <c r="E677" s="342"/>
      <c r="F677" s="343"/>
      <c r="G677" s="341"/>
      <c r="H677" s="194"/>
    </row>
    <row r="678" spans="1:8" x14ac:dyDescent="0.25">
      <c r="A678" s="339"/>
      <c r="B678" s="340"/>
      <c r="C678" s="340"/>
      <c r="D678" s="341"/>
      <c r="E678" s="342"/>
      <c r="F678" s="343"/>
      <c r="G678" s="341"/>
      <c r="H678" s="194"/>
    </row>
    <row r="679" spans="1:8" x14ac:dyDescent="0.25">
      <c r="A679" s="339"/>
      <c r="B679" s="340"/>
      <c r="C679" s="340"/>
      <c r="D679" s="341"/>
      <c r="E679" s="342"/>
      <c r="F679" s="343"/>
      <c r="G679" s="341"/>
      <c r="H679" s="194"/>
    </row>
    <row r="680" spans="1:8" x14ac:dyDescent="0.25">
      <c r="A680" s="339"/>
      <c r="B680" s="340"/>
      <c r="C680" s="340"/>
      <c r="D680" s="341"/>
      <c r="E680" s="342"/>
      <c r="F680" s="343"/>
      <c r="G680" s="341"/>
      <c r="H680" s="194"/>
    </row>
    <row r="681" spans="1:8" x14ac:dyDescent="0.25">
      <c r="A681" s="339"/>
      <c r="B681" s="340"/>
      <c r="C681" s="340"/>
      <c r="D681" s="341"/>
      <c r="E681" s="342"/>
      <c r="F681" s="343"/>
      <c r="G681" s="341"/>
      <c r="H681" s="194"/>
    </row>
    <row r="682" spans="1:8" x14ac:dyDescent="0.25">
      <c r="A682" s="339"/>
      <c r="B682" s="340"/>
      <c r="C682" s="340"/>
      <c r="D682" s="341"/>
      <c r="E682" s="342"/>
      <c r="F682" s="343"/>
      <c r="G682" s="341"/>
      <c r="H682" s="194"/>
    </row>
    <row r="683" spans="1:8" x14ac:dyDescent="0.25">
      <c r="A683" s="339"/>
      <c r="B683" s="340"/>
      <c r="C683" s="340"/>
      <c r="D683" s="341"/>
      <c r="E683" s="342"/>
      <c r="F683" s="343"/>
      <c r="G683" s="341"/>
      <c r="H683" s="194"/>
    </row>
    <row r="684" spans="1:8" x14ac:dyDescent="0.25">
      <c r="A684" s="339"/>
      <c r="B684" s="340"/>
      <c r="C684" s="340"/>
      <c r="D684" s="341"/>
      <c r="E684" s="342"/>
      <c r="F684" s="343"/>
      <c r="G684" s="341"/>
      <c r="H684" s="194"/>
    </row>
    <row r="685" spans="1:8" x14ac:dyDescent="0.25">
      <c r="A685" s="339"/>
      <c r="B685" s="340"/>
      <c r="C685" s="340"/>
      <c r="D685" s="341"/>
      <c r="E685" s="342"/>
      <c r="F685" s="343"/>
      <c r="G685" s="341"/>
      <c r="H685" s="194"/>
    </row>
    <row r="686" spans="1:8" x14ac:dyDescent="0.25">
      <c r="A686" s="339"/>
      <c r="B686" s="340"/>
      <c r="C686" s="340"/>
      <c r="D686" s="341"/>
      <c r="E686" s="342"/>
      <c r="F686" s="343"/>
      <c r="G686" s="341"/>
      <c r="H686" s="194"/>
    </row>
    <row r="687" spans="1:8" x14ac:dyDescent="0.25">
      <c r="A687" s="339"/>
      <c r="B687" s="340"/>
      <c r="C687" s="340"/>
      <c r="D687" s="341"/>
      <c r="E687" s="342"/>
      <c r="F687" s="343"/>
      <c r="G687" s="341"/>
      <c r="H687" s="194"/>
    </row>
    <row r="688" spans="1:8" x14ac:dyDescent="0.25">
      <c r="A688" s="339"/>
      <c r="B688" s="340"/>
      <c r="C688" s="340"/>
      <c r="D688" s="341"/>
      <c r="E688" s="342"/>
      <c r="F688" s="343"/>
      <c r="G688" s="341"/>
      <c r="H688" s="194"/>
    </row>
    <row r="689" spans="1:8" x14ac:dyDescent="0.25">
      <c r="A689" s="339"/>
      <c r="B689" s="340"/>
      <c r="C689" s="340"/>
      <c r="D689" s="341"/>
      <c r="E689" s="342"/>
      <c r="F689" s="343"/>
      <c r="G689" s="341"/>
      <c r="H689" s="194"/>
    </row>
    <row r="690" spans="1:8" x14ac:dyDescent="0.25">
      <c r="A690" s="339"/>
      <c r="B690" s="340"/>
      <c r="C690" s="340"/>
      <c r="D690" s="341"/>
      <c r="E690" s="342"/>
      <c r="F690" s="343"/>
      <c r="G690" s="341"/>
      <c r="H690" s="194"/>
    </row>
    <row r="691" spans="1:8" x14ac:dyDescent="0.25">
      <c r="A691" s="339"/>
      <c r="B691" s="340"/>
      <c r="C691" s="340"/>
      <c r="D691" s="341"/>
      <c r="E691" s="342"/>
      <c r="F691" s="343"/>
      <c r="G691" s="341"/>
      <c r="H691" s="194"/>
    </row>
    <row r="692" spans="1:8" x14ac:dyDescent="0.25">
      <c r="A692" s="339"/>
      <c r="B692" s="340"/>
      <c r="C692" s="340"/>
      <c r="D692" s="341"/>
      <c r="E692" s="342"/>
      <c r="F692" s="343"/>
      <c r="G692" s="341"/>
      <c r="H692" s="194"/>
    </row>
    <row r="693" spans="1:8" x14ac:dyDescent="0.25">
      <c r="A693" s="339"/>
      <c r="B693" s="340"/>
      <c r="C693" s="340"/>
      <c r="D693" s="341"/>
      <c r="E693" s="342"/>
      <c r="F693" s="343"/>
      <c r="G693" s="341"/>
      <c r="H693" s="194"/>
    </row>
    <row r="694" spans="1:8" x14ac:dyDescent="0.25">
      <c r="A694" s="339"/>
      <c r="B694" s="340"/>
      <c r="C694" s="340"/>
      <c r="D694" s="341"/>
      <c r="E694" s="342"/>
      <c r="F694" s="343"/>
      <c r="G694" s="341"/>
      <c r="H694" s="194"/>
    </row>
    <row r="695" spans="1:8" x14ac:dyDescent="0.25">
      <c r="A695" s="339"/>
      <c r="B695" s="340"/>
      <c r="C695" s="340"/>
      <c r="D695" s="341"/>
      <c r="E695" s="342"/>
      <c r="F695" s="343"/>
      <c r="G695" s="341"/>
      <c r="H695" s="194"/>
    </row>
    <row r="696" spans="1:8" x14ac:dyDescent="0.25">
      <c r="A696" s="339"/>
      <c r="B696" s="340"/>
      <c r="C696" s="340"/>
      <c r="D696" s="341"/>
      <c r="E696" s="342"/>
      <c r="F696" s="343"/>
      <c r="G696" s="341"/>
      <c r="H696" s="194"/>
    </row>
    <row r="697" spans="1:8" x14ac:dyDescent="0.25">
      <c r="A697" s="339"/>
      <c r="B697" s="340"/>
      <c r="C697" s="340"/>
      <c r="D697" s="341"/>
      <c r="E697" s="342"/>
      <c r="F697" s="343"/>
      <c r="G697" s="341"/>
      <c r="H697" s="194"/>
    </row>
    <row r="698" spans="1:8" x14ac:dyDescent="0.25">
      <c r="A698" s="339"/>
      <c r="B698" s="340"/>
      <c r="C698" s="340"/>
      <c r="D698" s="341"/>
      <c r="E698" s="342"/>
      <c r="F698" s="343"/>
      <c r="G698" s="341"/>
      <c r="H698" s="194"/>
    </row>
    <row r="699" spans="1:8" x14ac:dyDescent="0.25">
      <c r="A699" s="339"/>
      <c r="B699" s="340"/>
      <c r="C699" s="340"/>
      <c r="D699" s="341"/>
      <c r="E699" s="342"/>
      <c r="F699" s="343"/>
      <c r="G699" s="341"/>
      <c r="H699" s="194"/>
    </row>
    <row r="700" spans="1:8" x14ac:dyDescent="0.25">
      <c r="A700" s="339"/>
      <c r="B700" s="340"/>
      <c r="C700" s="340"/>
      <c r="D700" s="341"/>
      <c r="E700" s="342"/>
      <c r="F700" s="343"/>
      <c r="G700" s="341"/>
      <c r="H700" s="194"/>
    </row>
    <row r="701" spans="1:8" x14ac:dyDescent="0.25">
      <c r="A701" s="339"/>
      <c r="B701" s="340"/>
      <c r="C701" s="340"/>
      <c r="D701" s="341"/>
      <c r="E701" s="342"/>
      <c r="F701" s="343"/>
      <c r="G701" s="341"/>
      <c r="H701" s="194"/>
    </row>
    <row r="702" spans="1:8" x14ac:dyDescent="0.25">
      <c r="A702" s="339"/>
      <c r="B702" s="340"/>
      <c r="C702" s="340"/>
      <c r="D702" s="341"/>
      <c r="E702" s="342"/>
      <c r="F702" s="343"/>
      <c r="G702" s="341"/>
      <c r="H702" s="194"/>
    </row>
    <row r="703" spans="1:8" x14ac:dyDescent="0.25">
      <c r="A703" s="339"/>
      <c r="B703" s="340"/>
      <c r="C703" s="340"/>
      <c r="D703" s="341"/>
      <c r="E703" s="342"/>
      <c r="F703" s="343"/>
      <c r="G703" s="341"/>
      <c r="H703" s="194"/>
    </row>
    <row r="704" spans="1:8" x14ac:dyDescent="0.25">
      <c r="A704" s="339"/>
      <c r="B704" s="340"/>
      <c r="C704" s="340"/>
      <c r="D704" s="341"/>
      <c r="E704" s="342"/>
      <c r="F704" s="343"/>
      <c r="G704" s="341"/>
      <c r="H704" s="194"/>
    </row>
    <row r="705" spans="1:8" x14ac:dyDescent="0.25">
      <c r="A705" s="339"/>
      <c r="B705" s="340"/>
      <c r="C705" s="340"/>
      <c r="D705" s="341"/>
      <c r="E705" s="342"/>
      <c r="F705" s="343"/>
      <c r="G705" s="341"/>
      <c r="H705" s="194"/>
    </row>
    <row r="706" spans="1:8" x14ac:dyDescent="0.25">
      <c r="A706" s="339"/>
      <c r="B706" s="340"/>
      <c r="C706" s="340"/>
      <c r="D706" s="341"/>
      <c r="E706" s="342"/>
      <c r="F706" s="343"/>
      <c r="G706" s="341"/>
      <c r="H706" s="194"/>
    </row>
    <row r="707" spans="1:8" x14ac:dyDescent="0.25">
      <c r="A707" s="339"/>
      <c r="B707" s="340"/>
      <c r="C707" s="340"/>
      <c r="D707" s="341"/>
      <c r="E707" s="342"/>
      <c r="F707" s="343"/>
      <c r="G707" s="341"/>
      <c r="H707" s="194"/>
    </row>
    <row r="708" spans="1:8" x14ac:dyDescent="0.25">
      <c r="A708" s="339"/>
      <c r="B708" s="340"/>
      <c r="C708" s="340"/>
      <c r="D708" s="341"/>
      <c r="E708" s="342"/>
      <c r="F708" s="343"/>
      <c r="G708" s="341"/>
      <c r="H708" s="194"/>
    </row>
    <row r="709" spans="1:8" x14ac:dyDescent="0.25">
      <c r="A709" s="339"/>
      <c r="B709" s="340"/>
      <c r="C709" s="340"/>
      <c r="D709" s="341"/>
      <c r="E709" s="342"/>
      <c r="F709" s="343"/>
      <c r="G709" s="341"/>
      <c r="H709" s="194"/>
    </row>
    <row r="710" spans="1:8" x14ac:dyDescent="0.25">
      <c r="A710" s="339"/>
      <c r="B710" s="340"/>
      <c r="C710" s="340"/>
      <c r="D710" s="341"/>
      <c r="E710" s="342"/>
      <c r="F710" s="343"/>
      <c r="G710" s="341"/>
      <c r="H710" s="194"/>
    </row>
    <row r="711" spans="1:8" x14ac:dyDescent="0.25">
      <c r="A711" s="339"/>
      <c r="B711" s="340"/>
      <c r="C711" s="340"/>
      <c r="D711" s="341"/>
      <c r="E711" s="342"/>
      <c r="F711" s="343"/>
      <c r="G711" s="341"/>
      <c r="H711" s="194"/>
    </row>
    <row r="712" spans="1:8" x14ac:dyDescent="0.25">
      <c r="A712" s="339"/>
      <c r="B712" s="340"/>
      <c r="C712" s="340"/>
      <c r="D712" s="341"/>
      <c r="E712" s="342"/>
      <c r="F712" s="343"/>
      <c r="G712" s="341"/>
      <c r="H712" s="194"/>
    </row>
    <row r="713" spans="1:8" x14ac:dyDescent="0.25">
      <c r="A713" s="339"/>
      <c r="B713" s="340"/>
      <c r="C713" s="340"/>
      <c r="D713" s="341"/>
      <c r="E713" s="342"/>
      <c r="F713" s="343"/>
      <c r="G713" s="341"/>
      <c r="H713" s="194"/>
    </row>
    <row r="714" spans="1:8" x14ac:dyDescent="0.25">
      <c r="A714" s="339"/>
      <c r="B714" s="340"/>
      <c r="C714" s="340"/>
      <c r="D714" s="341"/>
      <c r="E714" s="342"/>
      <c r="F714" s="343"/>
      <c r="G714" s="341"/>
      <c r="H714" s="194"/>
    </row>
    <row r="715" spans="1:8" x14ac:dyDescent="0.25">
      <c r="A715" s="339"/>
      <c r="B715" s="340"/>
      <c r="C715" s="340"/>
      <c r="D715" s="341"/>
      <c r="E715" s="342"/>
      <c r="F715" s="343"/>
      <c r="G715" s="341"/>
      <c r="H715" s="194"/>
    </row>
    <row r="716" spans="1:8" x14ac:dyDescent="0.25">
      <c r="A716" s="339"/>
      <c r="B716" s="340"/>
      <c r="C716" s="340"/>
      <c r="D716" s="341"/>
      <c r="E716" s="342"/>
      <c r="F716" s="343"/>
      <c r="G716" s="341"/>
      <c r="H716" s="194"/>
    </row>
    <row r="717" spans="1:8" x14ac:dyDescent="0.25">
      <c r="A717" s="339"/>
      <c r="B717" s="340"/>
      <c r="C717" s="340"/>
      <c r="D717" s="341"/>
      <c r="E717" s="342"/>
      <c r="F717" s="343"/>
      <c r="G717" s="341"/>
      <c r="H717" s="194"/>
    </row>
    <row r="718" spans="1:8" x14ac:dyDescent="0.25">
      <c r="A718" s="339"/>
      <c r="B718" s="340"/>
      <c r="C718" s="340"/>
      <c r="D718" s="341"/>
      <c r="E718" s="342"/>
      <c r="F718" s="343"/>
      <c r="G718" s="341"/>
      <c r="H718" s="194"/>
    </row>
    <row r="719" spans="1:8" x14ac:dyDescent="0.25">
      <c r="A719" s="339"/>
      <c r="B719" s="340"/>
      <c r="C719" s="340"/>
      <c r="D719" s="341"/>
      <c r="E719" s="342"/>
      <c r="F719" s="343"/>
      <c r="G719" s="341"/>
      <c r="H719" s="194"/>
    </row>
    <row r="720" spans="1:8" x14ac:dyDescent="0.25">
      <c r="A720" s="339"/>
      <c r="B720" s="340"/>
      <c r="C720" s="340"/>
      <c r="D720" s="341"/>
      <c r="E720" s="342"/>
      <c r="F720" s="343"/>
      <c r="G720" s="341"/>
      <c r="H720" s="194"/>
    </row>
    <row r="721" spans="1:8" x14ac:dyDescent="0.25">
      <c r="A721" s="339"/>
      <c r="B721" s="340"/>
      <c r="C721" s="340"/>
      <c r="D721" s="341"/>
      <c r="E721" s="342"/>
      <c r="F721" s="343"/>
      <c r="G721" s="341"/>
      <c r="H721" s="194"/>
    </row>
    <row r="722" spans="1:8" x14ac:dyDescent="0.25">
      <c r="A722" s="339"/>
      <c r="B722" s="340"/>
      <c r="C722" s="340"/>
      <c r="D722" s="341"/>
      <c r="E722" s="342"/>
      <c r="F722" s="343"/>
      <c r="G722" s="341"/>
      <c r="H722" s="194"/>
    </row>
    <row r="723" spans="1:8" x14ac:dyDescent="0.25">
      <c r="A723" s="339"/>
      <c r="B723" s="340"/>
      <c r="C723" s="340"/>
      <c r="D723" s="341"/>
      <c r="E723" s="342"/>
      <c r="F723" s="343"/>
      <c r="G723" s="341"/>
      <c r="H723" s="194"/>
    </row>
    <row r="724" spans="1:8" x14ac:dyDescent="0.25">
      <c r="A724" s="339"/>
      <c r="B724" s="340"/>
      <c r="C724" s="340"/>
      <c r="D724" s="341"/>
      <c r="E724" s="342"/>
      <c r="F724" s="343"/>
      <c r="G724" s="341"/>
      <c r="H724" s="194"/>
    </row>
    <row r="725" spans="1:8" x14ac:dyDescent="0.25">
      <c r="A725" s="339"/>
      <c r="B725" s="340"/>
      <c r="C725" s="340"/>
      <c r="D725" s="341"/>
      <c r="E725" s="342"/>
      <c r="F725" s="343"/>
      <c r="G725" s="341"/>
      <c r="H725" s="194"/>
    </row>
    <row r="726" spans="1:8" x14ac:dyDescent="0.25">
      <c r="A726" s="339"/>
      <c r="B726" s="340"/>
      <c r="C726" s="340"/>
      <c r="D726" s="341"/>
      <c r="E726" s="342"/>
      <c r="F726" s="343"/>
      <c r="G726" s="341"/>
      <c r="H726" s="194"/>
    </row>
    <row r="727" spans="1:8" x14ac:dyDescent="0.25">
      <c r="A727" s="339"/>
      <c r="B727" s="340"/>
      <c r="C727" s="340"/>
      <c r="D727" s="341"/>
      <c r="E727" s="342"/>
      <c r="F727" s="343"/>
      <c r="G727" s="341"/>
      <c r="H727" s="194"/>
    </row>
    <row r="728" spans="1:8" x14ac:dyDescent="0.25">
      <c r="A728" s="339"/>
      <c r="B728" s="340"/>
      <c r="C728" s="340"/>
      <c r="D728" s="341"/>
      <c r="E728" s="342"/>
      <c r="F728" s="343"/>
      <c r="G728" s="341"/>
      <c r="H728" s="194"/>
    </row>
    <row r="729" spans="1:8" x14ac:dyDescent="0.25">
      <c r="A729" s="339"/>
      <c r="B729" s="340"/>
      <c r="C729" s="340"/>
      <c r="D729" s="341"/>
      <c r="E729" s="342"/>
      <c r="F729" s="343"/>
      <c r="G729" s="341"/>
      <c r="H729" s="194"/>
    </row>
    <row r="730" spans="1:8" x14ac:dyDescent="0.25">
      <c r="A730" s="339"/>
      <c r="B730" s="340"/>
      <c r="C730" s="340"/>
      <c r="D730" s="341"/>
      <c r="E730" s="342"/>
      <c r="F730" s="343"/>
      <c r="G730" s="341"/>
      <c r="H730" s="194"/>
    </row>
    <row r="731" spans="1:8" x14ac:dyDescent="0.25">
      <c r="A731" s="339"/>
      <c r="B731" s="340"/>
      <c r="C731" s="340"/>
      <c r="D731" s="341"/>
      <c r="E731" s="342"/>
      <c r="F731" s="343"/>
      <c r="G731" s="341"/>
      <c r="H731" s="194"/>
    </row>
    <row r="732" spans="1:8" x14ac:dyDescent="0.25">
      <c r="A732" s="339"/>
      <c r="B732" s="340"/>
      <c r="C732" s="340"/>
      <c r="D732" s="341"/>
      <c r="E732" s="342"/>
      <c r="F732" s="343"/>
      <c r="G732" s="341"/>
      <c r="H732" s="194"/>
    </row>
    <row r="733" spans="1:8" x14ac:dyDescent="0.25">
      <c r="A733" s="339"/>
      <c r="B733" s="340"/>
      <c r="C733" s="340"/>
      <c r="D733" s="341"/>
      <c r="E733" s="342"/>
      <c r="F733" s="343"/>
      <c r="G733" s="341"/>
      <c r="H733" s="194"/>
    </row>
    <row r="734" spans="1:8" x14ac:dyDescent="0.25">
      <c r="A734" s="339"/>
      <c r="B734" s="340"/>
      <c r="C734" s="340"/>
      <c r="D734" s="341"/>
      <c r="E734" s="342"/>
      <c r="F734" s="343"/>
      <c r="G734" s="341"/>
      <c r="H734" s="194"/>
    </row>
    <row r="735" spans="1:8" x14ac:dyDescent="0.25">
      <c r="A735" s="339"/>
      <c r="B735" s="340"/>
      <c r="C735" s="340"/>
      <c r="D735" s="341"/>
      <c r="E735" s="342"/>
      <c r="F735" s="343"/>
      <c r="G735" s="341"/>
      <c r="H735" s="194"/>
    </row>
    <row r="736" spans="1:8" x14ac:dyDescent="0.25">
      <c r="A736" s="339"/>
      <c r="B736" s="340"/>
      <c r="C736" s="340"/>
      <c r="D736" s="341"/>
      <c r="E736" s="342"/>
      <c r="F736" s="343"/>
      <c r="G736" s="341"/>
      <c r="H736" s="194"/>
    </row>
    <row r="737" spans="1:8" x14ac:dyDescent="0.25">
      <c r="A737" s="339"/>
      <c r="B737" s="340"/>
      <c r="C737" s="340"/>
      <c r="D737" s="341"/>
      <c r="E737" s="342"/>
      <c r="F737" s="343"/>
      <c r="G737" s="341"/>
      <c r="H737" s="194"/>
    </row>
    <row r="738" spans="1:8" x14ac:dyDescent="0.25">
      <c r="A738" s="339"/>
      <c r="B738" s="340"/>
      <c r="C738" s="340"/>
      <c r="D738" s="341"/>
      <c r="E738" s="342"/>
      <c r="F738" s="343"/>
      <c r="G738" s="341"/>
      <c r="H738" s="194"/>
    </row>
    <row r="739" spans="1:8" x14ac:dyDescent="0.25">
      <c r="A739" s="339"/>
      <c r="B739" s="340"/>
      <c r="C739" s="340"/>
      <c r="D739" s="341"/>
      <c r="E739" s="342"/>
      <c r="F739" s="343"/>
      <c r="G739" s="341"/>
      <c r="H739" s="194"/>
    </row>
    <row r="740" spans="1:8" x14ac:dyDescent="0.25">
      <c r="A740" s="339"/>
      <c r="B740" s="340"/>
      <c r="C740" s="340"/>
      <c r="D740" s="341"/>
      <c r="E740" s="342"/>
      <c r="F740" s="343"/>
      <c r="G740" s="341"/>
      <c r="H740" s="194"/>
    </row>
    <row r="741" spans="1:8" x14ac:dyDescent="0.25">
      <c r="A741" s="339"/>
      <c r="B741" s="340"/>
      <c r="C741" s="340"/>
      <c r="D741" s="341"/>
      <c r="E741" s="342"/>
      <c r="F741" s="343"/>
      <c r="G741" s="341"/>
      <c r="H741" s="194"/>
    </row>
    <row r="742" spans="1:8" x14ac:dyDescent="0.25">
      <c r="A742" s="339"/>
      <c r="B742" s="340"/>
      <c r="C742" s="340"/>
      <c r="D742" s="341"/>
      <c r="E742" s="342"/>
      <c r="F742" s="343"/>
      <c r="G742" s="341"/>
      <c r="H742" s="194"/>
    </row>
    <row r="743" spans="1:8" x14ac:dyDescent="0.25">
      <c r="A743" s="339"/>
      <c r="B743" s="340"/>
      <c r="C743" s="340"/>
      <c r="D743" s="341"/>
      <c r="E743" s="342"/>
      <c r="F743" s="343"/>
      <c r="G743" s="341"/>
      <c r="H743" s="194"/>
    </row>
    <row r="744" spans="1:8" x14ac:dyDescent="0.25">
      <c r="A744" s="339"/>
      <c r="B744" s="340"/>
      <c r="C744" s="340"/>
      <c r="D744" s="341"/>
      <c r="E744" s="342"/>
      <c r="F744" s="343"/>
      <c r="G744" s="341"/>
      <c r="H744" s="194"/>
    </row>
    <row r="745" spans="1:8" x14ac:dyDescent="0.25">
      <c r="A745" s="339"/>
      <c r="B745" s="340"/>
      <c r="C745" s="340"/>
      <c r="D745" s="341"/>
      <c r="E745" s="342"/>
      <c r="F745" s="343"/>
      <c r="G745" s="341"/>
      <c r="H745" s="194"/>
    </row>
    <row r="746" spans="1:8" x14ac:dyDescent="0.25">
      <c r="A746" s="339"/>
      <c r="B746" s="340"/>
      <c r="C746" s="340"/>
      <c r="D746" s="341"/>
      <c r="E746" s="342"/>
      <c r="F746" s="343"/>
      <c r="G746" s="341"/>
      <c r="H746" s="194"/>
    </row>
    <row r="747" spans="1:8" x14ac:dyDescent="0.25">
      <c r="A747" s="339"/>
      <c r="B747" s="340"/>
      <c r="C747" s="340"/>
      <c r="D747" s="341"/>
      <c r="E747" s="342"/>
      <c r="F747" s="343"/>
      <c r="G747" s="341"/>
      <c r="H747" s="194"/>
    </row>
    <row r="748" spans="1:8" x14ac:dyDescent="0.25">
      <c r="A748" s="339"/>
      <c r="B748" s="340"/>
      <c r="C748" s="340"/>
      <c r="D748" s="341"/>
      <c r="E748" s="342"/>
      <c r="F748" s="343"/>
      <c r="G748" s="341"/>
      <c r="H748" s="194"/>
    </row>
    <row r="749" spans="1:8" x14ac:dyDescent="0.25">
      <c r="A749" s="339"/>
      <c r="B749" s="340"/>
      <c r="C749" s="340"/>
      <c r="D749" s="341"/>
      <c r="E749" s="342"/>
      <c r="F749" s="343"/>
      <c r="G749" s="341"/>
      <c r="H749" s="194"/>
    </row>
    <row r="750" spans="1:8" x14ac:dyDescent="0.25">
      <c r="A750" s="339"/>
      <c r="B750" s="340"/>
      <c r="C750" s="340"/>
      <c r="D750" s="341"/>
      <c r="E750" s="342"/>
      <c r="F750" s="343"/>
      <c r="G750" s="341"/>
      <c r="H750" s="194"/>
    </row>
    <row r="751" spans="1:8" x14ac:dyDescent="0.25">
      <c r="A751" s="339"/>
      <c r="B751" s="340"/>
      <c r="C751" s="340"/>
      <c r="D751" s="341"/>
      <c r="E751" s="342"/>
      <c r="F751" s="343"/>
      <c r="G751" s="341"/>
      <c r="H751" s="194"/>
    </row>
    <row r="752" spans="1:8" x14ac:dyDescent="0.25">
      <c r="A752" s="339"/>
      <c r="B752" s="340"/>
      <c r="C752" s="340"/>
      <c r="D752" s="341"/>
      <c r="E752" s="342"/>
      <c r="F752" s="343"/>
      <c r="G752" s="341"/>
      <c r="H752" s="194"/>
    </row>
    <row r="753" spans="1:8" x14ac:dyDescent="0.25">
      <c r="A753" s="339"/>
      <c r="B753" s="340"/>
      <c r="C753" s="340"/>
      <c r="D753" s="341"/>
      <c r="E753" s="342"/>
      <c r="F753" s="343"/>
      <c r="G753" s="341"/>
      <c r="H753" s="194"/>
    </row>
    <row r="754" spans="1:8" x14ac:dyDescent="0.25">
      <c r="A754" s="339"/>
      <c r="B754" s="340"/>
      <c r="C754" s="340"/>
      <c r="D754" s="341"/>
      <c r="E754" s="342"/>
      <c r="F754" s="343"/>
      <c r="G754" s="341"/>
      <c r="H754" s="194"/>
    </row>
    <row r="755" spans="1:8" x14ac:dyDescent="0.25">
      <c r="A755" s="339"/>
      <c r="B755" s="340"/>
      <c r="C755" s="340"/>
      <c r="D755" s="341"/>
      <c r="E755" s="342"/>
      <c r="F755" s="343"/>
      <c r="G755" s="341"/>
      <c r="H755" s="194"/>
    </row>
    <row r="756" spans="1:8" x14ac:dyDescent="0.25">
      <c r="A756" s="339"/>
      <c r="B756" s="340"/>
      <c r="C756" s="340"/>
      <c r="D756" s="341"/>
      <c r="E756" s="342"/>
      <c r="F756" s="343"/>
      <c r="G756" s="341"/>
      <c r="H756" s="194"/>
    </row>
    <row r="757" spans="1:8" x14ac:dyDescent="0.25">
      <c r="A757" s="339"/>
      <c r="B757" s="340"/>
      <c r="C757" s="340"/>
      <c r="D757" s="341"/>
      <c r="E757" s="342"/>
      <c r="F757" s="343"/>
      <c r="G757" s="341"/>
      <c r="H757" s="194"/>
    </row>
    <row r="758" spans="1:8" x14ac:dyDescent="0.25">
      <c r="A758" s="339"/>
      <c r="B758" s="340"/>
      <c r="C758" s="340"/>
      <c r="D758" s="341"/>
      <c r="E758" s="342"/>
      <c r="F758" s="343"/>
      <c r="G758" s="341"/>
      <c r="H758" s="194"/>
    </row>
    <row r="759" spans="1:8" x14ac:dyDescent="0.25">
      <c r="A759" s="339"/>
      <c r="B759" s="340"/>
      <c r="C759" s="340"/>
      <c r="D759" s="341"/>
      <c r="E759" s="342"/>
      <c r="F759" s="343"/>
      <c r="G759" s="341"/>
      <c r="H759" s="194"/>
    </row>
    <row r="760" spans="1:8" x14ac:dyDescent="0.25">
      <c r="A760" s="339"/>
      <c r="B760" s="340"/>
      <c r="C760" s="340"/>
      <c r="D760" s="341"/>
      <c r="E760" s="342"/>
      <c r="F760" s="343"/>
      <c r="G760" s="341"/>
      <c r="H760" s="194"/>
    </row>
    <row r="761" spans="1:8" x14ac:dyDescent="0.25">
      <c r="A761" s="339"/>
      <c r="B761" s="340"/>
      <c r="C761" s="340"/>
      <c r="D761" s="341"/>
      <c r="E761" s="342"/>
      <c r="F761" s="343"/>
      <c r="G761" s="341"/>
      <c r="H761" s="194"/>
    </row>
    <row r="762" spans="1:8" x14ac:dyDescent="0.25">
      <c r="A762" s="339"/>
      <c r="B762" s="340"/>
      <c r="C762" s="340"/>
      <c r="D762" s="341"/>
      <c r="E762" s="342"/>
      <c r="F762" s="343"/>
      <c r="G762" s="341"/>
      <c r="H762" s="194"/>
    </row>
    <row r="763" spans="1:8" x14ac:dyDescent="0.25">
      <c r="A763" s="339"/>
      <c r="B763" s="340"/>
      <c r="C763" s="340"/>
      <c r="D763" s="341"/>
      <c r="E763" s="342"/>
      <c r="F763" s="343"/>
      <c r="G763" s="341"/>
      <c r="H763" s="194"/>
    </row>
    <row r="764" spans="1:8" x14ac:dyDescent="0.25">
      <c r="A764" s="339"/>
      <c r="B764" s="340"/>
      <c r="C764" s="340"/>
      <c r="D764" s="341"/>
      <c r="E764" s="342"/>
      <c r="F764" s="343"/>
      <c r="G764" s="341"/>
      <c r="H764" s="194"/>
    </row>
    <row r="765" spans="1:8" x14ac:dyDescent="0.25">
      <c r="A765" s="339"/>
      <c r="B765" s="340"/>
      <c r="C765" s="340"/>
      <c r="D765" s="341"/>
      <c r="E765" s="342"/>
      <c r="F765" s="343"/>
      <c r="G765" s="341"/>
      <c r="H765" s="194"/>
    </row>
    <row r="766" spans="1:8" x14ac:dyDescent="0.25">
      <c r="A766" s="339"/>
      <c r="B766" s="340"/>
      <c r="C766" s="340"/>
      <c r="D766" s="341"/>
      <c r="E766" s="342"/>
      <c r="F766" s="343"/>
      <c r="G766" s="341"/>
      <c r="H766" s="194"/>
    </row>
    <row r="767" spans="1:8" x14ac:dyDescent="0.25">
      <c r="A767" s="339"/>
      <c r="B767" s="340"/>
      <c r="C767" s="340"/>
      <c r="D767" s="341"/>
      <c r="E767" s="342"/>
      <c r="F767" s="343"/>
      <c r="G767" s="341"/>
      <c r="H767" s="194"/>
    </row>
    <row r="768" spans="1:8" x14ac:dyDescent="0.25">
      <c r="A768" s="339"/>
      <c r="B768" s="340"/>
      <c r="C768" s="340"/>
      <c r="D768" s="341"/>
      <c r="E768" s="342"/>
      <c r="F768" s="343"/>
      <c r="G768" s="341"/>
      <c r="H768" s="194"/>
    </row>
    <row r="769" spans="1:8" x14ac:dyDescent="0.25">
      <c r="A769" s="339"/>
      <c r="B769" s="340"/>
      <c r="C769" s="340"/>
      <c r="D769" s="341"/>
      <c r="E769" s="342"/>
      <c r="F769" s="343"/>
      <c r="G769" s="341"/>
      <c r="H769" s="194"/>
    </row>
    <row r="770" spans="1:8" x14ac:dyDescent="0.25">
      <c r="A770" s="339"/>
      <c r="B770" s="340"/>
      <c r="C770" s="340"/>
      <c r="D770" s="341"/>
      <c r="E770" s="342"/>
      <c r="F770" s="343"/>
      <c r="G770" s="341"/>
      <c r="H770" s="194"/>
    </row>
    <row r="771" spans="1:8" x14ac:dyDescent="0.25">
      <c r="A771" s="339"/>
      <c r="B771" s="340"/>
      <c r="C771" s="340"/>
      <c r="D771" s="341"/>
      <c r="E771" s="342"/>
      <c r="F771" s="343"/>
      <c r="G771" s="341"/>
      <c r="H771" s="194"/>
    </row>
    <row r="772" spans="1:8" x14ac:dyDescent="0.25">
      <c r="A772" s="339"/>
      <c r="B772" s="340"/>
      <c r="C772" s="340"/>
      <c r="D772" s="341"/>
      <c r="E772" s="342"/>
      <c r="F772" s="343"/>
      <c r="G772" s="341"/>
      <c r="H772" s="194"/>
    </row>
    <row r="773" spans="1:8" x14ac:dyDescent="0.25">
      <c r="A773" s="339"/>
      <c r="B773" s="340"/>
      <c r="C773" s="340"/>
      <c r="D773" s="341"/>
      <c r="E773" s="342"/>
      <c r="F773" s="343"/>
      <c r="G773" s="341"/>
      <c r="H773" s="194"/>
    </row>
    <row r="774" spans="1:8" x14ac:dyDescent="0.25">
      <c r="A774" s="339"/>
      <c r="B774" s="340"/>
      <c r="C774" s="340"/>
      <c r="D774" s="341"/>
      <c r="E774" s="342"/>
      <c r="F774" s="343"/>
      <c r="G774" s="341"/>
      <c r="H774" s="194"/>
    </row>
    <row r="775" spans="1:8" x14ac:dyDescent="0.25">
      <c r="A775" s="339"/>
      <c r="B775" s="340"/>
      <c r="C775" s="340"/>
      <c r="D775" s="341"/>
      <c r="E775" s="342"/>
      <c r="F775" s="343"/>
      <c r="G775" s="341"/>
      <c r="H775" s="194"/>
    </row>
    <row r="776" spans="1:8" x14ac:dyDescent="0.25">
      <c r="A776" s="339"/>
      <c r="B776" s="340"/>
      <c r="C776" s="340"/>
      <c r="D776" s="341"/>
      <c r="E776" s="342"/>
      <c r="F776" s="343"/>
      <c r="G776" s="341"/>
      <c r="H776" s="194"/>
    </row>
    <row r="777" spans="1:8" x14ac:dyDescent="0.25">
      <c r="A777" s="339"/>
      <c r="B777" s="340"/>
      <c r="C777" s="340"/>
      <c r="D777" s="341"/>
      <c r="E777" s="342"/>
      <c r="F777" s="343"/>
      <c r="G777" s="341"/>
      <c r="H777" s="194"/>
    </row>
    <row r="778" spans="1:8" x14ac:dyDescent="0.25">
      <c r="A778" s="339"/>
      <c r="B778" s="340"/>
      <c r="C778" s="340"/>
      <c r="D778" s="341"/>
      <c r="E778" s="342"/>
      <c r="F778" s="343"/>
      <c r="G778" s="341"/>
      <c r="H778" s="194"/>
    </row>
    <row r="779" spans="1:8" x14ac:dyDescent="0.25">
      <c r="A779" s="339"/>
      <c r="B779" s="340"/>
      <c r="C779" s="340"/>
      <c r="D779" s="341"/>
      <c r="E779" s="342"/>
      <c r="F779" s="343"/>
      <c r="G779" s="341"/>
      <c r="H779" s="194"/>
    </row>
    <row r="780" spans="1:8" x14ac:dyDescent="0.25">
      <c r="A780" s="339"/>
      <c r="B780" s="340"/>
      <c r="C780" s="340"/>
      <c r="D780" s="341"/>
      <c r="E780" s="342"/>
      <c r="F780" s="343"/>
      <c r="G780" s="341"/>
      <c r="H780" s="194"/>
    </row>
    <row r="781" spans="1:8" x14ac:dyDescent="0.25">
      <c r="A781" s="339"/>
      <c r="B781" s="340"/>
      <c r="C781" s="340"/>
      <c r="D781" s="341"/>
      <c r="E781" s="342"/>
      <c r="F781" s="343"/>
      <c r="G781" s="341"/>
      <c r="H781" s="194"/>
    </row>
    <row r="782" spans="1:8" x14ac:dyDescent="0.25">
      <c r="A782" s="339"/>
      <c r="B782" s="340"/>
      <c r="C782" s="340"/>
      <c r="D782" s="341"/>
      <c r="E782" s="342"/>
      <c r="F782" s="343"/>
      <c r="G782" s="341"/>
      <c r="H782" s="194"/>
    </row>
    <row r="783" spans="1:8" x14ac:dyDescent="0.25">
      <c r="A783" s="339"/>
      <c r="B783" s="340"/>
      <c r="C783" s="340"/>
      <c r="D783" s="341"/>
      <c r="E783" s="342"/>
      <c r="F783" s="343"/>
      <c r="G783" s="341"/>
      <c r="H783" s="194"/>
    </row>
    <row r="784" spans="1:8" x14ac:dyDescent="0.25">
      <c r="A784" s="339"/>
      <c r="B784" s="340"/>
      <c r="C784" s="340"/>
      <c r="D784" s="341"/>
      <c r="E784" s="342"/>
      <c r="F784" s="343"/>
      <c r="G784" s="341"/>
      <c r="H784" s="194"/>
    </row>
    <row r="785" spans="1:8" x14ac:dyDescent="0.25">
      <c r="A785" s="339"/>
      <c r="B785" s="340"/>
      <c r="C785" s="340"/>
      <c r="D785" s="341"/>
      <c r="E785" s="342"/>
      <c r="F785" s="343"/>
      <c r="G785" s="341"/>
      <c r="H785" s="194"/>
    </row>
    <row r="786" spans="1:8" x14ac:dyDescent="0.25">
      <c r="A786" s="339"/>
      <c r="B786" s="340"/>
      <c r="C786" s="340"/>
      <c r="D786" s="341"/>
      <c r="E786" s="342"/>
      <c r="F786" s="343"/>
      <c r="G786" s="341"/>
      <c r="H786" s="194"/>
    </row>
    <row r="787" spans="1:8" x14ac:dyDescent="0.25">
      <c r="A787" s="339"/>
      <c r="B787" s="340"/>
      <c r="C787" s="340"/>
      <c r="D787" s="341"/>
      <c r="E787" s="342"/>
      <c r="F787" s="343"/>
      <c r="G787" s="341"/>
      <c r="H787" s="194"/>
    </row>
    <row r="788" spans="1:8" x14ac:dyDescent="0.25">
      <c r="A788" s="339"/>
      <c r="B788" s="340"/>
      <c r="C788" s="340"/>
      <c r="D788" s="341"/>
      <c r="E788" s="342"/>
      <c r="F788" s="343"/>
      <c r="G788" s="341"/>
      <c r="H788" s="194"/>
    </row>
  </sheetData>
  <mergeCells count="4">
    <mergeCell ref="A1:F1"/>
    <mergeCell ref="A2:F2"/>
    <mergeCell ref="A5:A6"/>
    <mergeCell ref="A344:A345"/>
  </mergeCells>
  <conditionalFormatting sqref="A491">
    <cfRule type="cellIs" dxfId="478" priority="8" operator="equal">
      <formula>"x"</formula>
    </cfRule>
  </conditionalFormatting>
  <conditionalFormatting sqref="D142:D143 D64:D65 D145:D147 D67:D102">
    <cfRule type="cellIs" dxfId="477" priority="7" operator="notEqual">
      <formula>#REF!</formula>
    </cfRule>
  </conditionalFormatting>
  <conditionalFormatting sqref="A491">
    <cfRule type="iconSet" priority="6">
      <iconSet iconSet="3Flags" showValue="0">
        <cfvo type="percent" val="0"/>
        <cfvo type="num" val="0"/>
        <cfvo type="num" val="1"/>
      </iconSet>
    </cfRule>
  </conditionalFormatting>
  <conditionalFormatting sqref="D157:D172">
    <cfRule type="cellIs" dxfId="476" priority="5" operator="notEqual">
      <formula>#REF!</formula>
    </cfRule>
  </conditionalFormatting>
  <conditionalFormatting sqref="H320">
    <cfRule type="cellIs" dxfId="475" priority="4" operator="notEqual">
      <formula>A320</formula>
    </cfRule>
  </conditionalFormatting>
  <conditionalFormatting sqref="D148:D150 D152:D153">
    <cfRule type="cellIs" dxfId="474" priority="3" operator="notEqual">
      <formula>#REF!</formula>
    </cfRule>
  </conditionalFormatting>
  <conditionalFormatting sqref="D151">
    <cfRule type="cellIs" dxfId="473" priority="2" operator="notEqual">
      <formula>#REF!</formula>
    </cfRule>
  </conditionalFormatting>
  <conditionalFormatting sqref="D144">
    <cfRule type="cellIs" dxfId="472" priority="1" operator="notEqual">
      <formula>#REF!</formula>
    </cfRule>
  </conditionalFormatting>
  <pageMargins left="0.7" right="0.7" top="0.78740157499999996" bottom="0.78740157499999996" header="0.3" footer="0.3"/>
  <pageSetup paperSize="9" orientation="portrait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E29"/>
  <sheetViews>
    <sheetView workbookViewId="0">
      <selection activeCell="I23" sqref="I23"/>
    </sheetView>
  </sheetViews>
  <sheetFormatPr defaultRowHeight="12.75" x14ac:dyDescent="0.2"/>
  <cols>
    <col min="1" max="1" width="60.5703125" bestFit="1" customWidth="1"/>
    <col min="2" max="2" width="26.140625" bestFit="1" customWidth="1"/>
    <col min="3" max="3" width="17.7109375" customWidth="1"/>
    <col min="4" max="4" width="11.140625" bestFit="1" customWidth="1"/>
    <col min="5" max="5" width="15.42578125" bestFit="1" customWidth="1"/>
  </cols>
  <sheetData>
    <row r="2" spans="1:5" ht="13.5" thickBot="1" x14ac:dyDescent="0.25">
      <c r="A2">
        <v>12</v>
      </c>
    </row>
    <row r="3" spans="1:5" x14ac:dyDescent="0.2">
      <c r="B3" s="682" t="s">
        <v>71</v>
      </c>
      <c r="C3" s="683"/>
      <c r="D3" s="151" t="s">
        <v>3</v>
      </c>
      <c r="E3" s="146" t="s">
        <v>4</v>
      </c>
    </row>
    <row r="4" spans="1:5" ht="13.5" thickBot="1" x14ac:dyDescent="0.25">
      <c r="B4" s="352" t="str">
        <f>INDEX($A$16:$A$28,A2)</f>
        <v>4223 Investiční přijaté transfery od regionálních rad</v>
      </c>
      <c r="C4" s="353"/>
      <c r="D4" s="124">
        <f>SUMIF('MB 5'!F7:F476,INDEX('MB 5'!B491:B502,$A$2),'MB 5'!$C$7:$C$476)</f>
        <v>52328.804300000003</v>
      </c>
      <c r="E4" s="124">
        <f>SUMIF('MB 5'!F$7:F$476, INDEX('MB 5'!$B491:$B502,$A$2),'MB 5'!$D7:$D476)</f>
        <v>71313897.030000001</v>
      </c>
    </row>
    <row r="14" spans="1:5" ht="13.5" thickBot="1" x14ac:dyDescent="0.25"/>
    <row r="15" spans="1:5" ht="13.5" thickBot="1" x14ac:dyDescent="0.25">
      <c r="A15" s="127" t="s">
        <v>71</v>
      </c>
      <c r="B15" s="152" t="s">
        <v>90</v>
      </c>
      <c r="C15" s="153" t="s">
        <v>4</v>
      </c>
    </row>
    <row r="16" spans="1:5" x14ac:dyDescent="0.2">
      <c r="A16" s="125" t="s">
        <v>70</v>
      </c>
      <c r="B16" s="126">
        <f>+SUMIF('MB 5'!$F$7:$F$476,'MB 5'!$B491,'MB 5'!$C$7:$C$476)</f>
        <v>0</v>
      </c>
      <c r="C16" s="126">
        <f>+SUMIF('MB 5'!$F$7:$F$476,'MB 5'!$B491,'MB 5'!$D$7:$D$476)</f>
        <v>0</v>
      </c>
    </row>
    <row r="17" spans="1:3" x14ac:dyDescent="0.2">
      <c r="A17" s="123" t="s">
        <v>87</v>
      </c>
      <c r="B17" s="126">
        <f>+SUMIF('MB 5'!$F$7:$F$476,'MB 5'!$B492,'MB 5'!$C$7:$C$476)</f>
        <v>5940.0509700000011</v>
      </c>
      <c r="C17" s="126">
        <f>+SUMIF('MB 5'!$F$7:$F$476,'MB 5'!$B492,'MB 5'!$D$7:$D$476)</f>
        <v>1962117.21</v>
      </c>
    </row>
    <row r="18" spans="1:3" x14ac:dyDescent="0.2">
      <c r="A18" s="123" t="s">
        <v>88</v>
      </c>
      <c r="B18" s="126">
        <f>+SUMIF('MB 5'!$F$7:$F$476,'MB 5'!$B493,'MB 5'!$C$7:$C$476)</f>
        <v>32581.018169999999</v>
      </c>
      <c r="C18" s="126">
        <f>+SUMIF('MB 5'!$F$7:$F$476,'MB 5'!$B493,'MB 5'!$D$7:$D$476)</f>
        <v>32215434.18</v>
      </c>
    </row>
    <row r="19" spans="1:3" x14ac:dyDescent="0.2">
      <c r="A19" s="123" t="s">
        <v>89</v>
      </c>
      <c r="B19" s="126">
        <f>+SUMIF('MB 5'!$F$7:$F$476,'MB 5'!$B494,'MB 5'!$C$7:$C$476)</f>
        <v>0</v>
      </c>
      <c r="C19" s="126">
        <f>+SUMIF('MB 5'!$F$7:$F$476,'MB 5'!$B494,'MB 5'!$D$7:$D$476)</f>
        <v>0</v>
      </c>
    </row>
    <row r="20" spans="1:3" x14ac:dyDescent="0.2">
      <c r="A20" s="123" t="s">
        <v>72</v>
      </c>
      <c r="B20" s="126">
        <f>+SUMIF('MB 5'!$F$7:$F$476,'MB 5'!$B495,'MB 5'!$C$7:$C$476)</f>
        <v>98530.433199999999</v>
      </c>
      <c r="C20" s="126">
        <f>+SUMIF('MB 5'!$F$7:$F$476,'MB 5'!$B495,'MB 5'!$D$7:$D$476)</f>
        <v>65055069.68</v>
      </c>
    </row>
    <row r="21" spans="1:3" x14ac:dyDescent="0.2">
      <c r="A21" s="123" t="s">
        <v>73</v>
      </c>
      <c r="B21" s="126">
        <f>+SUMIF('MB 5'!$F$7:$F$476,'MB 5'!$B496,'MB 5'!$C$7:$C$476)</f>
        <v>984.7969700000001</v>
      </c>
      <c r="C21" s="126">
        <f>+SUMIF('MB 5'!$F$7:$F$476,'MB 5'!$B496,'MB 5'!$D$7:$D$476)</f>
        <v>984796.97</v>
      </c>
    </row>
    <row r="22" spans="1:3" x14ac:dyDescent="0.2">
      <c r="A22" s="123" t="s">
        <v>74</v>
      </c>
      <c r="B22" s="126">
        <f>+SUMIF('MB 5'!$F$7:$F$476,'MB 5'!$B497,'MB 5'!$C$7:$C$476)</f>
        <v>0</v>
      </c>
      <c r="C22" s="126">
        <f>+SUMIF('MB 5'!$F$7:$F$476,'MB 5'!$B497,'MB 5'!$D$7:$D$476)</f>
        <v>0</v>
      </c>
    </row>
    <row r="23" spans="1:3" x14ac:dyDescent="0.2">
      <c r="A23" s="123" t="s">
        <v>75</v>
      </c>
      <c r="B23" s="126">
        <f>+SUMIF('MB 5'!$F$7:$F$476,'MB 5'!$B498,'MB 5'!$C$7:$C$476)</f>
        <v>582</v>
      </c>
      <c r="C23" s="126">
        <f>+SUMIF('MB 5'!$F$7:$F$476,'MB 5'!$B498,'MB 5'!$D$7:$D$476)</f>
        <v>581714.24</v>
      </c>
    </row>
    <row r="24" spans="1:3" x14ac:dyDescent="0.2">
      <c r="A24" s="123" t="s">
        <v>86</v>
      </c>
      <c r="B24" s="126">
        <f>+SUMIF('MB 5'!$F$7:$F$476,'MB 5'!$B499,'MB 5'!$C$7:$C$476)</f>
        <v>581.68250999999998</v>
      </c>
      <c r="C24" s="126">
        <f>+SUMIF('MB 5'!$F$7:$F$476,'MB 5'!$B499,'MB 5'!$D$7:$D$476)</f>
        <v>656317.54</v>
      </c>
    </row>
    <row r="25" spans="1:3" x14ac:dyDescent="0.2">
      <c r="A25" s="123" t="s">
        <v>76</v>
      </c>
      <c r="B25" s="126">
        <f>+SUMIF('MB 5'!$F$7:$F$476,'MB 5'!$B500,'MB 5'!$C$7:$C$476)</f>
        <v>6438.8626500000009</v>
      </c>
      <c r="C25" s="126">
        <f>+SUMIF('MB 5'!$F$7:$F$476,'MB 5'!$B500,'MB 5'!$D$7:$D$476)</f>
        <v>30485503.73</v>
      </c>
    </row>
    <row r="26" spans="1:3" x14ac:dyDescent="0.2">
      <c r="A26" s="123" t="s">
        <v>77</v>
      </c>
      <c r="B26" s="126">
        <f>+SUMIF('MB 5'!$F$7:$F$476,'MB 5'!$B501,'MB 5'!$C$7:$C$476)</f>
        <v>0</v>
      </c>
      <c r="C26" s="126">
        <f>+SUMIF('MB 5'!$F$7:$F$476,'MB 5'!$B501,'MB 5'!$D$7:$D$476)</f>
        <v>0</v>
      </c>
    </row>
    <row r="27" spans="1:3" x14ac:dyDescent="0.2">
      <c r="A27" s="123" t="s">
        <v>78</v>
      </c>
      <c r="B27" s="126">
        <f>+SUMIF('MB 5'!$F$7:$F$476,'MB 5'!$B502,'MB 5'!$C$7:$C$476)</f>
        <v>52328.804300000003</v>
      </c>
      <c r="C27" s="126">
        <f>+SUMIF('MB 5'!$F$7:$F$476,'MB 5'!$B502,'MB 5'!$D$7:$D$476)</f>
        <v>71313897.030000001</v>
      </c>
    </row>
    <row r="28" spans="1:3" ht="13.5" thickBot="1" x14ac:dyDescent="0.25">
      <c r="A28" s="148" t="s">
        <v>263</v>
      </c>
      <c r="B28" s="126">
        <f>+SUMIF('MB 5'!$F$7:$F$476,'MB 5'!$B503,'MB 5'!$C$7:$C$476)</f>
        <v>0</v>
      </c>
      <c r="C28" s="126">
        <f>+SUMIF('MB 5'!$F$7:$F$476,'MB 5'!$B503,'MB 5'!$D$7:$D$476)</f>
        <v>0</v>
      </c>
    </row>
    <row r="29" spans="1:3" s="147" customFormat="1" ht="13.5" thickBot="1" x14ac:dyDescent="0.25">
      <c r="A29" s="127" t="s">
        <v>85</v>
      </c>
      <c r="B29" s="128">
        <f>+SUM(B16:B28)</f>
        <v>197967.64877000003</v>
      </c>
      <c r="C29" s="129">
        <f>+SUM(C16:C28)</f>
        <v>203254850.57999998</v>
      </c>
    </row>
  </sheetData>
  <mergeCells count="1">
    <mergeCell ref="B3:C3"/>
  </mergeCells>
  <pageMargins left="0.7" right="0.7" top="0.78740157499999996" bottom="0.78740157499999996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8129" r:id="rId4" name="Drop Down 1">
              <controlPr defaultSize="0" autoLine="0" autoPict="0">
                <anchor moveWithCells="1">
                  <from>
                    <xdr:col>0</xdr:col>
                    <xdr:colOff>47625</xdr:colOff>
                    <xdr:row>6</xdr:row>
                    <xdr:rowOff>0</xdr:rowOff>
                  </from>
                  <to>
                    <xdr:col>0</xdr:col>
                    <xdr:colOff>2695575</xdr:colOff>
                    <xdr:row>11</xdr:row>
                    <xdr:rowOff>104775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789"/>
  <sheetViews>
    <sheetView topLeftCell="B1" zoomScaleNormal="100" workbookViewId="0">
      <selection activeCell="I23" sqref="I23"/>
    </sheetView>
  </sheetViews>
  <sheetFormatPr defaultColWidth="9.140625" defaultRowHeight="15.75" x14ac:dyDescent="0.25"/>
  <cols>
    <col min="1" max="1" width="11.28515625" style="305" customWidth="1"/>
    <col min="2" max="2" width="90" style="45" customWidth="1"/>
    <col min="3" max="3" width="17.5703125" style="45" customWidth="1"/>
    <col min="4" max="4" width="16.7109375" style="45" bestFit="1" customWidth="1"/>
    <col min="5" max="5" width="15.28515625" style="306" bestFit="1" customWidth="1"/>
    <col min="6" max="6" width="17.140625" style="306" customWidth="1"/>
    <col min="7" max="7" width="22" style="269" customWidth="1"/>
    <col min="8" max="8" width="24.5703125" style="45" customWidth="1"/>
    <col min="9" max="9" width="25" style="45" bestFit="1" customWidth="1"/>
    <col min="10" max="10" width="17" style="45" customWidth="1"/>
    <col min="11" max="11" width="13.85546875" style="45" bestFit="1" customWidth="1"/>
    <col min="12" max="12" width="9.85546875" style="45" bestFit="1" customWidth="1"/>
    <col min="13" max="13" width="9.140625" style="45"/>
    <col min="14" max="14" width="13.85546875" style="45" bestFit="1" customWidth="1"/>
    <col min="15" max="16384" width="9.140625" style="45"/>
  </cols>
  <sheetData>
    <row r="1" spans="1:8" ht="22.5" x14ac:dyDescent="0.3">
      <c r="A1" s="689" t="s">
        <v>0</v>
      </c>
      <c r="B1" s="689"/>
      <c r="C1" s="689"/>
      <c r="D1" s="689"/>
      <c r="E1" s="689"/>
      <c r="F1" s="689"/>
    </row>
    <row r="2" spans="1:8" ht="22.5" x14ac:dyDescent="0.3">
      <c r="A2" s="689" t="s">
        <v>261</v>
      </c>
      <c r="B2" s="689"/>
      <c r="C2" s="689"/>
      <c r="D2" s="689"/>
      <c r="E2" s="689"/>
      <c r="F2" s="689"/>
    </row>
    <row r="3" spans="1:8" ht="22.5" x14ac:dyDescent="0.3">
      <c r="A3" s="346"/>
      <c r="B3" s="270"/>
      <c r="C3" s="271"/>
      <c r="D3" s="346"/>
      <c r="E3" s="346"/>
      <c r="F3" s="346"/>
    </row>
    <row r="4" spans="1:8" ht="23.25" thickBot="1" x14ac:dyDescent="0.35">
      <c r="A4" s="346"/>
      <c r="B4" s="346"/>
      <c r="C4" s="346"/>
      <c r="D4" s="346"/>
      <c r="E4" s="346"/>
      <c r="F4" s="269"/>
    </row>
    <row r="5" spans="1:8" x14ac:dyDescent="0.25">
      <c r="A5" s="690" t="s">
        <v>193</v>
      </c>
      <c r="B5" s="5"/>
      <c r="C5" s="5"/>
      <c r="D5" s="117"/>
      <c r="E5" s="266"/>
      <c r="F5" s="266"/>
      <c r="G5" s="79"/>
    </row>
    <row r="6" spans="1:8" ht="16.5" thickBot="1" x14ac:dyDescent="0.3">
      <c r="A6" s="691"/>
      <c r="B6" s="10" t="s">
        <v>2</v>
      </c>
      <c r="C6" s="10" t="s">
        <v>3</v>
      </c>
      <c r="D6" s="118" t="s">
        <v>4</v>
      </c>
      <c r="E6" s="267" t="s">
        <v>5</v>
      </c>
      <c r="F6" s="267" t="s">
        <v>6</v>
      </c>
    </row>
    <row r="7" spans="1:8" s="275" customFormat="1" x14ac:dyDescent="0.25">
      <c r="A7" s="272"/>
      <c r="B7" s="273" t="s">
        <v>7</v>
      </c>
      <c r="C7" s="15">
        <f>+SUM(C8:C10)</f>
        <v>0</v>
      </c>
      <c r="D7" s="15">
        <f>+SUM(D8:D10)</f>
        <v>0</v>
      </c>
      <c r="E7" s="274"/>
      <c r="F7" s="274"/>
      <c r="G7" s="45"/>
      <c r="H7" s="45"/>
    </row>
    <row r="8" spans="1:8" x14ac:dyDescent="0.25">
      <c r="A8" s="272"/>
      <c r="B8" s="107"/>
      <c r="C8" s="21"/>
      <c r="D8" s="21"/>
      <c r="E8" s="268"/>
      <c r="F8" s="268">
        <v>4111</v>
      </c>
      <c r="G8" s="45"/>
    </row>
    <row r="9" spans="1:8" x14ac:dyDescent="0.25">
      <c r="A9" s="272"/>
      <c r="B9" s="107"/>
      <c r="C9" s="21"/>
      <c r="D9" s="21"/>
      <c r="E9" s="268"/>
      <c r="F9" s="268">
        <v>4111</v>
      </c>
      <c r="G9" s="45"/>
    </row>
    <row r="10" spans="1:8" x14ac:dyDescent="0.25">
      <c r="A10" s="272"/>
      <c r="B10" s="44"/>
      <c r="C10" s="21"/>
      <c r="D10" s="21"/>
      <c r="E10" s="268"/>
      <c r="F10" s="268"/>
      <c r="G10" s="45"/>
    </row>
    <row r="11" spans="1:8" x14ac:dyDescent="0.25">
      <c r="A11" s="272"/>
      <c r="B11" s="276"/>
      <c r="C11" s="21"/>
      <c r="D11" s="21"/>
      <c r="E11" s="268"/>
      <c r="F11" s="268"/>
      <c r="G11" s="45"/>
    </row>
    <row r="12" spans="1:8" x14ac:dyDescent="0.25">
      <c r="A12" s="43"/>
      <c r="B12" s="273" t="s">
        <v>8</v>
      </c>
      <c r="C12" s="27">
        <f>+SUM(C13:C16)</f>
        <v>5902.2090000000007</v>
      </c>
      <c r="D12" s="27">
        <f>+SUM(D13:D16)</f>
        <v>2181537</v>
      </c>
      <c r="E12" s="67"/>
      <c r="F12" s="277"/>
      <c r="G12" s="45"/>
    </row>
    <row r="13" spans="1:8" x14ac:dyDescent="0.25">
      <c r="A13" s="43"/>
      <c r="B13" s="107" t="s">
        <v>9</v>
      </c>
      <c r="C13" s="347">
        <v>111.04</v>
      </c>
      <c r="D13" s="347">
        <v>55520</v>
      </c>
      <c r="E13" s="268">
        <v>92241</v>
      </c>
      <c r="F13" s="277" t="s">
        <v>10</v>
      </c>
      <c r="G13" s="45"/>
    </row>
    <row r="14" spans="1:8" x14ac:dyDescent="0.25">
      <c r="A14" s="43"/>
      <c r="B14" s="107" t="s">
        <v>11</v>
      </c>
      <c r="C14" s="347">
        <v>2001.1780000000001</v>
      </c>
      <c r="D14" s="21">
        <f>108171+109620+15221+509931+48588+64784+72882+72882</f>
        <v>1002079</v>
      </c>
      <c r="E14" s="268">
        <v>92241</v>
      </c>
      <c r="F14" s="277" t="s">
        <v>10</v>
      </c>
      <c r="G14" s="45" t="s">
        <v>257</v>
      </c>
      <c r="H14" s="45">
        <f>48588+64784+72882+72882</f>
        <v>259136</v>
      </c>
    </row>
    <row r="15" spans="1:8" x14ac:dyDescent="0.25">
      <c r="A15" s="43"/>
      <c r="B15" s="107" t="s">
        <v>12</v>
      </c>
      <c r="C15" s="347">
        <v>1575.905</v>
      </c>
      <c r="D15" s="347">
        <v>345411</v>
      </c>
      <c r="E15" s="268">
        <v>92241</v>
      </c>
      <c r="F15" s="277" t="s">
        <v>10</v>
      </c>
      <c r="G15" s="45"/>
    </row>
    <row r="16" spans="1:8" x14ac:dyDescent="0.25">
      <c r="A16" s="43"/>
      <c r="B16" s="107" t="s">
        <v>13</v>
      </c>
      <c r="C16" s="347">
        <v>2214.0859999999998</v>
      </c>
      <c r="D16" s="347">
        <v>778527</v>
      </c>
      <c r="E16" s="268">
        <v>92241</v>
      </c>
      <c r="F16" s="277" t="s">
        <v>10</v>
      </c>
      <c r="G16" s="45"/>
    </row>
    <row r="17" spans="1:7" x14ac:dyDescent="0.25">
      <c r="A17" s="272"/>
      <c r="B17" s="107"/>
      <c r="C17" s="21"/>
      <c r="D17" s="21"/>
      <c r="E17" s="268"/>
      <c r="F17" s="277"/>
      <c r="G17" s="45"/>
    </row>
    <row r="18" spans="1:7" x14ac:dyDescent="0.25">
      <c r="A18" s="272"/>
      <c r="B18" s="273" t="s">
        <v>14</v>
      </c>
      <c r="C18" s="31">
        <f>+SUM(C19:C30)</f>
        <v>35.180390000000003</v>
      </c>
      <c r="D18" s="31">
        <f>+SUM(D19:D30)</f>
        <v>35180.39</v>
      </c>
      <c r="E18" s="268"/>
      <c r="F18" s="277"/>
      <c r="G18" s="45"/>
    </row>
    <row r="19" spans="1:7" x14ac:dyDescent="0.25">
      <c r="A19" s="272">
        <v>42117</v>
      </c>
      <c r="B19" s="276" t="s">
        <v>146</v>
      </c>
      <c r="C19" s="21">
        <v>33.306150000000002</v>
      </c>
      <c r="D19" s="21">
        <v>33306.15</v>
      </c>
      <c r="E19" s="268">
        <v>90001</v>
      </c>
      <c r="F19" s="277">
        <v>4113</v>
      </c>
      <c r="G19" s="45"/>
    </row>
    <row r="20" spans="1:7" x14ac:dyDescent="0.25">
      <c r="A20" s="272"/>
      <c r="B20" s="276"/>
      <c r="C20" s="21"/>
      <c r="D20" s="21"/>
      <c r="E20" s="268"/>
      <c r="F20" s="277">
        <v>4113</v>
      </c>
      <c r="G20" s="45"/>
    </row>
    <row r="21" spans="1:7" x14ac:dyDescent="0.25">
      <c r="A21" s="272"/>
      <c r="B21" s="276"/>
      <c r="C21" s="21"/>
      <c r="D21" s="21"/>
      <c r="E21" s="268"/>
      <c r="F21" s="277">
        <v>4113</v>
      </c>
      <c r="G21" s="45"/>
    </row>
    <row r="22" spans="1:7" x14ac:dyDescent="0.25">
      <c r="A22" s="272"/>
      <c r="B22" s="276"/>
      <c r="C22" s="21"/>
      <c r="D22" s="21"/>
      <c r="E22" s="268"/>
      <c r="F22" s="277">
        <v>4113</v>
      </c>
      <c r="G22" s="45"/>
    </row>
    <row r="23" spans="1:7" x14ac:dyDescent="0.25">
      <c r="A23" s="272"/>
      <c r="B23" s="276"/>
      <c r="C23" s="21"/>
      <c r="D23" s="21"/>
      <c r="E23" s="268"/>
      <c r="F23" s="277">
        <v>4113</v>
      </c>
      <c r="G23" s="45"/>
    </row>
    <row r="24" spans="1:7" x14ac:dyDescent="0.25">
      <c r="A24" s="272"/>
      <c r="B24" s="276"/>
      <c r="C24" s="21"/>
      <c r="D24" s="21"/>
      <c r="E24" s="268"/>
      <c r="F24" s="277">
        <v>4113</v>
      </c>
      <c r="G24" s="45"/>
    </row>
    <row r="25" spans="1:7" x14ac:dyDescent="0.25">
      <c r="A25" s="272"/>
      <c r="B25" s="276"/>
      <c r="C25" s="21"/>
      <c r="D25" s="21"/>
      <c r="E25" s="268"/>
      <c r="F25" s="277">
        <v>4113</v>
      </c>
      <c r="G25" s="45"/>
    </row>
    <row r="26" spans="1:7" x14ac:dyDescent="0.25">
      <c r="A26" s="272"/>
      <c r="B26" s="276"/>
      <c r="C26" s="21"/>
      <c r="D26" s="21"/>
      <c r="E26" s="268"/>
      <c r="F26" s="277">
        <v>4113</v>
      </c>
      <c r="G26" s="45"/>
    </row>
    <row r="27" spans="1:7" x14ac:dyDescent="0.25">
      <c r="A27" s="272"/>
      <c r="B27" s="276"/>
      <c r="C27" s="21"/>
      <c r="D27" s="21"/>
      <c r="E27" s="268"/>
      <c r="F27" s="277">
        <v>4113</v>
      </c>
      <c r="G27" s="45"/>
    </row>
    <row r="28" spans="1:7" x14ac:dyDescent="0.25">
      <c r="A28" s="272"/>
      <c r="B28" s="276"/>
      <c r="C28" s="21"/>
      <c r="D28" s="21"/>
      <c r="E28" s="268"/>
      <c r="F28" s="277">
        <v>4113</v>
      </c>
      <c r="G28" s="45"/>
    </row>
    <row r="29" spans="1:7" x14ac:dyDescent="0.25">
      <c r="A29" s="272"/>
      <c r="B29" s="276" t="s">
        <v>168</v>
      </c>
      <c r="C29" s="347">
        <v>1.8742399999999999</v>
      </c>
      <c r="D29" s="347">
        <v>1874.24</v>
      </c>
      <c r="E29" s="268">
        <v>90001</v>
      </c>
      <c r="F29" s="277">
        <v>4113</v>
      </c>
      <c r="G29" s="45"/>
    </row>
    <row r="30" spans="1:7" x14ac:dyDescent="0.25">
      <c r="A30" s="272"/>
      <c r="B30" s="276"/>
      <c r="C30" s="21"/>
      <c r="D30" s="21"/>
      <c r="E30" s="268"/>
      <c r="F30" s="277">
        <v>4113</v>
      </c>
      <c r="G30" s="45"/>
    </row>
    <row r="31" spans="1:7" x14ac:dyDescent="0.25">
      <c r="A31" s="272"/>
      <c r="B31" s="107"/>
      <c r="C31" s="21"/>
      <c r="D31" s="21"/>
      <c r="E31" s="268"/>
      <c r="F31" s="277"/>
      <c r="G31" s="45"/>
    </row>
    <row r="32" spans="1:7" x14ac:dyDescent="0.25">
      <c r="A32" s="272"/>
      <c r="B32" s="273" t="s">
        <v>15</v>
      </c>
      <c r="C32" s="31">
        <f>+C33+C34</f>
        <v>4.5358200000000002</v>
      </c>
      <c r="D32" s="31">
        <f>+D33+D34</f>
        <v>4535.82</v>
      </c>
      <c r="E32" s="268"/>
      <c r="F32" s="277"/>
      <c r="G32" s="45"/>
    </row>
    <row r="33" spans="1:11" x14ac:dyDescent="0.25">
      <c r="A33" s="272"/>
      <c r="B33" s="107" t="s">
        <v>16</v>
      </c>
      <c r="C33" s="347">
        <v>4.5358200000000002</v>
      </c>
      <c r="D33" s="347">
        <v>4535.82</v>
      </c>
      <c r="E33" s="268">
        <v>89450</v>
      </c>
      <c r="F33" s="277">
        <v>4113</v>
      </c>
      <c r="G33" s="45"/>
    </row>
    <row r="34" spans="1:11" x14ac:dyDescent="0.25">
      <c r="A34" s="272"/>
      <c r="B34" s="107" t="s">
        <v>16</v>
      </c>
      <c r="C34" s="21"/>
      <c r="D34" s="21"/>
      <c r="E34" s="268">
        <v>89023</v>
      </c>
      <c r="F34" s="277">
        <v>4113</v>
      </c>
      <c r="G34" s="45"/>
    </row>
    <row r="35" spans="1:11" x14ac:dyDescent="0.25">
      <c r="A35" s="272"/>
      <c r="B35" s="278"/>
      <c r="C35" s="21"/>
      <c r="D35" s="163"/>
      <c r="E35" s="279"/>
      <c r="F35" s="268"/>
      <c r="G35" s="45"/>
    </row>
    <row r="36" spans="1:11" s="275" customFormat="1" x14ac:dyDescent="0.25">
      <c r="A36" s="272"/>
      <c r="B36" s="273" t="s">
        <v>17</v>
      </c>
      <c r="C36" s="273">
        <f>SUM(C37:C59)</f>
        <v>21355.135999999999</v>
      </c>
      <c r="D36" s="31">
        <f>SUM(D37:D59)</f>
        <v>10500875</v>
      </c>
      <c r="E36" s="280"/>
      <c r="F36" s="281"/>
      <c r="G36" s="45"/>
      <c r="H36" s="45"/>
      <c r="I36" s="45"/>
      <c r="J36" s="45"/>
    </row>
    <row r="37" spans="1:11" x14ac:dyDescent="0.25">
      <c r="A37" s="43">
        <v>42053</v>
      </c>
      <c r="B37" s="107" t="s">
        <v>37</v>
      </c>
      <c r="C37" s="282">
        <v>3744</v>
      </c>
      <c r="D37" s="20">
        <v>3744000</v>
      </c>
      <c r="E37" s="108">
        <v>13010</v>
      </c>
      <c r="F37" s="277">
        <v>4116</v>
      </c>
      <c r="G37" s="45"/>
    </row>
    <row r="38" spans="1:11" x14ac:dyDescent="0.25">
      <c r="A38" s="272">
        <v>42123</v>
      </c>
      <c r="B38" s="107" t="s">
        <v>37</v>
      </c>
      <c r="C38" s="21">
        <v>8</v>
      </c>
      <c r="D38" s="20">
        <v>8000</v>
      </c>
      <c r="E38" s="108">
        <v>13010</v>
      </c>
      <c r="F38" s="277">
        <v>4116</v>
      </c>
      <c r="G38" s="45"/>
    </row>
    <row r="39" spans="1:11" x14ac:dyDescent="0.25">
      <c r="A39" s="272">
        <v>42152</v>
      </c>
      <c r="B39" s="107" t="s">
        <v>37</v>
      </c>
      <c r="C39" s="21">
        <v>12</v>
      </c>
      <c r="D39" s="20">
        <v>12000</v>
      </c>
      <c r="E39" s="108">
        <v>13010</v>
      </c>
      <c r="F39" s="277">
        <v>4116</v>
      </c>
      <c r="G39" s="45"/>
    </row>
    <row r="40" spans="1:11" s="275" customFormat="1" x14ac:dyDescent="0.25">
      <c r="A40" s="272">
        <v>42184</v>
      </c>
      <c r="B40" s="107" t="s">
        <v>37</v>
      </c>
      <c r="C40" s="21">
        <v>0</v>
      </c>
      <c r="D40" s="20">
        <v>44000</v>
      </c>
      <c r="E40" s="108">
        <v>13010</v>
      </c>
      <c r="F40" s="277">
        <v>4116</v>
      </c>
      <c r="G40" s="45"/>
      <c r="H40" s="45"/>
      <c r="I40" s="45"/>
      <c r="J40" s="45"/>
      <c r="K40" s="45"/>
    </row>
    <row r="41" spans="1:11" x14ac:dyDescent="0.25">
      <c r="A41" s="43"/>
      <c r="B41" s="107" t="s">
        <v>97</v>
      </c>
      <c r="C41" s="347">
        <v>267</v>
      </c>
      <c r="D41" s="347">
        <v>234369</v>
      </c>
      <c r="E41" s="108">
        <v>13101</v>
      </c>
      <c r="F41" s="277">
        <v>4116</v>
      </c>
      <c r="G41" s="45"/>
    </row>
    <row r="42" spans="1:11" x14ac:dyDescent="0.25">
      <c r="A42" s="43"/>
      <c r="B42" s="107" t="s">
        <v>65</v>
      </c>
      <c r="C42" s="347">
        <f>42+22</f>
        <v>64</v>
      </c>
      <c r="D42" s="347">
        <f>40896+16866</f>
        <v>57762</v>
      </c>
      <c r="E42" s="108">
        <v>13101</v>
      </c>
      <c r="F42" s="277" t="s">
        <v>18</v>
      </c>
      <c r="G42" s="45"/>
    </row>
    <row r="43" spans="1:11" x14ac:dyDescent="0.25">
      <c r="A43" s="43"/>
      <c r="B43" s="107" t="s">
        <v>98</v>
      </c>
      <c r="C43" s="347">
        <v>305.11</v>
      </c>
      <c r="D43" s="347">
        <v>365528</v>
      </c>
      <c r="E43" s="283">
        <v>13101</v>
      </c>
      <c r="F43" s="284">
        <v>4116</v>
      </c>
      <c r="G43" s="45"/>
    </row>
    <row r="44" spans="1:11" s="275" customFormat="1" x14ac:dyDescent="0.25">
      <c r="A44" s="272"/>
      <c r="B44" s="107" t="s">
        <v>99</v>
      </c>
      <c r="C44" s="347">
        <v>22</v>
      </c>
      <c r="D44" s="347">
        <v>22000</v>
      </c>
      <c r="E44" s="283">
        <v>13101</v>
      </c>
      <c r="F44" s="284">
        <v>4116</v>
      </c>
      <c r="G44" s="45"/>
      <c r="H44" s="45"/>
      <c r="I44" s="45"/>
      <c r="J44" s="45"/>
      <c r="K44" s="45"/>
    </row>
    <row r="45" spans="1:11" s="275" customFormat="1" x14ac:dyDescent="0.25">
      <c r="A45" s="272"/>
      <c r="B45" s="107" t="s">
        <v>19</v>
      </c>
      <c r="C45" s="174">
        <v>60</v>
      </c>
      <c r="D45" s="347">
        <v>24643</v>
      </c>
      <c r="E45" s="108">
        <v>13234</v>
      </c>
      <c r="F45" s="277">
        <v>4116</v>
      </c>
      <c r="G45" s="45"/>
      <c r="H45" s="45"/>
      <c r="I45" s="45"/>
      <c r="J45" s="45"/>
      <c r="K45" s="45"/>
    </row>
    <row r="46" spans="1:11" s="275" customFormat="1" x14ac:dyDescent="0.25">
      <c r="A46" s="272"/>
      <c r="B46" s="107" t="s">
        <v>20</v>
      </c>
      <c r="C46" s="174">
        <v>290</v>
      </c>
      <c r="D46" s="347">
        <v>130975</v>
      </c>
      <c r="E46" s="108">
        <v>13234</v>
      </c>
      <c r="F46" s="277">
        <v>4116</v>
      </c>
      <c r="G46" s="45"/>
      <c r="H46" s="45"/>
      <c r="I46" s="45"/>
      <c r="J46" s="45"/>
      <c r="K46" s="45"/>
    </row>
    <row r="47" spans="1:11" s="275" customFormat="1" x14ac:dyDescent="0.25">
      <c r="A47" s="272"/>
      <c r="B47" s="107" t="s">
        <v>23</v>
      </c>
      <c r="C47" s="174">
        <v>71.3</v>
      </c>
      <c r="D47" s="347">
        <v>71094</v>
      </c>
      <c r="E47" s="108">
        <v>13234</v>
      </c>
      <c r="F47" s="277">
        <v>4116</v>
      </c>
      <c r="G47" s="45"/>
      <c r="H47" s="45"/>
      <c r="I47" s="45"/>
      <c r="J47" s="45"/>
      <c r="K47" s="45"/>
    </row>
    <row r="48" spans="1:11" s="275" customFormat="1" x14ac:dyDescent="0.25">
      <c r="A48" s="272"/>
      <c r="B48" s="107" t="s">
        <v>22</v>
      </c>
      <c r="C48" s="174">
        <v>264</v>
      </c>
      <c r="D48" s="347">
        <v>132000</v>
      </c>
      <c r="E48" s="108">
        <v>13234</v>
      </c>
      <c r="F48" s="277">
        <v>4116</v>
      </c>
      <c r="G48" s="45"/>
      <c r="H48" s="45"/>
      <c r="I48" s="45"/>
      <c r="J48" s="45"/>
      <c r="K48" s="45"/>
    </row>
    <row r="49" spans="1:11" s="275" customFormat="1" x14ac:dyDescent="0.25">
      <c r="A49" s="272"/>
      <c r="B49" s="107" t="s">
        <v>67</v>
      </c>
      <c r="C49" s="174">
        <v>171.72</v>
      </c>
      <c r="D49" s="347">
        <f>86069+44000+41655</f>
        <v>171724</v>
      </c>
      <c r="E49" s="108">
        <v>13234</v>
      </c>
      <c r="F49" s="277">
        <v>4116</v>
      </c>
      <c r="G49" s="160">
        <v>16.72</v>
      </c>
      <c r="H49" s="45"/>
      <c r="I49" s="45"/>
      <c r="J49" s="45"/>
      <c r="K49" s="45"/>
    </row>
    <row r="50" spans="1:11" s="275" customFormat="1" x14ac:dyDescent="0.25">
      <c r="A50" s="272"/>
      <c r="B50" s="107" t="s">
        <v>25</v>
      </c>
      <c r="C50" s="174">
        <v>1705.0060000000001</v>
      </c>
      <c r="D50" s="347">
        <v>420489</v>
      </c>
      <c r="E50" s="108">
        <v>13234</v>
      </c>
      <c r="F50" s="277">
        <v>4116</v>
      </c>
      <c r="G50" s="45"/>
      <c r="H50" s="45"/>
      <c r="I50" s="45"/>
      <c r="J50" s="45"/>
      <c r="K50" s="45"/>
    </row>
    <row r="51" spans="1:11" s="275" customFormat="1" x14ac:dyDescent="0.25">
      <c r="A51" s="272"/>
      <c r="B51" s="107" t="s">
        <v>26</v>
      </c>
      <c r="C51" s="348"/>
      <c r="D51" s="347">
        <v>211441</v>
      </c>
      <c r="E51" s="108">
        <v>13234</v>
      </c>
      <c r="F51" s="277">
        <v>4116</v>
      </c>
      <c r="G51" s="45"/>
      <c r="H51" s="45"/>
      <c r="I51" s="45"/>
      <c r="J51" s="45"/>
      <c r="K51" s="45"/>
    </row>
    <row r="52" spans="1:11" s="275" customFormat="1" x14ac:dyDescent="0.25">
      <c r="A52" s="272"/>
      <c r="B52" s="107" t="s">
        <v>27</v>
      </c>
      <c r="C52" s="348"/>
      <c r="D52" s="347"/>
      <c r="E52" s="108">
        <v>13234</v>
      </c>
      <c r="F52" s="277">
        <v>4116</v>
      </c>
      <c r="G52" s="45"/>
      <c r="H52" s="45"/>
      <c r="I52" s="45"/>
      <c r="J52" s="45"/>
      <c r="K52" s="45"/>
    </row>
    <row r="53" spans="1:11" x14ac:dyDescent="0.25">
      <c r="A53" s="43"/>
      <c r="B53" s="107" t="s">
        <v>28</v>
      </c>
      <c r="C53" s="174">
        <v>5376</v>
      </c>
      <c r="D53" s="347">
        <v>1308770</v>
      </c>
      <c r="E53" s="283">
        <v>13234</v>
      </c>
      <c r="F53" s="277">
        <v>4116</v>
      </c>
      <c r="G53" s="45"/>
    </row>
    <row r="54" spans="1:11" s="275" customFormat="1" x14ac:dyDescent="0.25">
      <c r="A54" s="272"/>
      <c r="B54" s="107" t="s">
        <v>24</v>
      </c>
      <c r="C54" s="174">
        <v>8590</v>
      </c>
      <c r="D54" s="347">
        <v>3397732</v>
      </c>
      <c r="E54" s="108">
        <v>13234</v>
      </c>
      <c r="F54" s="277">
        <v>4116</v>
      </c>
      <c r="G54" s="45"/>
      <c r="H54" s="45"/>
      <c r="I54" s="45"/>
      <c r="J54" s="45"/>
      <c r="K54" s="45"/>
    </row>
    <row r="55" spans="1:11" x14ac:dyDescent="0.25">
      <c r="A55" s="43"/>
      <c r="B55" s="107" t="s">
        <v>66</v>
      </c>
      <c r="C55" s="174">
        <f>55+98</f>
        <v>153</v>
      </c>
      <c r="D55" s="347">
        <v>60133</v>
      </c>
      <c r="E55" s="283">
        <v>13234</v>
      </c>
      <c r="F55" s="284">
        <v>4116</v>
      </c>
      <c r="G55" s="45"/>
    </row>
    <row r="56" spans="1:11" x14ac:dyDescent="0.25">
      <c r="A56" s="43"/>
      <c r="B56" s="107" t="s">
        <v>31</v>
      </c>
      <c r="C56" s="174">
        <v>252</v>
      </c>
      <c r="D56" s="347">
        <v>79731</v>
      </c>
      <c r="E56" s="283">
        <v>13234</v>
      </c>
      <c r="F56" s="284">
        <v>4116</v>
      </c>
      <c r="G56" s="45"/>
    </row>
    <row r="57" spans="1:11" x14ac:dyDescent="0.25">
      <c r="A57" s="43"/>
      <c r="B57" s="107" t="s">
        <v>21</v>
      </c>
      <c r="C57" s="347"/>
      <c r="D57" s="347">
        <v>4484</v>
      </c>
      <c r="E57" s="283">
        <v>13234</v>
      </c>
      <c r="F57" s="277" t="s">
        <v>18</v>
      </c>
      <c r="G57" s="45"/>
    </row>
    <row r="58" spans="1:11" x14ac:dyDescent="0.25">
      <c r="A58" s="43"/>
      <c r="B58" s="107" t="s">
        <v>30</v>
      </c>
      <c r="C58" s="347"/>
      <c r="D58" s="347"/>
      <c r="E58" s="283"/>
      <c r="F58" s="284">
        <v>4116</v>
      </c>
      <c r="G58" s="45"/>
    </row>
    <row r="59" spans="1:11" x14ac:dyDescent="0.25">
      <c r="A59" s="43"/>
      <c r="B59" s="107" t="s">
        <v>32</v>
      </c>
      <c r="C59" s="347"/>
      <c r="D59" s="347"/>
      <c r="E59" s="283"/>
      <c r="F59" s="284"/>
      <c r="G59" s="45"/>
    </row>
    <row r="60" spans="1:11" x14ac:dyDescent="0.25">
      <c r="A60" s="43"/>
      <c r="B60" s="44"/>
      <c r="C60" s="282"/>
      <c r="D60" s="21"/>
      <c r="E60" s="283"/>
      <c r="F60" s="284"/>
      <c r="G60" s="45"/>
    </row>
    <row r="61" spans="1:11" x14ac:dyDescent="0.25">
      <c r="A61" s="43"/>
      <c r="B61" s="285" t="s">
        <v>116</v>
      </c>
      <c r="C61" s="40">
        <f>+SUM(C62:C65)</f>
        <v>36.299999999999997</v>
      </c>
      <c r="D61" s="40">
        <f>+SUM(D62:D65)</f>
        <v>36300</v>
      </c>
      <c r="E61" s="277"/>
      <c r="F61" s="284"/>
      <c r="G61" s="45"/>
    </row>
    <row r="62" spans="1:11" x14ac:dyDescent="0.25">
      <c r="A62" s="43">
        <v>42066</v>
      </c>
      <c r="B62" s="107" t="s">
        <v>115</v>
      </c>
      <c r="C62" s="21">
        <v>36.299999999999997</v>
      </c>
      <c r="D62" s="20">
        <v>36300</v>
      </c>
      <c r="E62" s="286">
        <v>27003</v>
      </c>
      <c r="F62" s="284">
        <v>4116</v>
      </c>
      <c r="G62" s="45"/>
    </row>
    <row r="63" spans="1:11" x14ac:dyDescent="0.25">
      <c r="A63" s="287"/>
      <c r="B63" s="107"/>
      <c r="C63" s="21"/>
      <c r="D63" s="21"/>
      <c r="E63" s="284"/>
      <c r="F63" s="284">
        <v>4116</v>
      </c>
      <c r="G63" s="45"/>
    </row>
    <row r="64" spans="1:11" x14ac:dyDescent="0.25">
      <c r="A64" s="287"/>
      <c r="B64" s="107"/>
      <c r="C64" s="21"/>
      <c r="D64" s="21"/>
      <c r="E64" s="284"/>
      <c r="F64" s="284">
        <v>4116</v>
      </c>
      <c r="G64" s="45"/>
    </row>
    <row r="65" spans="1:7" x14ac:dyDescent="0.25">
      <c r="A65" s="287"/>
      <c r="B65" s="107"/>
      <c r="C65" s="21"/>
      <c r="D65" s="21"/>
      <c r="E65" s="284"/>
      <c r="F65" s="284">
        <v>4116</v>
      </c>
      <c r="G65" s="45"/>
    </row>
    <row r="66" spans="1:7" x14ac:dyDescent="0.25">
      <c r="A66" s="43"/>
      <c r="B66" s="285" t="s">
        <v>33</v>
      </c>
      <c r="C66" s="40">
        <f>+SUM(C67:C102)</f>
        <v>3872</v>
      </c>
      <c r="D66" s="40">
        <f>+SUM(D67:D102)</f>
        <v>17072000</v>
      </c>
      <c r="E66" s="277"/>
      <c r="F66" s="284"/>
      <c r="G66" s="45"/>
    </row>
    <row r="67" spans="1:7" x14ac:dyDescent="0.25">
      <c r="A67" s="43">
        <v>42086</v>
      </c>
      <c r="B67" s="107" t="s">
        <v>122</v>
      </c>
      <c r="C67" s="21">
        <v>80</v>
      </c>
      <c r="D67" s="20">
        <v>80000</v>
      </c>
      <c r="E67" s="277">
        <v>34070</v>
      </c>
      <c r="F67" s="277">
        <v>4116</v>
      </c>
      <c r="G67" s="45"/>
    </row>
    <row r="68" spans="1:7" x14ac:dyDescent="0.25">
      <c r="A68" s="43">
        <v>42116</v>
      </c>
      <c r="B68" s="107" t="s">
        <v>142</v>
      </c>
      <c r="C68" s="21">
        <v>25</v>
      </c>
      <c r="D68" s="20">
        <v>25000</v>
      </c>
      <c r="E68" s="277">
        <v>34070</v>
      </c>
      <c r="F68" s="277">
        <v>4116</v>
      </c>
      <c r="G68" s="45"/>
    </row>
    <row r="69" spans="1:7" x14ac:dyDescent="0.25">
      <c r="A69" s="43">
        <v>42116</v>
      </c>
      <c r="B69" s="107" t="s">
        <v>143</v>
      </c>
      <c r="C69" s="21">
        <v>18</v>
      </c>
      <c r="D69" s="20">
        <v>18000</v>
      </c>
      <c r="E69" s="277">
        <v>34070</v>
      </c>
      <c r="F69" s="277">
        <v>4116</v>
      </c>
      <c r="G69" s="45"/>
    </row>
    <row r="70" spans="1:7" x14ac:dyDescent="0.25">
      <c r="A70" s="43">
        <v>42116</v>
      </c>
      <c r="B70" s="107" t="s">
        <v>173</v>
      </c>
      <c r="C70" s="21">
        <v>20</v>
      </c>
      <c r="D70" s="20">
        <v>20000</v>
      </c>
      <c r="E70" s="277">
        <v>34070</v>
      </c>
      <c r="F70" s="277">
        <v>4116</v>
      </c>
      <c r="G70" s="45"/>
    </row>
    <row r="71" spans="1:7" x14ac:dyDescent="0.25">
      <c r="A71" s="43">
        <v>42128</v>
      </c>
      <c r="B71" s="107" t="s">
        <v>172</v>
      </c>
      <c r="C71" s="21">
        <v>45</v>
      </c>
      <c r="D71" s="20">
        <v>45000</v>
      </c>
      <c r="E71" s="277">
        <v>34053</v>
      </c>
      <c r="F71" s="277">
        <v>4116</v>
      </c>
      <c r="G71" s="45"/>
    </row>
    <row r="72" spans="1:7" x14ac:dyDescent="0.25">
      <c r="A72" s="43">
        <v>42135</v>
      </c>
      <c r="B72" s="107" t="s">
        <v>175</v>
      </c>
      <c r="C72" s="21">
        <v>600</v>
      </c>
      <c r="D72" s="20">
        <v>600000</v>
      </c>
      <c r="E72" s="277">
        <v>34070</v>
      </c>
      <c r="F72" s="277">
        <v>4116</v>
      </c>
      <c r="G72" s="45"/>
    </row>
    <row r="73" spans="1:7" x14ac:dyDescent="0.25">
      <c r="A73" s="43">
        <v>42135</v>
      </c>
      <c r="B73" s="107" t="s">
        <v>176</v>
      </c>
      <c r="C73" s="21">
        <v>70</v>
      </c>
      <c r="D73" s="20">
        <v>70000</v>
      </c>
      <c r="E73" s="277">
        <v>34070</v>
      </c>
      <c r="F73" s="277">
        <v>4116</v>
      </c>
      <c r="G73" s="45"/>
    </row>
    <row r="74" spans="1:7" x14ac:dyDescent="0.25">
      <c r="A74" s="43">
        <v>42136</v>
      </c>
      <c r="B74" s="107" t="s">
        <v>177</v>
      </c>
      <c r="C74" s="21">
        <v>120</v>
      </c>
      <c r="D74" s="20">
        <v>120000</v>
      </c>
      <c r="E74" s="277">
        <v>34070</v>
      </c>
      <c r="F74" s="277">
        <v>4116</v>
      </c>
      <c r="G74" s="45"/>
    </row>
    <row r="75" spans="1:7" x14ac:dyDescent="0.25">
      <c r="A75" s="43">
        <v>42136</v>
      </c>
      <c r="B75" s="107" t="s">
        <v>178</v>
      </c>
      <c r="C75" s="21">
        <v>340</v>
      </c>
      <c r="D75" s="20">
        <v>340000</v>
      </c>
      <c r="E75" s="277">
        <v>34070</v>
      </c>
      <c r="F75" s="277">
        <v>4116</v>
      </c>
      <c r="G75" s="45"/>
    </row>
    <row r="76" spans="1:7" x14ac:dyDescent="0.25">
      <c r="A76" s="43">
        <v>42136</v>
      </c>
      <c r="B76" s="107" t="s">
        <v>179</v>
      </c>
      <c r="C76" s="21">
        <v>320</v>
      </c>
      <c r="D76" s="20">
        <v>320000</v>
      </c>
      <c r="E76" s="277">
        <v>34070</v>
      </c>
      <c r="F76" s="277">
        <v>4116</v>
      </c>
      <c r="G76" s="45"/>
    </row>
    <row r="77" spans="1:7" x14ac:dyDescent="0.25">
      <c r="A77" s="43">
        <v>42143</v>
      </c>
      <c r="B77" s="107" t="s">
        <v>194</v>
      </c>
      <c r="C77" s="21">
        <v>95</v>
      </c>
      <c r="D77" s="20">
        <v>95000</v>
      </c>
      <c r="E77" s="277">
        <v>34070</v>
      </c>
      <c r="F77" s="277">
        <v>4116</v>
      </c>
      <c r="G77" s="45"/>
    </row>
    <row r="78" spans="1:7" x14ac:dyDescent="0.25">
      <c r="A78" s="43">
        <v>42143</v>
      </c>
      <c r="B78" s="107" t="s">
        <v>195</v>
      </c>
      <c r="C78" s="21">
        <v>30</v>
      </c>
      <c r="D78" s="20">
        <v>30000</v>
      </c>
      <c r="E78" s="277">
        <v>34194</v>
      </c>
      <c r="F78" s="277">
        <v>4116</v>
      </c>
      <c r="G78" s="45"/>
    </row>
    <row r="79" spans="1:7" x14ac:dyDescent="0.25">
      <c r="A79" s="43">
        <v>42143</v>
      </c>
      <c r="B79" s="107" t="s">
        <v>197</v>
      </c>
      <c r="C79" s="21">
        <v>750</v>
      </c>
      <c r="D79" s="20">
        <v>750000</v>
      </c>
      <c r="E79" s="277">
        <v>34070</v>
      </c>
      <c r="F79" s="277">
        <v>4116</v>
      </c>
      <c r="G79" s="45"/>
    </row>
    <row r="80" spans="1:7" x14ac:dyDescent="0.25">
      <c r="A80" s="43">
        <v>42144</v>
      </c>
      <c r="B80" s="107" t="s">
        <v>199</v>
      </c>
      <c r="C80" s="21">
        <v>64</v>
      </c>
      <c r="D80" s="20">
        <v>64000</v>
      </c>
      <c r="E80" s="277">
        <v>34053</v>
      </c>
      <c r="F80" s="277">
        <v>4116</v>
      </c>
      <c r="G80" s="45"/>
    </row>
    <row r="81" spans="1:7" x14ac:dyDescent="0.25">
      <c r="A81" s="43">
        <v>42144</v>
      </c>
      <c r="B81" s="107" t="s">
        <v>198</v>
      </c>
      <c r="C81" s="21">
        <v>45</v>
      </c>
      <c r="D81" s="20">
        <v>45000</v>
      </c>
      <c r="E81" s="277">
        <v>34053</v>
      </c>
      <c r="F81" s="277">
        <v>4116</v>
      </c>
      <c r="G81" s="45"/>
    </row>
    <row r="82" spans="1:7" x14ac:dyDescent="0.25">
      <c r="A82" s="43">
        <v>42164</v>
      </c>
      <c r="B82" s="107" t="s">
        <v>241</v>
      </c>
      <c r="C82" s="21">
        <v>1200</v>
      </c>
      <c r="D82" s="20">
        <v>1200000</v>
      </c>
      <c r="E82" s="277">
        <v>34352</v>
      </c>
      <c r="F82" s="277">
        <v>4116</v>
      </c>
      <c r="G82" s="45"/>
    </row>
    <row r="83" spans="1:7" x14ac:dyDescent="0.25">
      <c r="A83" s="43">
        <v>42172</v>
      </c>
      <c r="B83" s="107" t="s">
        <v>233</v>
      </c>
      <c r="C83" s="21">
        <v>0</v>
      </c>
      <c r="D83" s="20">
        <v>740000</v>
      </c>
      <c r="E83" s="277">
        <v>34352</v>
      </c>
      <c r="F83" s="277">
        <v>4116</v>
      </c>
      <c r="G83" s="355">
        <v>740</v>
      </c>
    </row>
    <row r="84" spans="1:7" x14ac:dyDescent="0.25">
      <c r="A84" s="43">
        <v>42172</v>
      </c>
      <c r="B84" s="107" t="s">
        <v>234</v>
      </c>
      <c r="C84" s="21">
        <v>0</v>
      </c>
      <c r="D84" s="20">
        <v>2745000</v>
      </c>
      <c r="E84" s="277">
        <v>34352</v>
      </c>
      <c r="F84" s="277">
        <v>4116</v>
      </c>
      <c r="G84" s="355">
        <v>2745</v>
      </c>
    </row>
    <row r="85" spans="1:7" x14ac:dyDescent="0.25">
      <c r="A85" s="43">
        <v>42172</v>
      </c>
      <c r="B85" s="107" t="s">
        <v>235</v>
      </c>
      <c r="C85" s="21">
        <v>0</v>
      </c>
      <c r="D85" s="20">
        <v>2580000</v>
      </c>
      <c r="E85" s="277">
        <v>34352</v>
      </c>
      <c r="F85" s="277">
        <v>4116</v>
      </c>
      <c r="G85" s="355">
        <v>2580</v>
      </c>
    </row>
    <row r="86" spans="1:7" x14ac:dyDescent="0.25">
      <c r="A86" s="43">
        <v>42178</v>
      </c>
      <c r="B86" s="107" t="s">
        <v>242</v>
      </c>
      <c r="C86" s="21">
        <v>0</v>
      </c>
      <c r="D86" s="20">
        <v>7135000</v>
      </c>
      <c r="E86" s="277">
        <v>34352</v>
      </c>
      <c r="F86" s="277">
        <v>4116</v>
      </c>
      <c r="G86" s="45"/>
    </row>
    <row r="87" spans="1:7" x14ac:dyDescent="0.25">
      <c r="A87" s="43"/>
      <c r="B87" s="107"/>
      <c r="C87" s="21"/>
      <c r="D87" s="21"/>
      <c r="E87" s="277"/>
      <c r="F87" s="277">
        <v>4116</v>
      </c>
      <c r="G87" s="45"/>
    </row>
    <row r="88" spans="1:7" x14ac:dyDescent="0.25">
      <c r="A88" s="43"/>
      <c r="B88" s="107"/>
      <c r="C88" s="21"/>
      <c r="D88" s="21"/>
      <c r="E88" s="277"/>
      <c r="F88" s="277">
        <v>4116</v>
      </c>
      <c r="G88" s="45"/>
    </row>
    <row r="89" spans="1:7" x14ac:dyDescent="0.25">
      <c r="A89" s="43"/>
      <c r="B89" s="107"/>
      <c r="C89" s="21"/>
      <c r="D89" s="21"/>
      <c r="E89" s="277"/>
      <c r="F89" s="277">
        <v>4116</v>
      </c>
      <c r="G89" s="45"/>
    </row>
    <row r="90" spans="1:7" x14ac:dyDescent="0.25">
      <c r="A90" s="43"/>
      <c r="B90" s="107"/>
      <c r="C90" s="21"/>
      <c r="D90" s="21"/>
      <c r="E90" s="277"/>
      <c r="F90" s="277">
        <v>4116</v>
      </c>
      <c r="G90" s="45"/>
    </row>
    <row r="91" spans="1:7" x14ac:dyDescent="0.25">
      <c r="A91" s="43"/>
      <c r="B91" s="107"/>
      <c r="C91" s="21"/>
      <c r="D91" s="21"/>
      <c r="E91" s="277"/>
      <c r="F91" s="277">
        <v>4116</v>
      </c>
      <c r="G91" s="45"/>
    </row>
    <row r="92" spans="1:7" x14ac:dyDescent="0.25">
      <c r="A92" s="43"/>
      <c r="B92" s="107"/>
      <c r="C92" s="21"/>
      <c r="D92" s="21"/>
      <c r="E92" s="277"/>
      <c r="F92" s="277">
        <v>4116</v>
      </c>
      <c r="G92" s="45"/>
    </row>
    <row r="93" spans="1:7" x14ac:dyDescent="0.25">
      <c r="A93" s="43"/>
      <c r="B93" s="107"/>
      <c r="C93" s="21"/>
      <c r="D93" s="21"/>
      <c r="E93" s="277"/>
      <c r="F93" s="277">
        <v>4116</v>
      </c>
      <c r="G93" s="45"/>
    </row>
    <row r="94" spans="1:7" x14ac:dyDescent="0.25">
      <c r="A94" s="43"/>
      <c r="B94" s="107"/>
      <c r="C94" s="21"/>
      <c r="D94" s="21"/>
      <c r="E94" s="277"/>
      <c r="F94" s="277">
        <v>4116</v>
      </c>
      <c r="G94" s="45"/>
    </row>
    <row r="95" spans="1:7" x14ac:dyDescent="0.25">
      <c r="A95" s="43"/>
      <c r="B95" s="107"/>
      <c r="C95" s="21"/>
      <c r="D95" s="21"/>
      <c r="E95" s="277"/>
      <c r="F95" s="277">
        <v>4116</v>
      </c>
      <c r="G95" s="45"/>
    </row>
    <row r="96" spans="1:7" x14ac:dyDescent="0.25">
      <c r="A96" s="43"/>
      <c r="B96" s="107"/>
      <c r="C96" s="21"/>
      <c r="D96" s="21"/>
      <c r="E96" s="277"/>
      <c r="F96" s="277">
        <v>4116</v>
      </c>
      <c r="G96" s="45"/>
    </row>
    <row r="97" spans="1:7" x14ac:dyDescent="0.25">
      <c r="A97" s="43"/>
      <c r="B97" s="107"/>
      <c r="C97" s="21"/>
      <c r="D97" s="21"/>
      <c r="E97" s="277"/>
      <c r="F97" s="277">
        <v>4116</v>
      </c>
      <c r="G97" s="45"/>
    </row>
    <row r="98" spans="1:7" x14ac:dyDescent="0.25">
      <c r="A98" s="43"/>
      <c r="B98" s="107"/>
      <c r="C98" s="21"/>
      <c r="D98" s="21"/>
      <c r="E98" s="277"/>
      <c r="F98" s="277">
        <v>4116</v>
      </c>
      <c r="G98" s="45"/>
    </row>
    <row r="99" spans="1:7" x14ac:dyDescent="0.25">
      <c r="A99" s="43"/>
      <c r="B99" s="107"/>
      <c r="C99" s="21"/>
      <c r="D99" s="21"/>
      <c r="E99" s="277"/>
      <c r="F99" s="277">
        <v>4116</v>
      </c>
      <c r="G99" s="45"/>
    </row>
    <row r="100" spans="1:7" x14ac:dyDescent="0.25">
      <c r="A100" s="43"/>
      <c r="B100" s="107"/>
      <c r="C100" s="21"/>
      <c r="D100" s="21"/>
      <c r="E100" s="277"/>
      <c r="F100" s="277">
        <v>4116</v>
      </c>
      <c r="G100" s="45"/>
    </row>
    <row r="101" spans="1:7" x14ac:dyDescent="0.25">
      <c r="A101" s="43"/>
      <c r="B101" s="107" t="s">
        <v>170</v>
      </c>
      <c r="C101" s="347">
        <v>50</v>
      </c>
      <c r="D101" s="347">
        <v>50000</v>
      </c>
      <c r="E101" s="277">
        <v>34273</v>
      </c>
      <c r="F101" s="277">
        <v>4116</v>
      </c>
      <c r="G101" s="45"/>
    </row>
    <row r="102" spans="1:7" x14ac:dyDescent="0.25">
      <c r="A102" s="43"/>
      <c r="B102" s="107"/>
      <c r="C102" s="21"/>
      <c r="D102" s="21"/>
      <c r="E102" s="277"/>
      <c r="F102" s="277"/>
      <c r="G102" s="45"/>
    </row>
    <row r="103" spans="1:7" x14ac:dyDescent="0.25">
      <c r="A103" s="43"/>
      <c r="B103" s="285" t="s">
        <v>34</v>
      </c>
      <c r="C103" s="40">
        <f>SUM(C104:C115)</f>
        <v>13937.582200000001</v>
      </c>
      <c r="D103" s="39">
        <f>SUM(D104:D115)</f>
        <v>14619513.619999999</v>
      </c>
      <c r="E103" s="277"/>
      <c r="F103" s="284"/>
      <c r="G103" s="45"/>
    </row>
    <row r="104" spans="1:7" x14ac:dyDescent="0.25">
      <c r="A104" s="43">
        <v>42054</v>
      </c>
      <c r="B104" s="107" t="s">
        <v>68</v>
      </c>
      <c r="C104" s="53">
        <v>972.54641000000004</v>
      </c>
      <c r="D104" s="52">
        <v>972546.41</v>
      </c>
      <c r="E104" s="277">
        <v>33019</v>
      </c>
      <c r="F104" s="284" t="s">
        <v>18</v>
      </c>
      <c r="G104" s="45"/>
    </row>
    <row r="105" spans="1:7" x14ac:dyDescent="0.25">
      <c r="A105" s="43">
        <v>42081</v>
      </c>
      <c r="B105" s="107" t="s">
        <v>117</v>
      </c>
      <c r="C105" s="53">
        <v>192</v>
      </c>
      <c r="D105" s="350">
        <v>192000</v>
      </c>
      <c r="E105" s="277">
        <v>33339</v>
      </c>
      <c r="F105" s="284">
        <v>4116</v>
      </c>
      <c r="G105" s="45"/>
    </row>
    <row r="106" spans="1:7" x14ac:dyDescent="0.25">
      <c r="A106" s="43">
        <v>42116</v>
      </c>
      <c r="B106" s="107" t="s">
        <v>145</v>
      </c>
      <c r="C106" s="53">
        <v>417.25607000000002</v>
      </c>
      <c r="D106" s="350">
        <f>354667.65+62588.42</f>
        <v>417256.07</v>
      </c>
      <c r="E106" s="277">
        <v>33019</v>
      </c>
      <c r="F106" s="284">
        <v>4116</v>
      </c>
      <c r="G106" s="45"/>
    </row>
    <row r="107" spans="1:7" x14ac:dyDescent="0.25">
      <c r="A107" s="43">
        <v>42117</v>
      </c>
      <c r="B107" s="107" t="s">
        <v>148</v>
      </c>
      <c r="C107" s="53">
        <v>6858.8674300000002</v>
      </c>
      <c r="D107" s="351">
        <v>6858867.4299999997</v>
      </c>
      <c r="E107" s="277">
        <v>33019</v>
      </c>
      <c r="F107" s="284">
        <v>4116</v>
      </c>
      <c r="G107" s="45"/>
    </row>
    <row r="108" spans="1:7" x14ac:dyDescent="0.25">
      <c r="A108" s="43">
        <v>42131</v>
      </c>
      <c r="B108" s="107" t="s">
        <v>174</v>
      </c>
      <c r="C108" s="53">
        <v>592.21028999999999</v>
      </c>
      <c r="D108" s="350">
        <v>592210.29</v>
      </c>
      <c r="E108" s="67">
        <v>33019</v>
      </c>
      <c r="F108" s="284">
        <v>4116</v>
      </c>
      <c r="G108" s="45"/>
    </row>
    <row r="109" spans="1:7" x14ac:dyDescent="0.25">
      <c r="A109" s="43">
        <v>42138</v>
      </c>
      <c r="B109" s="107" t="s">
        <v>148</v>
      </c>
      <c r="C109" s="53">
        <v>4904.7020000000002</v>
      </c>
      <c r="D109" s="350">
        <v>4904702</v>
      </c>
      <c r="E109" s="67">
        <v>33019</v>
      </c>
      <c r="F109" s="284">
        <v>4116</v>
      </c>
      <c r="G109" s="45"/>
    </row>
    <row r="110" spans="1:7" x14ac:dyDescent="0.25">
      <c r="A110" s="43">
        <v>42184</v>
      </c>
      <c r="B110" s="107" t="s">
        <v>145</v>
      </c>
      <c r="C110" s="53">
        <v>0</v>
      </c>
      <c r="D110" s="350">
        <v>681931.42</v>
      </c>
      <c r="E110" s="67">
        <v>33019</v>
      </c>
      <c r="F110" s="284">
        <v>4116</v>
      </c>
      <c r="G110" s="45"/>
    </row>
    <row r="111" spans="1:7" x14ac:dyDescent="0.25">
      <c r="A111" s="43"/>
      <c r="B111" s="276"/>
      <c r="C111" s="53"/>
      <c r="D111" s="55"/>
      <c r="E111" s="67"/>
      <c r="F111" s="284">
        <v>4116</v>
      </c>
      <c r="G111" s="45"/>
    </row>
    <row r="112" spans="1:7" x14ac:dyDescent="0.25">
      <c r="A112" s="43"/>
      <c r="B112" s="276"/>
      <c r="C112" s="53"/>
      <c r="D112" s="55"/>
      <c r="E112" s="67"/>
      <c r="F112" s="284">
        <v>4116</v>
      </c>
      <c r="G112" s="45"/>
    </row>
    <row r="113" spans="1:8" x14ac:dyDescent="0.25">
      <c r="A113" s="43"/>
      <c r="B113" s="276"/>
      <c r="C113" s="53"/>
      <c r="D113" s="55"/>
      <c r="E113" s="67"/>
      <c r="F113" s="284">
        <v>4116</v>
      </c>
      <c r="G113" s="45"/>
    </row>
    <row r="114" spans="1:8" x14ac:dyDescent="0.25">
      <c r="A114" s="43"/>
      <c r="B114" s="276"/>
      <c r="C114" s="53"/>
      <c r="D114" s="55"/>
      <c r="E114" s="67"/>
      <c r="F114" s="284">
        <v>4116</v>
      </c>
      <c r="G114" s="45"/>
    </row>
    <row r="115" spans="1:8" x14ac:dyDescent="0.25">
      <c r="A115" s="43"/>
      <c r="B115" s="288"/>
      <c r="C115" s="47"/>
      <c r="D115" s="55"/>
      <c r="E115" s="67"/>
      <c r="F115" s="284"/>
      <c r="G115" s="45"/>
    </row>
    <row r="116" spans="1:8" x14ac:dyDescent="0.25">
      <c r="A116" s="43"/>
      <c r="B116" s="273" t="s">
        <v>35</v>
      </c>
      <c r="C116" s="31">
        <f>+SUM(C117:C120)</f>
        <v>2908.0978700000001</v>
      </c>
      <c r="D116" s="30">
        <f>+SUM(D117:D120)</f>
        <v>2908097.87</v>
      </c>
      <c r="E116" s="67"/>
      <c r="F116" s="277"/>
      <c r="G116" s="45"/>
    </row>
    <row r="117" spans="1:8" x14ac:dyDescent="0.25">
      <c r="A117" s="43">
        <v>42040</v>
      </c>
      <c r="B117" s="107" t="s">
        <v>60</v>
      </c>
      <c r="C117" s="53">
        <v>2686.6678700000002</v>
      </c>
      <c r="D117" s="52">
        <v>2686667.87</v>
      </c>
      <c r="E117" s="67">
        <v>17003</v>
      </c>
      <c r="F117" s="277" t="s">
        <v>18</v>
      </c>
      <c r="G117" s="45"/>
    </row>
    <row r="118" spans="1:8" x14ac:dyDescent="0.25">
      <c r="A118" s="43">
        <v>42059</v>
      </c>
      <c r="B118" s="107" t="s">
        <v>105</v>
      </c>
      <c r="C118" s="53">
        <v>188.21549999999999</v>
      </c>
      <c r="D118" s="52">
        <v>188215.5</v>
      </c>
      <c r="E118" s="67">
        <v>17003</v>
      </c>
      <c r="F118" s="277">
        <v>4116</v>
      </c>
      <c r="G118" s="45"/>
    </row>
    <row r="119" spans="1:8" x14ac:dyDescent="0.25">
      <c r="A119" s="43">
        <v>42059</v>
      </c>
      <c r="B119" s="107" t="s">
        <v>105</v>
      </c>
      <c r="C119" s="53">
        <v>33.214500000000001</v>
      </c>
      <c r="D119" s="52">
        <v>33214.5</v>
      </c>
      <c r="E119" s="67">
        <v>17002</v>
      </c>
      <c r="F119" s="277">
        <v>4116</v>
      </c>
      <c r="G119" s="45"/>
    </row>
    <row r="120" spans="1:8" x14ac:dyDescent="0.25">
      <c r="A120" s="43"/>
      <c r="B120" s="289"/>
      <c r="C120" s="53"/>
      <c r="D120" s="53"/>
      <c r="E120" s="67"/>
      <c r="F120" s="277"/>
      <c r="G120" s="45"/>
    </row>
    <row r="121" spans="1:8" x14ac:dyDescent="0.25">
      <c r="A121" s="43"/>
      <c r="B121" s="31" t="s">
        <v>36</v>
      </c>
      <c r="C121" s="31">
        <f>+SUM(C122:C135)</f>
        <v>37917.936510000007</v>
      </c>
      <c r="D121" s="31">
        <f>+SUM(D122:D135)</f>
        <v>47811788.509999998</v>
      </c>
      <c r="E121" s="67"/>
      <c r="F121" s="277"/>
      <c r="G121" s="45"/>
    </row>
    <row r="122" spans="1:8" x14ac:dyDescent="0.25">
      <c r="A122" s="43">
        <v>42163</v>
      </c>
      <c r="B122" s="107" t="s">
        <v>237</v>
      </c>
      <c r="C122" s="21">
        <f>37408.91-505.566</f>
        <v>36903.344000000005</v>
      </c>
      <c r="D122" s="53">
        <v>46797196</v>
      </c>
      <c r="E122" s="67">
        <v>13011</v>
      </c>
      <c r="F122" s="277">
        <v>4116</v>
      </c>
      <c r="G122" s="45" t="s">
        <v>260</v>
      </c>
      <c r="H122" s="2">
        <f>4652914-505566</f>
        <v>4147348</v>
      </c>
    </row>
    <row r="123" spans="1:8" x14ac:dyDescent="0.25">
      <c r="A123" s="43">
        <v>42163</v>
      </c>
      <c r="B123" s="107" t="s">
        <v>238</v>
      </c>
      <c r="C123" s="21">
        <v>505.56599999999997</v>
      </c>
      <c r="D123" s="52">
        <v>505566</v>
      </c>
      <c r="E123" s="67">
        <v>13011</v>
      </c>
      <c r="F123" s="277">
        <v>4116</v>
      </c>
      <c r="G123" s="45"/>
    </row>
    <row r="124" spans="1:8" x14ac:dyDescent="0.25">
      <c r="A124" s="43"/>
      <c r="B124" s="107"/>
      <c r="C124" s="21"/>
      <c r="D124" s="53"/>
      <c r="E124" s="67"/>
      <c r="F124" s="277">
        <v>4116</v>
      </c>
      <c r="G124" s="45"/>
    </row>
    <row r="125" spans="1:8" x14ac:dyDescent="0.25">
      <c r="A125" s="43"/>
      <c r="B125" s="107"/>
      <c r="C125" s="21"/>
      <c r="D125" s="53"/>
      <c r="E125" s="67"/>
      <c r="F125" s="277">
        <v>4116</v>
      </c>
      <c r="G125" s="45"/>
    </row>
    <row r="126" spans="1:8" x14ac:dyDescent="0.25">
      <c r="A126" s="43"/>
      <c r="B126" s="107"/>
      <c r="C126" s="21"/>
      <c r="D126" s="53"/>
      <c r="E126" s="67"/>
      <c r="F126" s="277">
        <v>4116</v>
      </c>
      <c r="G126" s="45"/>
    </row>
    <row r="127" spans="1:8" x14ac:dyDescent="0.25">
      <c r="A127" s="43"/>
      <c r="B127" s="107"/>
      <c r="C127" s="21"/>
      <c r="D127" s="53"/>
      <c r="E127" s="67"/>
      <c r="F127" s="277">
        <v>4116</v>
      </c>
      <c r="G127" s="45"/>
    </row>
    <row r="128" spans="1:8" x14ac:dyDescent="0.25">
      <c r="A128" s="43"/>
      <c r="B128" s="107"/>
      <c r="C128" s="21"/>
      <c r="D128" s="53"/>
      <c r="E128" s="67"/>
      <c r="F128" s="277">
        <v>4116</v>
      </c>
      <c r="G128" s="45"/>
    </row>
    <row r="129" spans="1:7" x14ac:dyDescent="0.25">
      <c r="A129" s="43"/>
      <c r="B129" s="107"/>
      <c r="C129" s="21"/>
      <c r="D129" s="53"/>
      <c r="E129" s="67"/>
      <c r="F129" s="277">
        <v>4116</v>
      </c>
      <c r="G129" s="45"/>
    </row>
    <row r="130" spans="1:7" x14ac:dyDescent="0.25">
      <c r="A130" s="43"/>
      <c r="B130" s="107"/>
      <c r="C130" s="21"/>
      <c r="D130" s="53"/>
      <c r="E130" s="67"/>
      <c r="F130" s="277">
        <v>4116</v>
      </c>
      <c r="G130" s="45"/>
    </row>
    <row r="131" spans="1:7" x14ac:dyDescent="0.25">
      <c r="A131" s="43"/>
      <c r="B131" s="107"/>
      <c r="C131" s="21"/>
      <c r="D131" s="53"/>
      <c r="E131" s="67"/>
      <c r="F131" s="277">
        <v>4116</v>
      </c>
      <c r="G131" s="45"/>
    </row>
    <row r="132" spans="1:7" x14ac:dyDescent="0.25">
      <c r="A132" s="43"/>
      <c r="B132" s="107"/>
      <c r="C132" s="21"/>
      <c r="D132" s="53"/>
      <c r="E132" s="67"/>
      <c r="F132" s="277">
        <v>4116</v>
      </c>
      <c r="G132" s="45"/>
    </row>
    <row r="133" spans="1:7" x14ac:dyDescent="0.25">
      <c r="A133" s="43"/>
      <c r="B133" s="107"/>
      <c r="C133" s="21"/>
      <c r="D133" s="53"/>
      <c r="E133" s="67"/>
      <c r="F133" s="277">
        <v>4116</v>
      </c>
      <c r="G133" s="45"/>
    </row>
    <row r="134" spans="1:7" x14ac:dyDescent="0.25">
      <c r="A134" s="43"/>
      <c r="B134" s="44" t="s">
        <v>196</v>
      </c>
      <c r="C134" s="176">
        <v>181.30393000000001</v>
      </c>
      <c r="D134" s="176">
        <v>181303.93</v>
      </c>
      <c r="E134" s="67">
        <v>13233</v>
      </c>
      <c r="F134" s="277">
        <v>4116</v>
      </c>
      <c r="G134" s="45"/>
    </row>
    <row r="135" spans="1:7" x14ac:dyDescent="0.25">
      <c r="A135" s="43"/>
      <c r="B135" s="44" t="s">
        <v>203</v>
      </c>
      <c r="C135" s="176">
        <v>327.72257999999999</v>
      </c>
      <c r="D135" s="176">
        <v>327722.58</v>
      </c>
      <c r="E135" s="67">
        <v>13233</v>
      </c>
      <c r="F135" s="277">
        <v>4116</v>
      </c>
      <c r="G135" s="45"/>
    </row>
    <row r="136" spans="1:7" x14ac:dyDescent="0.25">
      <c r="A136" s="43"/>
      <c r="B136" s="58"/>
      <c r="C136" s="47"/>
      <c r="D136" s="56"/>
      <c r="E136" s="67"/>
      <c r="F136" s="277"/>
      <c r="G136" s="45"/>
    </row>
    <row r="137" spans="1:7" x14ac:dyDescent="0.25">
      <c r="A137" s="43"/>
      <c r="B137" s="273" t="s">
        <v>38</v>
      </c>
      <c r="C137" s="31">
        <f>+C138</f>
        <v>600</v>
      </c>
      <c r="D137" s="30">
        <f>+D138</f>
        <v>600000</v>
      </c>
      <c r="E137" s="67"/>
      <c r="F137" s="277"/>
      <c r="G137" s="45"/>
    </row>
    <row r="138" spans="1:7" x14ac:dyDescent="0.25">
      <c r="A138" s="43">
        <v>42051</v>
      </c>
      <c r="B138" s="107" t="s">
        <v>39</v>
      </c>
      <c r="C138" s="47">
        <v>600</v>
      </c>
      <c r="D138" s="46">
        <v>600000</v>
      </c>
      <c r="E138" s="67">
        <v>22005</v>
      </c>
      <c r="F138" s="277" t="s">
        <v>18</v>
      </c>
      <c r="G138" s="45"/>
    </row>
    <row r="139" spans="1:7" x14ac:dyDescent="0.25">
      <c r="A139" s="43"/>
      <c r="B139" s="107"/>
      <c r="C139" s="47"/>
      <c r="D139" s="56"/>
      <c r="E139" s="67"/>
      <c r="F139" s="277"/>
      <c r="G139" s="45"/>
    </row>
    <row r="140" spans="1:7" x14ac:dyDescent="0.25">
      <c r="A140" s="43"/>
      <c r="B140" s="273" t="s">
        <v>40</v>
      </c>
      <c r="C140" s="31">
        <f>SUM(C141:C154)</f>
        <v>640.81799999999998</v>
      </c>
      <c r="D140" s="31">
        <f>SUM(D141:D154)</f>
        <v>1582503.67</v>
      </c>
      <c r="E140" s="67"/>
      <c r="F140" s="277"/>
      <c r="G140" s="45"/>
    </row>
    <row r="141" spans="1:7" x14ac:dyDescent="0.25">
      <c r="A141" s="43">
        <v>42081</v>
      </c>
      <c r="B141" s="276" t="s">
        <v>118</v>
      </c>
      <c r="C141" s="47">
        <v>134.988</v>
      </c>
      <c r="D141" s="46">
        <v>134988</v>
      </c>
      <c r="E141" s="67">
        <v>14023</v>
      </c>
      <c r="F141" s="277">
        <v>4116</v>
      </c>
      <c r="G141" s="45"/>
    </row>
    <row r="142" spans="1:7" x14ac:dyDescent="0.25">
      <c r="A142" s="43">
        <v>42082</v>
      </c>
      <c r="B142" s="276" t="s">
        <v>119</v>
      </c>
      <c r="C142" s="47">
        <v>72</v>
      </c>
      <c r="D142" s="46">
        <v>72000</v>
      </c>
      <c r="E142" s="67">
        <v>14336</v>
      </c>
      <c r="F142" s="277">
        <v>4116</v>
      </c>
      <c r="G142" s="45"/>
    </row>
    <row r="143" spans="1:7" x14ac:dyDescent="0.25">
      <c r="A143" s="43">
        <v>42087</v>
      </c>
      <c r="B143" s="276" t="s">
        <v>118</v>
      </c>
      <c r="C143" s="47">
        <v>0.8</v>
      </c>
      <c r="D143" s="46">
        <v>800</v>
      </c>
      <c r="E143" s="67">
        <v>14023</v>
      </c>
      <c r="F143" s="277">
        <v>4116</v>
      </c>
      <c r="G143" s="45"/>
    </row>
    <row r="144" spans="1:7" x14ac:dyDescent="0.25">
      <c r="A144" s="43">
        <v>42090</v>
      </c>
      <c r="B144" s="276" t="s">
        <v>118</v>
      </c>
      <c r="C144" s="47">
        <v>66.06</v>
      </c>
      <c r="D144" s="46">
        <v>66060</v>
      </c>
      <c r="E144" s="67">
        <v>14023</v>
      </c>
      <c r="F144" s="277">
        <v>4116</v>
      </c>
      <c r="G144" s="45"/>
    </row>
    <row r="145" spans="1:8" x14ac:dyDescent="0.25">
      <c r="A145" s="43">
        <v>42096</v>
      </c>
      <c r="B145" s="276" t="s">
        <v>136</v>
      </c>
      <c r="C145" s="47">
        <v>72</v>
      </c>
      <c r="D145" s="46">
        <v>72000</v>
      </c>
      <c r="E145" s="67">
        <v>14336</v>
      </c>
      <c r="F145" s="277">
        <v>4116</v>
      </c>
      <c r="G145" s="45"/>
    </row>
    <row r="146" spans="1:8" x14ac:dyDescent="0.25">
      <c r="A146" s="43">
        <v>42096</v>
      </c>
      <c r="B146" s="276" t="s">
        <v>137</v>
      </c>
      <c r="C146" s="47">
        <v>72</v>
      </c>
      <c r="D146" s="46">
        <v>72000</v>
      </c>
      <c r="E146" s="67">
        <v>14336</v>
      </c>
      <c r="F146" s="277">
        <v>4116</v>
      </c>
      <c r="G146" s="45"/>
    </row>
    <row r="147" spans="1:8" x14ac:dyDescent="0.25">
      <c r="A147" s="43">
        <v>42123</v>
      </c>
      <c r="B147" s="276" t="s">
        <v>153</v>
      </c>
      <c r="C147" s="47">
        <v>72</v>
      </c>
      <c r="D147" s="46">
        <v>72000</v>
      </c>
      <c r="E147" s="67">
        <v>14336</v>
      </c>
      <c r="F147" s="277">
        <v>4116</v>
      </c>
      <c r="G147" s="45"/>
    </row>
    <row r="148" spans="1:8" x14ac:dyDescent="0.25">
      <c r="A148" s="43">
        <v>42128</v>
      </c>
      <c r="B148" s="276" t="s">
        <v>118</v>
      </c>
      <c r="C148" s="47">
        <v>65.341999999999999</v>
      </c>
      <c r="D148" s="46">
        <v>65342</v>
      </c>
      <c r="E148" s="67">
        <v>14023</v>
      </c>
      <c r="F148" s="277">
        <v>4116</v>
      </c>
      <c r="G148" s="45"/>
    </row>
    <row r="149" spans="1:8" x14ac:dyDescent="0.25">
      <c r="A149" s="43">
        <v>42152</v>
      </c>
      <c r="B149" s="276" t="s">
        <v>118</v>
      </c>
      <c r="C149" s="47">
        <v>69.66</v>
      </c>
      <c r="D149" s="46">
        <v>69660</v>
      </c>
      <c r="E149" s="67">
        <v>14023</v>
      </c>
      <c r="F149" s="277">
        <v>4116</v>
      </c>
      <c r="G149" s="45"/>
    </row>
    <row r="150" spans="1:8" x14ac:dyDescent="0.25">
      <c r="A150" s="43">
        <v>42166</v>
      </c>
      <c r="B150" s="276" t="s">
        <v>229</v>
      </c>
      <c r="C150" s="47">
        <v>0</v>
      </c>
      <c r="D150" s="46">
        <v>757000</v>
      </c>
      <c r="E150" s="67">
        <v>14018</v>
      </c>
      <c r="F150" s="277">
        <v>4116</v>
      </c>
      <c r="G150" s="45"/>
    </row>
    <row r="151" spans="1:8" x14ac:dyDescent="0.25">
      <c r="A151" s="43">
        <v>42181</v>
      </c>
      <c r="B151" s="276" t="s">
        <v>247</v>
      </c>
      <c r="C151" s="47">
        <v>0</v>
      </c>
      <c r="D151" s="46">
        <v>102749.67</v>
      </c>
      <c r="E151" s="67">
        <v>14013</v>
      </c>
      <c r="F151" s="277">
        <v>4116</v>
      </c>
      <c r="G151" s="45"/>
    </row>
    <row r="152" spans="1:8" x14ac:dyDescent="0.25">
      <c r="A152" s="43">
        <v>42184</v>
      </c>
      <c r="B152" s="276" t="s">
        <v>118</v>
      </c>
      <c r="C152" s="47">
        <v>0</v>
      </c>
      <c r="D152" s="46">
        <v>81936</v>
      </c>
      <c r="E152" s="67">
        <v>14023</v>
      </c>
      <c r="F152" s="277">
        <v>4116</v>
      </c>
      <c r="G152" s="45"/>
    </row>
    <row r="153" spans="1:8" x14ac:dyDescent="0.25">
      <c r="A153" s="43"/>
      <c r="B153" s="276"/>
      <c r="C153" s="47"/>
      <c r="D153" s="47"/>
      <c r="E153" s="67"/>
      <c r="F153" s="277">
        <v>4116</v>
      </c>
      <c r="G153" s="45"/>
    </row>
    <row r="154" spans="1:8" x14ac:dyDescent="0.25">
      <c r="A154" s="43"/>
      <c r="B154" s="276" t="s">
        <v>113</v>
      </c>
      <c r="C154" s="349">
        <v>15.968</v>
      </c>
      <c r="D154" s="47">
        <f>7480+8488</f>
        <v>15968</v>
      </c>
      <c r="E154" s="67">
        <v>14137</v>
      </c>
      <c r="F154" s="277">
        <v>4116</v>
      </c>
      <c r="G154" s="45" t="s">
        <v>221</v>
      </c>
      <c r="H154" s="2">
        <v>8488</v>
      </c>
    </row>
    <row r="155" spans="1:8" x14ac:dyDescent="0.25">
      <c r="A155" s="43"/>
      <c r="B155" s="107"/>
      <c r="C155" s="47"/>
      <c r="D155" s="47"/>
      <c r="E155" s="67"/>
      <c r="F155" s="68"/>
      <c r="G155" s="45"/>
    </row>
    <row r="156" spans="1:8" x14ac:dyDescent="0.25">
      <c r="A156" s="43"/>
      <c r="B156" s="273" t="s">
        <v>41</v>
      </c>
      <c r="C156" s="31">
        <f>+SUM(C157:C171)</f>
        <v>185.374</v>
      </c>
      <c r="D156" s="30">
        <f>+SUM(D157:D171)</f>
        <v>325374</v>
      </c>
      <c r="E156" s="67"/>
      <c r="F156" s="68"/>
      <c r="G156" s="45"/>
    </row>
    <row r="157" spans="1:8" x14ac:dyDescent="0.25">
      <c r="A157" s="43">
        <v>42118</v>
      </c>
      <c r="B157" s="276" t="s">
        <v>93</v>
      </c>
      <c r="C157" s="47">
        <v>18.0625</v>
      </c>
      <c r="D157" s="46">
        <v>18062.5</v>
      </c>
      <c r="E157" s="67">
        <v>35019</v>
      </c>
      <c r="F157" s="68">
        <v>4116</v>
      </c>
      <c r="G157" s="45"/>
    </row>
    <row r="158" spans="1:8" x14ac:dyDescent="0.25">
      <c r="A158" s="43">
        <v>42118</v>
      </c>
      <c r="B158" s="276" t="s">
        <v>94</v>
      </c>
      <c r="C158" s="47">
        <v>17.977499999999999</v>
      </c>
      <c r="D158" s="46">
        <v>17977.5</v>
      </c>
      <c r="E158" s="67">
        <v>35019</v>
      </c>
      <c r="F158" s="68">
        <v>4116</v>
      </c>
      <c r="G158" s="45"/>
    </row>
    <row r="159" spans="1:8" x14ac:dyDescent="0.25">
      <c r="A159" s="43">
        <v>42118</v>
      </c>
      <c r="B159" s="276" t="s">
        <v>95</v>
      </c>
      <c r="C159" s="47">
        <v>32.084000000000003</v>
      </c>
      <c r="D159" s="46">
        <v>32084</v>
      </c>
      <c r="E159" s="67">
        <v>35019</v>
      </c>
      <c r="F159" s="68">
        <v>4116</v>
      </c>
      <c r="G159" s="45"/>
    </row>
    <row r="160" spans="1:8" x14ac:dyDescent="0.25">
      <c r="A160" s="43">
        <v>42118</v>
      </c>
      <c r="B160" s="276" t="s">
        <v>95</v>
      </c>
      <c r="C160" s="47">
        <v>77</v>
      </c>
      <c r="D160" s="46">
        <v>77000</v>
      </c>
      <c r="E160" s="67">
        <v>35019</v>
      </c>
      <c r="F160" s="68">
        <v>4116</v>
      </c>
      <c r="G160" s="45"/>
    </row>
    <row r="161" spans="1:7" x14ac:dyDescent="0.25">
      <c r="A161" s="43">
        <v>42118</v>
      </c>
      <c r="B161" s="276" t="s">
        <v>92</v>
      </c>
      <c r="C161" s="47">
        <v>40.25</v>
      </c>
      <c r="D161" s="46">
        <v>40250</v>
      </c>
      <c r="E161" s="67">
        <v>35019</v>
      </c>
      <c r="F161" s="68">
        <v>4116</v>
      </c>
      <c r="G161" s="45"/>
    </row>
    <row r="162" spans="1:7" x14ac:dyDescent="0.25">
      <c r="A162" s="43">
        <v>42172</v>
      </c>
      <c r="B162" s="276" t="s">
        <v>100</v>
      </c>
      <c r="C162" s="47">
        <v>0</v>
      </c>
      <c r="D162" s="46">
        <v>140000</v>
      </c>
      <c r="E162" s="67">
        <v>35015</v>
      </c>
      <c r="F162" s="68">
        <v>4116</v>
      </c>
      <c r="G162" s="45"/>
    </row>
    <row r="163" spans="1:7" x14ac:dyDescent="0.25">
      <c r="A163" s="43"/>
      <c r="B163" s="276" t="s">
        <v>93</v>
      </c>
      <c r="C163" s="47"/>
      <c r="D163" s="47"/>
      <c r="E163" s="67">
        <v>35019</v>
      </c>
      <c r="F163" s="68">
        <v>4116</v>
      </c>
      <c r="G163" s="45"/>
    </row>
    <row r="164" spans="1:7" x14ac:dyDescent="0.25">
      <c r="A164" s="43"/>
      <c r="B164" s="276" t="s">
        <v>94</v>
      </c>
      <c r="C164" s="47"/>
      <c r="D164" s="47"/>
      <c r="E164" s="67">
        <v>35019</v>
      </c>
      <c r="F164" s="68">
        <v>4116</v>
      </c>
      <c r="G164" s="45"/>
    </row>
    <row r="165" spans="1:7" x14ac:dyDescent="0.25">
      <c r="A165" s="43"/>
      <c r="B165" s="276" t="s">
        <v>95</v>
      </c>
      <c r="C165" s="47"/>
      <c r="D165" s="47"/>
      <c r="E165" s="67">
        <v>35019</v>
      </c>
      <c r="F165" s="68">
        <v>4116</v>
      </c>
      <c r="G165" s="45"/>
    </row>
    <row r="166" spans="1:7" x14ac:dyDescent="0.25">
      <c r="A166" s="43"/>
      <c r="B166" s="276" t="s">
        <v>96</v>
      </c>
      <c r="C166" s="47"/>
      <c r="D166" s="47"/>
      <c r="E166" s="67">
        <v>35019</v>
      </c>
      <c r="F166" s="68">
        <v>4116</v>
      </c>
      <c r="G166" s="45"/>
    </row>
    <row r="167" spans="1:7" x14ac:dyDescent="0.25">
      <c r="A167" s="43"/>
      <c r="B167" s="276" t="s">
        <v>93</v>
      </c>
      <c r="C167" s="47"/>
      <c r="D167" s="47"/>
      <c r="E167" s="67">
        <v>35019</v>
      </c>
      <c r="F167" s="68">
        <v>4116</v>
      </c>
      <c r="G167" s="45"/>
    </row>
    <row r="168" spans="1:7" x14ac:dyDescent="0.25">
      <c r="A168" s="43"/>
      <c r="B168" s="276" t="s">
        <v>95</v>
      </c>
      <c r="C168" s="47"/>
      <c r="D168" s="47"/>
      <c r="E168" s="67">
        <v>35019</v>
      </c>
      <c r="F168" s="68">
        <v>4116</v>
      </c>
      <c r="G168" s="45"/>
    </row>
    <row r="169" spans="1:7" x14ac:dyDescent="0.25">
      <c r="A169" s="43"/>
      <c r="B169" s="276" t="s">
        <v>95</v>
      </c>
      <c r="C169" s="47"/>
      <c r="D169" s="47"/>
      <c r="E169" s="67">
        <v>35019</v>
      </c>
      <c r="F169" s="68">
        <v>4116</v>
      </c>
      <c r="G169" s="45"/>
    </row>
    <row r="170" spans="1:7" x14ac:dyDescent="0.25">
      <c r="A170" s="43"/>
      <c r="B170" s="276" t="s">
        <v>92</v>
      </c>
      <c r="C170" s="47"/>
      <c r="D170" s="47"/>
      <c r="E170" s="67">
        <v>35019</v>
      </c>
      <c r="F170" s="68">
        <v>4116</v>
      </c>
      <c r="G170" s="45"/>
    </row>
    <row r="171" spans="1:7" x14ac:dyDescent="0.25">
      <c r="A171" s="43"/>
      <c r="B171" s="276" t="s">
        <v>100</v>
      </c>
      <c r="C171" s="47"/>
      <c r="D171" s="47"/>
      <c r="E171" s="67">
        <v>35015</v>
      </c>
      <c r="F171" s="68">
        <v>4116</v>
      </c>
      <c r="G171" s="45"/>
    </row>
    <row r="172" spans="1:7" x14ac:dyDescent="0.25">
      <c r="A172" s="43"/>
      <c r="B172" s="276"/>
      <c r="C172" s="47"/>
      <c r="D172" s="47"/>
      <c r="E172" s="67"/>
      <c r="F172" s="68"/>
      <c r="G172" s="45"/>
    </row>
    <row r="173" spans="1:7" x14ac:dyDescent="0.25">
      <c r="A173" s="43"/>
      <c r="B173" s="273" t="s">
        <v>42</v>
      </c>
      <c r="C173" s="31">
        <f>+SUM(C174:C180)</f>
        <v>180.94400000000002</v>
      </c>
      <c r="D173" s="30">
        <f>+SUM(D174:D180)</f>
        <v>180944</v>
      </c>
      <c r="E173" s="67"/>
      <c r="F173" s="68"/>
      <c r="G173" s="45"/>
    </row>
    <row r="174" spans="1:7" x14ac:dyDescent="0.25">
      <c r="A174" s="43">
        <v>42142</v>
      </c>
      <c r="B174" s="276" t="s">
        <v>43</v>
      </c>
      <c r="C174" s="47">
        <v>86.159000000000006</v>
      </c>
      <c r="D174" s="46">
        <v>86159</v>
      </c>
      <c r="E174" s="67">
        <v>29008</v>
      </c>
      <c r="F174" s="68">
        <v>4116</v>
      </c>
      <c r="G174" s="45"/>
    </row>
    <row r="175" spans="1:7" x14ac:dyDescent="0.25">
      <c r="A175" s="43">
        <v>42157</v>
      </c>
      <c r="B175" s="276" t="s">
        <v>44</v>
      </c>
      <c r="C175" s="47">
        <v>10.5</v>
      </c>
      <c r="D175" s="46">
        <v>10500</v>
      </c>
      <c r="E175" s="67">
        <v>29004</v>
      </c>
      <c r="F175" s="68">
        <v>4116</v>
      </c>
      <c r="G175" s="45"/>
    </row>
    <row r="176" spans="1:7" x14ac:dyDescent="0.25">
      <c r="A176" s="43">
        <v>42163</v>
      </c>
      <c r="B176" s="276" t="s">
        <v>43</v>
      </c>
      <c r="C176" s="47">
        <v>84.284999999999997</v>
      </c>
      <c r="D176" s="46">
        <v>84285</v>
      </c>
      <c r="E176" s="67">
        <v>29008</v>
      </c>
      <c r="F176" s="68">
        <v>4116</v>
      </c>
      <c r="G176" s="45"/>
    </row>
    <row r="177" spans="1:7" x14ac:dyDescent="0.25">
      <c r="A177" s="43"/>
      <c r="B177" s="276" t="s">
        <v>43</v>
      </c>
      <c r="C177" s="47"/>
      <c r="D177" s="47"/>
      <c r="E177" s="67"/>
      <c r="F177" s="68">
        <v>4116</v>
      </c>
      <c r="G177" s="45"/>
    </row>
    <row r="178" spans="1:7" x14ac:dyDescent="0.25">
      <c r="A178" s="43"/>
      <c r="B178" s="276"/>
      <c r="C178" s="47"/>
      <c r="D178" s="47"/>
      <c r="E178" s="67"/>
      <c r="F178" s="68">
        <v>4116</v>
      </c>
      <c r="G178" s="45"/>
    </row>
    <row r="179" spans="1:7" x14ac:dyDescent="0.25">
      <c r="A179" s="43"/>
      <c r="B179" s="276"/>
      <c r="C179" s="47"/>
      <c r="D179" s="47"/>
      <c r="E179" s="67"/>
      <c r="F179" s="68">
        <v>4116</v>
      </c>
      <c r="G179" s="45"/>
    </row>
    <row r="180" spans="1:7" x14ac:dyDescent="0.25">
      <c r="A180" s="43"/>
      <c r="B180" s="276"/>
      <c r="C180" s="47"/>
      <c r="D180" s="47"/>
      <c r="E180" s="67"/>
      <c r="F180" s="68"/>
      <c r="G180" s="45"/>
    </row>
    <row r="181" spans="1:7" x14ac:dyDescent="0.25">
      <c r="A181" s="43"/>
      <c r="B181" s="273" t="s">
        <v>45</v>
      </c>
      <c r="C181" s="31">
        <f>+SUM(C182:C207)</f>
        <v>492.5256</v>
      </c>
      <c r="D181" s="31">
        <f>+SUM(D182:D207)</f>
        <v>492525.6</v>
      </c>
      <c r="E181" s="67"/>
      <c r="F181" s="68"/>
      <c r="G181" s="45"/>
    </row>
    <row r="182" spans="1:7" x14ac:dyDescent="0.25">
      <c r="A182" s="43">
        <v>42057</v>
      </c>
      <c r="B182" s="276" t="s">
        <v>146</v>
      </c>
      <c r="C182" s="47">
        <v>466.28609999999998</v>
      </c>
      <c r="D182" s="46">
        <v>466286.1</v>
      </c>
      <c r="E182" s="67">
        <v>15319</v>
      </c>
      <c r="F182" s="68">
        <v>4116</v>
      </c>
      <c r="G182" s="45"/>
    </row>
    <row r="183" spans="1:7" x14ac:dyDescent="0.25">
      <c r="A183" s="43"/>
      <c r="B183" s="276"/>
      <c r="C183" s="47"/>
      <c r="D183" s="47"/>
      <c r="E183" s="67"/>
      <c r="F183" s="68">
        <v>4116</v>
      </c>
      <c r="G183" s="45"/>
    </row>
    <row r="184" spans="1:7" x14ac:dyDescent="0.25">
      <c r="A184" s="43"/>
      <c r="B184" s="276"/>
      <c r="C184" s="47"/>
      <c r="D184" s="47"/>
      <c r="E184" s="67"/>
      <c r="F184" s="68">
        <v>4116</v>
      </c>
      <c r="G184" s="45"/>
    </row>
    <row r="185" spans="1:7" x14ac:dyDescent="0.25">
      <c r="A185" s="43"/>
      <c r="B185" s="276"/>
      <c r="C185" s="47"/>
      <c r="D185" s="47"/>
      <c r="E185" s="67"/>
      <c r="F185" s="68">
        <v>4116</v>
      </c>
      <c r="G185" s="45"/>
    </row>
    <row r="186" spans="1:7" x14ac:dyDescent="0.25">
      <c r="A186" s="43"/>
      <c r="B186" s="276"/>
      <c r="C186" s="47"/>
      <c r="D186" s="47"/>
      <c r="E186" s="67"/>
      <c r="F186" s="68">
        <v>4116</v>
      </c>
      <c r="G186" s="45"/>
    </row>
    <row r="187" spans="1:7" x14ac:dyDescent="0.25">
      <c r="A187" s="43"/>
      <c r="B187" s="276"/>
      <c r="C187" s="47"/>
      <c r="D187" s="47"/>
      <c r="E187" s="67"/>
      <c r="F187" s="68">
        <v>4116</v>
      </c>
      <c r="G187" s="45"/>
    </row>
    <row r="188" spans="1:7" x14ac:dyDescent="0.25">
      <c r="A188" s="272"/>
      <c r="B188" s="276"/>
      <c r="C188" s="47"/>
      <c r="D188" s="47"/>
      <c r="E188" s="67"/>
      <c r="F188" s="68">
        <v>4116</v>
      </c>
      <c r="G188" s="45"/>
    </row>
    <row r="189" spans="1:7" x14ac:dyDescent="0.25">
      <c r="A189" s="272"/>
      <c r="B189" s="276"/>
      <c r="C189" s="47"/>
      <c r="D189" s="47"/>
      <c r="E189" s="67"/>
      <c r="F189" s="68">
        <v>4116</v>
      </c>
      <c r="G189" s="45"/>
    </row>
    <row r="190" spans="1:7" x14ac:dyDescent="0.25">
      <c r="A190" s="272"/>
      <c r="B190" s="276"/>
      <c r="C190" s="47"/>
      <c r="D190" s="47"/>
      <c r="E190" s="67"/>
      <c r="F190" s="68">
        <v>4116</v>
      </c>
      <c r="G190" s="45"/>
    </row>
    <row r="191" spans="1:7" x14ac:dyDescent="0.25">
      <c r="A191" s="272"/>
      <c r="B191" s="276"/>
      <c r="C191" s="47"/>
      <c r="D191" s="47"/>
      <c r="E191" s="67"/>
      <c r="F191" s="68">
        <v>4116</v>
      </c>
      <c r="G191" s="45"/>
    </row>
    <row r="192" spans="1:7" x14ac:dyDescent="0.25">
      <c r="A192" s="272"/>
      <c r="B192" s="276"/>
      <c r="C192" s="47"/>
      <c r="D192" s="47"/>
      <c r="E192" s="67"/>
      <c r="F192" s="68">
        <v>4116</v>
      </c>
      <c r="G192" s="45"/>
    </row>
    <row r="193" spans="1:7" x14ac:dyDescent="0.25">
      <c r="A193" s="43"/>
      <c r="B193" s="276"/>
      <c r="C193" s="47"/>
      <c r="D193" s="47"/>
      <c r="E193" s="67"/>
      <c r="F193" s="68">
        <v>4116</v>
      </c>
      <c r="G193" s="45"/>
    </row>
    <row r="194" spans="1:7" x14ac:dyDescent="0.25">
      <c r="A194" s="43"/>
      <c r="B194" s="276"/>
      <c r="C194" s="47"/>
      <c r="D194" s="47"/>
      <c r="E194" s="67"/>
      <c r="F194" s="68">
        <v>4116</v>
      </c>
      <c r="G194" s="45"/>
    </row>
    <row r="195" spans="1:7" x14ac:dyDescent="0.25">
      <c r="A195" s="43"/>
      <c r="B195" s="276"/>
      <c r="C195" s="47"/>
      <c r="D195" s="47"/>
      <c r="E195" s="67"/>
      <c r="F195" s="68">
        <v>4116</v>
      </c>
      <c r="G195" s="45"/>
    </row>
    <row r="196" spans="1:7" x14ac:dyDescent="0.25">
      <c r="A196" s="43"/>
      <c r="B196" s="276"/>
      <c r="C196" s="47"/>
      <c r="D196" s="47"/>
      <c r="E196" s="67"/>
      <c r="F196" s="68">
        <v>4116</v>
      </c>
      <c r="G196" s="45"/>
    </row>
    <row r="197" spans="1:7" x14ac:dyDescent="0.25">
      <c r="A197" s="43"/>
      <c r="B197" s="276"/>
      <c r="C197" s="47"/>
      <c r="D197" s="47"/>
      <c r="E197" s="67"/>
      <c r="F197" s="68">
        <v>4116</v>
      </c>
      <c r="G197" s="45"/>
    </row>
    <row r="198" spans="1:7" x14ac:dyDescent="0.25">
      <c r="A198" s="43"/>
      <c r="B198" s="276"/>
      <c r="C198" s="47"/>
      <c r="D198" s="47"/>
      <c r="E198" s="67"/>
      <c r="F198" s="68">
        <v>4116</v>
      </c>
      <c r="G198" s="45"/>
    </row>
    <row r="199" spans="1:7" x14ac:dyDescent="0.25">
      <c r="A199" s="43"/>
      <c r="B199" s="276"/>
      <c r="C199" s="47"/>
      <c r="D199" s="47"/>
      <c r="E199" s="67"/>
      <c r="F199" s="68">
        <v>4116</v>
      </c>
      <c r="G199" s="45"/>
    </row>
    <row r="200" spans="1:7" x14ac:dyDescent="0.25">
      <c r="A200" s="43"/>
      <c r="B200" s="276"/>
      <c r="C200" s="47"/>
      <c r="D200" s="47"/>
      <c r="E200" s="67"/>
      <c r="F200" s="68">
        <v>4116</v>
      </c>
      <c r="G200" s="45"/>
    </row>
    <row r="201" spans="1:7" x14ac:dyDescent="0.25">
      <c r="A201" s="43"/>
      <c r="B201" s="276"/>
      <c r="C201" s="47"/>
      <c r="D201" s="47"/>
      <c r="E201" s="67"/>
      <c r="F201" s="68">
        <v>4116</v>
      </c>
      <c r="G201" s="45"/>
    </row>
    <row r="202" spans="1:7" x14ac:dyDescent="0.25">
      <c r="A202" s="43"/>
      <c r="B202" s="276"/>
      <c r="C202" s="47"/>
      <c r="D202" s="47"/>
      <c r="E202" s="67"/>
      <c r="F202" s="68">
        <v>4116</v>
      </c>
      <c r="G202" s="45"/>
    </row>
    <row r="203" spans="1:7" x14ac:dyDescent="0.25">
      <c r="A203" s="43"/>
      <c r="B203" s="276"/>
      <c r="C203" s="47"/>
      <c r="D203" s="47"/>
      <c r="E203" s="67"/>
      <c r="F203" s="68">
        <v>4116</v>
      </c>
      <c r="G203" s="45"/>
    </row>
    <row r="204" spans="1:7" x14ac:dyDescent="0.25">
      <c r="A204" s="43"/>
      <c r="B204" s="276" t="s">
        <v>168</v>
      </c>
      <c r="C204" s="349">
        <v>26.2395</v>
      </c>
      <c r="D204" s="349">
        <v>26239.5</v>
      </c>
      <c r="E204" s="67">
        <v>15319</v>
      </c>
      <c r="F204" s="68">
        <v>4116</v>
      </c>
      <c r="G204" s="45"/>
    </row>
    <row r="205" spans="1:7" x14ac:dyDescent="0.25">
      <c r="A205" s="43"/>
      <c r="B205" s="276"/>
      <c r="C205" s="47"/>
      <c r="D205" s="47"/>
      <c r="E205" s="67"/>
      <c r="F205" s="68">
        <v>4116</v>
      </c>
      <c r="G205" s="45"/>
    </row>
    <row r="206" spans="1:7" x14ac:dyDescent="0.25">
      <c r="A206" s="272"/>
      <c r="B206" s="276"/>
      <c r="C206" s="47"/>
      <c r="D206" s="47"/>
      <c r="E206" s="67"/>
      <c r="F206" s="68">
        <v>4116</v>
      </c>
      <c r="G206" s="45"/>
    </row>
    <row r="207" spans="1:7" x14ac:dyDescent="0.25">
      <c r="A207" s="272"/>
      <c r="B207" s="44"/>
      <c r="C207" s="47"/>
      <c r="D207" s="47"/>
      <c r="E207" s="67"/>
      <c r="F207" s="68"/>
      <c r="G207" s="45"/>
    </row>
    <row r="208" spans="1:7" x14ac:dyDescent="0.25">
      <c r="A208" s="43"/>
      <c r="B208" s="31" t="s">
        <v>46</v>
      </c>
      <c r="C208" s="31">
        <f>+SUM(C209:C210)</f>
        <v>0</v>
      </c>
      <c r="D208" s="31">
        <f>+SUM(D209:D210)</f>
        <v>0</v>
      </c>
      <c r="E208" s="67"/>
      <c r="F208" s="68"/>
      <c r="G208" s="45"/>
    </row>
    <row r="209" spans="1:8" x14ac:dyDescent="0.25">
      <c r="A209" s="43"/>
      <c r="B209" s="276"/>
      <c r="C209" s="47"/>
      <c r="D209" s="47"/>
      <c r="E209" s="67"/>
      <c r="F209" s="68" t="s">
        <v>47</v>
      </c>
      <c r="G209" s="45"/>
    </row>
    <row r="210" spans="1:8" x14ac:dyDescent="0.25">
      <c r="A210" s="43"/>
      <c r="B210" s="276"/>
      <c r="C210" s="47"/>
      <c r="D210" s="47"/>
      <c r="E210" s="67"/>
      <c r="F210" s="68"/>
      <c r="G210" s="45"/>
    </row>
    <row r="211" spans="1:8" x14ac:dyDescent="0.25">
      <c r="A211" s="43"/>
      <c r="B211" s="44"/>
      <c r="C211" s="47"/>
      <c r="D211" s="47"/>
      <c r="E211" s="67"/>
      <c r="F211" s="68"/>
      <c r="G211" s="45"/>
    </row>
    <row r="212" spans="1:8" x14ac:dyDescent="0.25">
      <c r="A212" s="43"/>
      <c r="B212" s="273" t="s">
        <v>48</v>
      </c>
      <c r="C212" s="27">
        <f>SUM(C213:C323)</f>
        <v>106315.94968000002</v>
      </c>
      <c r="D212" s="27">
        <f>SUM(D213:D323)</f>
        <v>67714425.560000002</v>
      </c>
      <c r="E212" s="67"/>
      <c r="F212" s="268"/>
      <c r="G212" s="45"/>
    </row>
    <row r="213" spans="1:8" x14ac:dyDescent="0.25">
      <c r="A213" s="43">
        <v>42046</v>
      </c>
      <c r="B213" s="276" t="s">
        <v>104</v>
      </c>
      <c r="C213" s="53">
        <v>345.49686000000003</v>
      </c>
      <c r="D213" s="55">
        <v>345496.86</v>
      </c>
      <c r="E213" s="67">
        <v>33030</v>
      </c>
      <c r="F213" s="68" t="s">
        <v>49</v>
      </c>
      <c r="G213" s="45">
        <f>+C213*1000-D213</f>
        <v>0</v>
      </c>
    </row>
    <row r="214" spans="1:8" x14ac:dyDescent="0.25">
      <c r="A214" s="43">
        <v>42096</v>
      </c>
      <c r="B214" s="276" t="s">
        <v>140</v>
      </c>
      <c r="C214" s="53">
        <v>90.980059999999995</v>
      </c>
      <c r="D214" s="55">
        <v>90980.06</v>
      </c>
      <c r="E214" s="67">
        <v>33030</v>
      </c>
      <c r="F214" s="68" t="s">
        <v>49</v>
      </c>
      <c r="G214" s="45">
        <f t="shared" ref="G214:G277" si="0">+C214*1000-D214</f>
        <v>0</v>
      </c>
    </row>
    <row r="215" spans="1:8" x14ac:dyDescent="0.25">
      <c r="A215" s="43">
        <v>42118</v>
      </c>
      <c r="B215" s="276" t="s">
        <v>223</v>
      </c>
      <c r="C215" s="53">
        <f>100577.6</f>
        <v>100577.60000000001</v>
      </c>
      <c r="D215" s="55">
        <v>60346560</v>
      </c>
      <c r="E215" s="67">
        <v>13305</v>
      </c>
      <c r="F215" s="68">
        <v>4122</v>
      </c>
      <c r="G215" s="45">
        <f t="shared" si="0"/>
        <v>40231040</v>
      </c>
      <c r="H215" s="45">
        <v>51882000</v>
      </c>
    </row>
    <row r="216" spans="1:8" x14ac:dyDescent="0.25">
      <c r="A216" s="43">
        <v>42122</v>
      </c>
      <c r="B216" s="276" t="s">
        <v>150</v>
      </c>
      <c r="C216" s="55">
        <v>341.41081000000003</v>
      </c>
      <c r="D216" s="55">
        <v>341410.81</v>
      </c>
      <c r="E216" s="67">
        <v>33030</v>
      </c>
      <c r="F216" s="68">
        <v>4122</v>
      </c>
      <c r="G216" s="45">
        <f t="shared" si="0"/>
        <v>0</v>
      </c>
    </row>
    <row r="217" spans="1:8" x14ac:dyDescent="0.25">
      <c r="A217" s="43">
        <v>42138</v>
      </c>
      <c r="B217" s="276" t="s">
        <v>181</v>
      </c>
      <c r="C217" s="55">
        <v>41.08</v>
      </c>
      <c r="D217" s="55">
        <v>41080</v>
      </c>
      <c r="E217" s="67">
        <v>14011</v>
      </c>
      <c r="F217" s="68">
        <v>4122</v>
      </c>
      <c r="G217" s="45">
        <f t="shared" si="0"/>
        <v>0</v>
      </c>
    </row>
    <row r="218" spans="1:8" x14ac:dyDescent="0.25">
      <c r="A218" s="43">
        <v>42145</v>
      </c>
      <c r="B218" s="276" t="s">
        <v>200</v>
      </c>
      <c r="C218" s="53">
        <v>8.3298000000000005</v>
      </c>
      <c r="D218" s="55">
        <f>7080.33+1249.47</f>
        <v>8329.7999999999993</v>
      </c>
      <c r="E218" s="67">
        <v>33030</v>
      </c>
      <c r="F218" s="68">
        <v>4122</v>
      </c>
      <c r="G218" s="45">
        <f t="shared" si="0"/>
        <v>0</v>
      </c>
    </row>
    <row r="219" spans="1:8" x14ac:dyDescent="0.25">
      <c r="A219" s="43">
        <v>42145</v>
      </c>
      <c r="B219" s="276" t="s">
        <v>201</v>
      </c>
      <c r="C219" s="53">
        <v>1476.0851600000001</v>
      </c>
      <c r="D219" s="55">
        <f>1254672.38+221412.78</f>
        <v>1476085.16</v>
      </c>
      <c r="E219" s="67">
        <v>33030</v>
      </c>
      <c r="F219" s="68">
        <v>4122</v>
      </c>
      <c r="G219" s="45">
        <f t="shared" si="0"/>
        <v>0</v>
      </c>
    </row>
    <row r="220" spans="1:8" x14ac:dyDescent="0.25">
      <c r="A220" s="43">
        <v>42145</v>
      </c>
      <c r="B220" s="276" t="s">
        <v>202</v>
      </c>
      <c r="C220" s="53">
        <v>452.84152</v>
      </c>
      <c r="D220" s="55">
        <f>384915.29+67926.23</f>
        <v>452841.51999999996</v>
      </c>
      <c r="E220" s="67">
        <v>33030</v>
      </c>
      <c r="F220" s="68">
        <v>4122</v>
      </c>
      <c r="G220" s="45">
        <f t="shared" si="0"/>
        <v>0</v>
      </c>
    </row>
    <row r="221" spans="1:8" x14ac:dyDescent="0.25">
      <c r="A221" s="43">
        <v>42152</v>
      </c>
      <c r="B221" s="276" t="s">
        <v>181</v>
      </c>
      <c r="C221" s="53">
        <v>29.64</v>
      </c>
      <c r="D221" s="55">
        <v>29640</v>
      </c>
      <c r="E221" s="67">
        <v>14011</v>
      </c>
      <c r="F221" s="68">
        <v>4122</v>
      </c>
      <c r="G221" s="45">
        <f t="shared" si="0"/>
        <v>0</v>
      </c>
    </row>
    <row r="222" spans="1:8" x14ac:dyDescent="0.25">
      <c r="A222" s="43">
        <v>42160</v>
      </c>
      <c r="B222" s="276" t="s">
        <v>239</v>
      </c>
      <c r="C222" s="53">
        <v>100</v>
      </c>
      <c r="D222" s="55">
        <v>100000</v>
      </c>
      <c r="E222" s="67">
        <v>539</v>
      </c>
      <c r="F222" s="68">
        <v>4122</v>
      </c>
      <c r="G222" s="45">
        <f t="shared" si="0"/>
        <v>0</v>
      </c>
    </row>
    <row r="223" spans="1:8" x14ac:dyDescent="0.25">
      <c r="A223" s="43">
        <v>42160</v>
      </c>
      <c r="B223" s="276" t="s">
        <v>240</v>
      </c>
      <c r="C223" s="53">
        <v>98</v>
      </c>
      <c r="D223" s="55">
        <v>98000</v>
      </c>
      <c r="E223" s="67">
        <v>539</v>
      </c>
      <c r="F223" s="68">
        <v>4122</v>
      </c>
      <c r="G223" s="45">
        <f t="shared" si="0"/>
        <v>0</v>
      </c>
    </row>
    <row r="224" spans="1:8" x14ac:dyDescent="0.25">
      <c r="A224" s="43">
        <v>42173</v>
      </c>
      <c r="B224" s="276" t="s">
        <v>236</v>
      </c>
      <c r="C224" s="53">
        <v>0</v>
      </c>
      <c r="D224" s="55">
        <v>100000</v>
      </c>
      <c r="E224" s="67">
        <v>539</v>
      </c>
      <c r="F224" s="68">
        <v>4122</v>
      </c>
      <c r="G224" s="45">
        <f t="shared" si="0"/>
        <v>-100000</v>
      </c>
    </row>
    <row r="225" spans="1:7" x14ac:dyDescent="0.25">
      <c r="A225" s="43">
        <v>42178</v>
      </c>
      <c r="B225" s="276" t="s">
        <v>243</v>
      </c>
      <c r="C225" s="53">
        <v>0</v>
      </c>
      <c r="D225" s="55">
        <f>69527.72+12269.6</f>
        <v>81797.320000000007</v>
      </c>
      <c r="E225" s="67">
        <v>33030</v>
      </c>
      <c r="F225" s="68">
        <v>4122</v>
      </c>
      <c r="G225" s="45">
        <f t="shared" si="0"/>
        <v>-81797.320000000007</v>
      </c>
    </row>
    <row r="226" spans="1:7" x14ac:dyDescent="0.25">
      <c r="A226" s="43">
        <v>42181</v>
      </c>
      <c r="B226" s="276" t="s">
        <v>250</v>
      </c>
      <c r="C226" s="53">
        <v>0</v>
      </c>
      <c r="D226" s="55">
        <v>200000</v>
      </c>
      <c r="E226" s="67">
        <v>539</v>
      </c>
      <c r="F226" s="68">
        <v>4122</v>
      </c>
      <c r="G226" s="45">
        <f t="shared" si="0"/>
        <v>-200000</v>
      </c>
    </row>
    <row r="227" spans="1:7" x14ac:dyDescent="0.25">
      <c r="A227" s="43">
        <v>42181</v>
      </c>
      <c r="B227" s="276" t="s">
        <v>252</v>
      </c>
      <c r="C227" s="53">
        <v>0</v>
      </c>
      <c r="D227" s="55">
        <v>701624.08</v>
      </c>
      <c r="E227" s="67">
        <v>33030</v>
      </c>
      <c r="F227" s="68">
        <v>4122</v>
      </c>
      <c r="G227" s="45">
        <f t="shared" si="0"/>
        <v>-701624.08</v>
      </c>
    </row>
    <row r="228" spans="1:7" x14ac:dyDescent="0.25">
      <c r="A228" s="43">
        <v>42181</v>
      </c>
      <c r="B228" s="276" t="s">
        <v>251</v>
      </c>
      <c r="C228" s="53">
        <v>0</v>
      </c>
      <c r="D228" s="55">
        <v>93395.69</v>
      </c>
      <c r="E228" s="67">
        <v>33030</v>
      </c>
      <c r="F228" s="68">
        <v>4122</v>
      </c>
      <c r="G228" s="45">
        <f t="shared" si="0"/>
        <v>-93395.69</v>
      </c>
    </row>
    <row r="229" spans="1:7" x14ac:dyDescent="0.25">
      <c r="A229" s="43">
        <v>42181</v>
      </c>
      <c r="B229" s="276" t="s">
        <v>253</v>
      </c>
      <c r="C229" s="53">
        <v>0</v>
      </c>
      <c r="D229" s="55">
        <v>137194.74</v>
      </c>
      <c r="E229" s="67">
        <v>33030</v>
      </c>
      <c r="F229" s="68">
        <v>4122</v>
      </c>
      <c r="G229" s="45">
        <f t="shared" si="0"/>
        <v>-137194.74</v>
      </c>
    </row>
    <row r="230" spans="1:7" x14ac:dyDescent="0.25">
      <c r="A230" s="43">
        <v>42184</v>
      </c>
      <c r="B230" s="276" t="s">
        <v>254</v>
      </c>
      <c r="C230" s="53">
        <v>0</v>
      </c>
      <c r="D230" s="55">
        <v>276288.06</v>
      </c>
      <c r="E230" s="67">
        <v>33030</v>
      </c>
      <c r="F230" s="68">
        <v>4122</v>
      </c>
      <c r="G230" s="45">
        <f t="shared" si="0"/>
        <v>-276288.06</v>
      </c>
    </row>
    <row r="231" spans="1:7" x14ac:dyDescent="0.25">
      <c r="A231" s="43">
        <v>42184</v>
      </c>
      <c r="B231" s="276" t="s">
        <v>150</v>
      </c>
      <c r="C231" s="53">
        <v>0</v>
      </c>
      <c r="D231" s="55">
        <v>371087.57</v>
      </c>
      <c r="E231" s="67">
        <v>33030</v>
      </c>
      <c r="F231" s="68">
        <v>4122</v>
      </c>
      <c r="G231" s="45">
        <f t="shared" si="0"/>
        <v>-371087.57</v>
      </c>
    </row>
    <row r="232" spans="1:7" x14ac:dyDescent="0.25">
      <c r="A232" s="43">
        <v>42184</v>
      </c>
      <c r="B232" s="276" t="s">
        <v>256</v>
      </c>
      <c r="C232" s="53">
        <v>0</v>
      </c>
      <c r="D232" s="55">
        <v>120000</v>
      </c>
      <c r="E232" s="67">
        <v>311</v>
      </c>
      <c r="F232" s="68">
        <v>4122</v>
      </c>
      <c r="G232" s="45">
        <f t="shared" si="0"/>
        <v>-120000</v>
      </c>
    </row>
    <row r="233" spans="1:7" x14ac:dyDescent="0.25">
      <c r="A233" s="43">
        <v>42184</v>
      </c>
      <c r="B233" s="276" t="s">
        <v>255</v>
      </c>
      <c r="C233" s="53">
        <v>0</v>
      </c>
      <c r="D233" s="55">
        <v>60000</v>
      </c>
      <c r="E233" s="67">
        <v>311</v>
      </c>
      <c r="F233" s="68">
        <v>4122</v>
      </c>
      <c r="G233" s="45">
        <f t="shared" si="0"/>
        <v>-60000</v>
      </c>
    </row>
    <row r="234" spans="1:7" x14ac:dyDescent="0.25">
      <c r="A234" s="43"/>
      <c r="B234" s="276"/>
      <c r="C234" s="53"/>
      <c r="D234" s="55"/>
      <c r="E234" s="67"/>
      <c r="F234" s="68">
        <v>4122</v>
      </c>
      <c r="G234" s="45">
        <f t="shared" si="0"/>
        <v>0</v>
      </c>
    </row>
    <row r="235" spans="1:7" x14ac:dyDescent="0.25">
      <c r="A235" s="43"/>
      <c r="B235" s="276"/>
      <c r="C235" s="53"/>
      <c r="D235" s="55"/>
      <c r="E235" s="67"/>
      <c r="F235" s="68">
        <v>4122</v>
      </c>
      <c r="G235" s="45">
        <f t="shared" si="0"/>
        <v>0</v>
      </c>
    </row>
    <row r="236" spans="1:7" x14ac:dyDescent="0.25">
      <c r="A236" s="43"/>
      <c r="B236" s="276"/>
      <c r="C236" s="53"/>
      <c r="D236" s="55"/>
      <c r="E236" s="67"/>
      <c r="F236" s="68">
        <v>4122</v>
      </c>
      <c r="G236" s="45">
        <f t="shared" si="0"/>
        <v>0</v>
      </c>
    </row>
    <row r="237" spans="1:7" x14ac:dyDescent="0.25">
      <c r="A237" s="43"/>
      <c r="B237" s="276"/>
      <c r="C237" s="53"/>
      <c r="D237" s="55"/>
      <c r="E237" s="67"/>
      <c r="F237" s="68">
        <v>4122</v>
      </c>
      <c r="G237" s="45">
        <f t="shared" si="0"/>
        <v>0</v>
      </c>
    </row>
    <row r="238" spans="1:7" x14ac:dyDescent="0.25">
      <c r="A238" s="43"/>
      <c r="B238" s="276"/>
      <c r="C238" s="53"/>
      <c r="D238" s="55"/>
      <c r="E238" s="67"/>
      <c r="F238" s="68">
        <v>4122</v>
      </c>
      <c r="G238" s="45">
        <f t="shared" si="0"/>
        <v>0</v>
      </c>
    </row>
    <row r="239" spans="1:7" x14ac:dyDescent="0.25">
      <c r="A239" s="43"/>
      <c r="B239" s="276"/>
      <c r="C239" s="53"/>
      <c r="D239" s="55"/>
      <c r="E239" s="67"/>
      <c r="F239" s="68">
        <v>4122</v>
      </c>
      <c r="G239" s="45">
        <f t="shared" si="0"/>
        <v>0</v>
      </c>
    </row>
    <row r="240" spans="1:7" x14ac:dyDescent="0.25">
      <c r="A240" s="43"/>
      <c r="B240" s="276"/>
      <c r="C240" s="53"/>
      <c r="D240" s="55"/>
      <c r="E240" s="67"/>
      <c r="F240" s="68">
        <v>4122</v>
      </c>
      <c r="G240" s="45">
        <f t="shared" si="0"/>
        <v>0</v>
      </c>
    </row>
    <row r="241" spans="1:7" x14ac:dyDescent="0.25">
      <c r="A241" s="43"/>
      <c r="B241" s="276"/>
      <c r="C241" s="53"/>
      <c r="D241" s="55"/>
      <c r="E241" s="67"/>
      <c r="F241" s="68">
        <v>4122</v>
      </c>
      <c r="G241" s="45">
        <f t="shared" si="0"/>
        <v>0</v>
      </c>
    </row>
    <row r="242" spans="1:7" x14ac:dyDescent="0.25">
      <c r="A242" s="43"/>
      <c r="B242" s="276"/>
      <c r="C242" s="53"/>
      <c r="D242" s="55"/>
      <c r="E242" s="67"/>
      <c r="F242" s="68">
        <v>4122</v>
      </c>
      <c r="G242" s="45">
        <f t="shared" si="0"/>
        <v>0</v>
      </c>
    </row>
    <row r="243" spans="1:7" x14ac:dyDescent="0.25">
      <c r="A243" s="43"/>
      <c r="B243" s="276"/>
      <c r="C243" s="53"/>
      <c r="D243" s="55"/>
      <c r="E243" s="67"/>
      <c r="F243" s="68">
        <v>4122</v>
      </c>
      <c r="G243" s="45">
        <f t="shared" si="0"/>
        <v>0</v>
      </c>
    </row>
    <row r="244" spans="1:7" x14ac:dyDescent="0.25">
      <c r="A244" s="43"/>
      <c r="B244" s="276"/>
      <c r="C244" s="53"/>
      <c r="D244" s="55"/>
      <c r="E244" s="67"/>
      <c r="F244" s="68">
        <v>4122</v>
      </c>
      <c r="G244" s="45">
        <f t="shared" si="0"/>
        <v>0</v>
      </c>
    </row>
    <row r="245" spans="1:7" x14ac:dyDescent="0.25">
      <c r="A245" s="43"/>
      <c r="B245" s="276"/>
      <c r="C245" s="53"/>
      <c r="D245" s="55"/>
      <c r="E245" s="67"/>
      <c r="F245" s="68">
        <v>4122</v>
      </c>
      <c r="G245" s="45">
        <f t="shared" si="0"/>
        <v>0</v>
      </c>
    </row>
    <row r="246" spans="1:7" x14ac:dyDescent="0.25">
      <c r="A246" s="43"/>
      <c r="B246" s="276"/>
      <c r="C246" s="53"/>
      <c r="D246" s="55"/>
      <c r="E246" s="67"/>
      <c r="F246" s="68">
        <v>4122</v>
      </c>
      <c r="G246" s="45">
        <f t="shared" si="0"/>
        <v>0</v>
      </c>
    </row>
    <row r="247" spans="1:7" x14ac:dyDescent="0.25">
      <c r="A247" s="43"/>
      <c r="B247" s="276"/>
      <c r="C247" s="53"/>
      <c r="D247" s="55"/>
      <c r="E247" s="67"/>
      <c r="F247" s="68">
        <v>4122</v>
      </c>
      <c r="G247" s="45">
        <f t="shared" si="0"/>
        <v>0</v>
      </c>
    </row>
    <row r="248" spans="1:7" x14ac:dyDescent="0.25">
      <c r="A248" s="43"/>
      <c r="B248" s="276"/>
      <c r="C248" s="53"/>
      <c r="D248" s="55"/>
      <c r="E248" s="67"/>
      <c r="F248" s="68">
        <v>4122</v>
      </c>
      <c r="G248" s="45">
        <f t="shared" si="0"/>
        <v>0</v>
      </c>
    </row>
    <row r="249" spans="1:7" x14ac:dyDescent="0.25">
      <c r="A249" s="43"/>
      <c r="B249" s="276"/>
      <c r="C249" s="53"/>
      <c r="D249" s="55"/>
      <c r="E249" s="67"/>
      <c r="F249" s="68">
        <v>4122</v>
      </c>
      <c r="G249" s="45">
        <f t="shared" si="0"/>
        <v>0</v>
      </c>
    </row>
    <row r="250" spans="1:7" x14ac:dyDescent="0.25">
      <c r="A250" s="43"/>
      <c r="B250" s="276"/>
      <c r="C250" s="53"/>
      <c r="D250" s="55"/>
      <c r="E250" s="67"/>
      <c r="F250" s="68">
        <v>4122</v>
      </c>
      <c r="G250" s="45">
        <f t="shared" si="0"/>
        <v>0</v>
      </c>
    </row>
    <row r="251" spans="1:7" x14ac:dyDescent="0.25">
      <c r="A251" s="43"/>
      <c r="B251" s="276"/>
      <c r="C251" s="53"/>
      <c r="D251" s="55"/>
      <c r="E251" s="67"/>
      <c r="F251" s="68">
        <v>4122</v>
      </c>
      <c r="G251" s="45">
        <f t="shared" si="0"/>
        <v>0</v>
      </c>
    </row>
    <row r="252" spans="1:7" x14ac:dyDescent="0.25">
      <c r="A252" s="43"/>
      <c r="B252" s="276"/>
      <c r="C252" s="53"/>
      <c r="D252" s="55"/>
      <c r="E252" s="67"/>
      <c r="F252" s="68">
        <v>4122</v>
      </c>
      <c r="G252" s="45">
        <f t="shared" si="0"/>
        <v>0</v>
      </c>
    </row>
    <row r="253" spans="1:7" x14ac:dyDescent="0.25">
      <c r="A253" s="43"/>
      <c r="B253" s="276"/>
      <c r="C253" s="53"/>
      <c r="D253" s="55"/>
      <c r="E253" s="67"/>
      <c r="F253" s="68">
        <v>4122</v>
      </c>
      <c r="G253" s="45">
        <f t="shared" si="0"/>
        <v>0</v>
      </c>
    </row>
    <row r="254" spans="1:7" x14ac:dyDescent="0.25">
      <c r="A254" s="43"/>
      <c r="B254" s="276"/>
      <c r="C254" s="53"/>
      <c r="D254" s="55"/>
      <c r="E254" s="67"/>
      <c r="F254" s="68">
        <v>4122</v>
      </c>
      <c r="G254" s="45">
        <f t="shared" si="0"/>
        <v>0</v>
      </c>
    </row>
    <row r="255" spans="1:7" x14ac:dyDescent="0.25">
      <c r="A255" s="43"/>
      <c r="B255" s="276"/>
      <c r="C255" s="53"/>
      <c r="D255" s="55"/>
      <c r="E255" s="67"/>
      <c r="F255" s="68">
        <v>4122</v>
      </c>
      <c r="G255" s="45">
        <f t="shared" si="0"/>
        <v>0</v>
      </c>
    </row>
    <row r="256" spans="1:7" x14ac:dyDescent="0.25">
      <c r="A256" s="43"/>
      <c r="B256" s="276"/>
      <c r="C256" s="53"/>
      <c r="D256" s="55"/>
      <c r="E256" s="67"/>
      <c r="F256" s="68">
        <v>4122</v>
      </c>
      <c r="G256" s="45">
        <f t="shared" si="0"/>
        <v>0</v>
      </c>
    </row>
    <row r="257" spans="1:8" x14ac:dyDescent="0.25">
      <c r="A257" s="43"/>
      <c r="B257" s="276"/>
      <c r="C257" s="53"/>
      <c r="D257" s="55"/>
      <c r="E257" s="67"/>
      <c r="F257" s="68">
        <v>4122</v>
      </c>
      <c r="G257" s="45">
        <f t="shared" si="0"/>
        <v>0</v>
      </c>
    </row>
    <row r="258" spans="1:8" x14ac:dyDescent="0.25">
      <c r="A258" s="43"/>
      <c r="B258" s="276"/>
      <c r="C258" s="53"/>
      <c r="D258" s="55"/>
      <c r="E258" s="67"/>
      <c r="F258" s="68">
        <v>4122</v>
      </c>
      <c r="G258" s="45">
        <f t="shared" si="0"/>
        <v>0</v>
      </c>
    </row>
    <row r="259" spans="1:8" x14ac:dyDescent="0.25">
      <c r="A259" s="43"/>
      <c r="B259" s="276"/>
      <c r="C259" s="53"/>
      <c r="D259" s="55"/>
      <c r="E259" s="67"/>
      <c r="F259" s="68">
        <v>4122</v>
      </c>
      <c r="G259" s="45">
        <f t="shared" si="0"/>
        <v>0</v>
      </c>
    </row>
    <row r="260" spans="1:8" x14ac:dyDescent="0.25">
      <c r="A260" s="43"/>
      <c r="B260" s="276"/>
      <c r="C260" s="55"/>
      <c r="D260" s="55"/>
      <c r="E260" s="67"/>
      <c r="F260" s="68">
        <v>4122</v>
      </c>
      <c r="G260" s="45">
        <f t="shared" si="0"/>
        <v>0</v>
      </c>
    </row>
    <row r="261" spans="1:8" x14ac:dyDescent="0.25">
      <c r="A261" s="43"/>
      <c r="B261" s="276"/>
      <c r="C261" s="55"/>
      <c r="D261" s="55"/>
      <c r="E261" s="67"/>
      <c r="F261" s="68">
        <v>4122</v>
      </c>
      <c r="G261" s="45">
        <f t="shared" si="0"/>
        <v>0</v>
      </c>
    </row>
    <row r="262" spans="1:8" x14ac:dyDescent="0.25">
      <c r="A262" s="43"/>
      <c r="B262" s="276"/>
      <c r="C262" s="55"/>
      <c r="D262" s="55"/>
      <c r="E262" s="67"/>
      <c r="F262" s="68">
        <v>4122</v>
      </c>
      <c r="G262" s="45">
        <f t="shared" si="0"/>
        <v>0</v>
      </c>
    </row>
    <row r="263" spans="1:8" x14ac:dyDescent="0.25">
      <c r="A263" s="43"/>
      <c r="B263" s="276"/>
      <c r="C263" s="55"/>
      <c r="D263" s="55"/>
      <c r="E263" s="67"/>
      <c r="F263" s="68">
        <v>4122</v>
      </c>
      <c r="G263" s="45">
        <f t="shared" si="0"/>
        <v>0</v>
      </c>
    </row>
    <row r="264" spans="1:8" x14ac:dyDescent="0.25">
      <c r="A264" s="43"/>
      <c r="B264" s="276"/>
      <c r="C264" s="55"/>
      <c r="D264" s="55"/>
      <c r="E264" s="67"/>
      <c r="F264" s="68">
        <v>4122</v>
      </c>
      <c r="G264" s="45">
        <f t="shared" si="0"/>
        <v>0</v>
      </c>
    </row>
    <row r="265" spans="1:8" x14ac:dyDescent="0.25">
      <c r="A265" s="43"/>
      <c r="B265" s="276"/>
      <c r="C265" s="55"/>
      <c r="D265" s="55"/>
      <c r="E265" s="67"/>
      <c r="F265" s="68">
        <v>4122</v>
      </c>
      <c r="G265" s="45">
        <f t="shared" si="0"/>
        <v>0</v>
      </c>
    </row>
    <row r="266" spans="1:8" x14ac:dyDescent="0.25">
      <c r="A266" s="43"/>
      <c r="B266" s="276"/>
      <c r="C266" s="55"/>
      <c r="D266" s="55"/>
      <c r="E266" s="67"/>
      <c r="F266" s="68">
        <v>4122</v>
      </c>
      <c r="G266" s="45">
        <f t="shared" si="0"/>
        <v>0</v>
      </c>
    </row>
    <row r="267" spans="1:8" x14ac:dyDescent="0.25">
      <c r="A267" s="43"/>
      <c r="B267" s="276"/>
      <c r="C267" s="55"/>
      <c r="D267" s="55"/>
      <c r="E267" s="67"/>
      <c r="F267" s="68">
        <v>4122</v>
      </c>
      <c r="G267" s="45">
        <f t="shared" si="0"/>
        <v>0</v>
      </c>
    </row>
    <row r="268" spans="1:8" x14ac:dyDescent="0.25">
      <c r="A268" s="43"/>
      <c r="B268" s="276"/>
      <c r="C268" s="53"/>
      <c r="D268" s="55"/>
      <c r="E268" s="67"/>
      <c r="F268" s="68">
        <v>4122</v>
      </c>
      <c r="G268" s="45">
        <f t="shared" si="0"/>
        <v>0</v>
      </c>
    </row>
    <row r="269" spans="1:8" x14ac:dyDescent="0.25">
      <c r="A269" s="43"/>
      <c r="B269" s="276"/>
      <c r="C269" s="53"/>
      <c r="D269" s="55"/>
      <c r="E269" s="67"/>
      <c r="F269" s="68">
        <v>4122</v>
      </c>
      <c r="G269" s="45">
        <f t="shared" si="0"/>
        <v>0</v>
      </c>
    </row>
    <row r="270" spans="1:8" x14ac:dyDescent="0.25">
      <c r="A270" s="43"/>
      <c r="B270" s="276" t="s">
        <v>249</v>
      </c>
      <c r="C270" s="53">
        <v>0</v>
      </c>
      <c r="D270" s="55">
        <v>60000</v>
      </c>
      <c r="E270" s="67">
        <v>539</v>
      </c>
      <c r="F270" s="68">
        <v>4122</v>
      </c>
      <c r="G270" s="45">
        <f t="shared" si="0"/>
        <v>-60000</v>
      </c>
      <c r="H270" s="45">
        <v>60000</v>
      </c>
    </row>
    <row r="271" spans="1:8" x14ac:dyDescent="0.25">
      <c r="A271" s="43"/>
      <c r="B271" s="276"/>
      <c r="C271" s="53"/>
      <c r="D271" s="55"/>
      <c r="E271" s="67"/>
      <c r="F271" s="68">
        <v>4122</v>
      </c>
      <c r="G271" s="45">
        <f t="shared" si="0"/>
        <v>0</v>
      </c>
    </row>
    <row r="272" spans="1:8" x14ac:dyDescent="0.25">
      <c r="A272" s="43"/>
      <c r="B272" s="276"/>
      <c r="C272" s="53"/>
      <c r="D272" s="55"/>
      <c r="E272" s="268"/>
      <c r="F272" s="68">
        <v>4122</v>
      </c>
      <c r="G272" s="45">
        <f t="shared" si="0"/>
        <v>0</v>
      </c>
    </row>
    <row r="273" spans="1:8" x14ac:dyDescent="0.25">
      <c r="A273" s="43"/>
      <c r="B273" s="276"/>
      <c r="C273" s="53"/>
      <c r="D273" s="55"/>
      <c r="E273" s="268"/>
      <c r="F273" s="68">
        <v>4122</v>
      </c>
      <c r="G273" s="45">
        <f t="shared" si="0"/>
        <v>0</v>
      </c>
    </row>
    <row r="274" spans="1:8" x14ac:dyDescent="0.25">
      <c r="A274" s="43"/>
      <c r="B274" s="276" t="s">
        <v>259</v>
      </c>
      <c r="C274" s="176">
        <v>0</v>
      </c>
      <c r="D274" s="197">
        <v>35000</v>
      </c>
      <c r="E274" s="268">
        <v>539</v>
      </c>
      <c r="F274" s="68">
        <v>4122</v>
      </c>
      <c r="G274" s="45">
        <f t="shared" si="0"/>
        <v>-35000</v>
      </c>
      <c r="H274" s="45">
        <v>35000</v>
      </c>
    </row>
    <row r="275" spans="1:8" x14ac:dyDescent="0.25">
      <c r="A275" s="43"/>
      <c r="B275" s="276" t="s">
        <v>69</v>
      </c>
      <c r="C275" s="176">
        <v>674.88547000000005</v>
      </c>
      <c r="D275" s="197">
        <f>674885.47+224968.42</f>
        <v>899853.89</v>
      </c>
      <c r="E275" s="268">
        <v>33030</v>
      </c>
      <c r="F275" s="68">
        <v>4122</v>
      </c>
      <c r="G275" s="45">
        <f t="shared" si="0"/>
        <v>-224968.41999999993</v>
      </c>
      <c r="H275" s="45">
        <v>224968.42</v>
      </c>
    </row>
    <row r="276" spans="1:8" x14ac:dyDescent="0.25">
      <c r="A276" s="43"/>
      <c r="B276" s="276" t="s">
        <v>139</v>
      </c>
      <c r="C276" s="176">
        <f>669.36+446.24</f>
        <v>1115.5999999999999</v>
      </c>
      <c r="D276" s="197">
        <v>669360</v>
      </c>
      <c r="E276" s="268">
        <v>13305</v>
      </c>
      <c r="F276" s="68">
        <v>4122</v>
      </c>
      <c r="G276" s="45">
        <f t="shared" si="0"/>
        <v>446240</v>
      </c>
    </row>
    <row r="277" spans="1:8" x14ac:dyDescent="0.25">
      <c r="A277" s="43"/>
      <c r="B277" s="276" t="s">
        <v>151</v>
      </c>
      <c r="C277" s="176">
        <v>964</v>
      </c>
      <c r="D277" s="197">
        <v>578400</v>
      </c>
      <c r="E277" s="268">
        <v>13305</v>
      </c>
      <c r="F277" s="68">
        <v>4122</v>
      </c>
      <c r="G277" s="45">
        <f t="shared" si="0"/>
        <v>385600</v>
      </c>
    </row>
    <row r="278" spans="1:8" x14ac:dyDescent="0.25">
      <c r="A278" s="43"/>
      <c r="B278" s="276"/>
      <c r="C278" s="53"/>
      <c r="D278" s="55"/>
      <c r="E278" s="268"/>
      <c r="F278" s="68">
        <v>4122</v>
      </c>
      <c r="G278" s="45">
        <f t="shared" ref="G278:G311" si="1">+C278*1000-D278</f>
        <v>0</v>
      </c>
    </row>
    <row r="279" spans="1:8" x14ac:dyDescent="0.25">
      <c r="A279" s="43"/>
      <c r="B279" s="276"/>
      <c r="C279" s="53"/>
      <c r="D279" s="55"/>
      <c r="E279" s="268"/>
      <c r="F279" s="68">
        <v>4122</v>
      </c>
      <c r="G279" s="45">
        <f t="shared" si="1"/>
        <v>0</v>
      </c>
    </row>
    <row r="280" spans="1:8" x14ac:dyDescent="0.25">
      <c r="A280" s="43"/>
      <c r="B280" s="276"/>
      <c r="C280" s="53"/>
      <c r="D280" s="55"/>
      <c r="E280" s="268"/>
      <c r="F280" s="68">
        <v>4122</v>
      </c>
      <c r="G280" s="45">
        <f t="shared" si="1"/>
        <v>0</v>
      </c>
    </row>
    <row r="281" spans="1:8" x14ac:dyDescent="0.25">
      <c r="A281" s="43"/>
      <c r="B281" s="276"/>
      <c r="C281" s="53"/>
      <c r="D281" s="55"/>
      <c r="E281" s="268"/>
      <c r="F281" s="68">
        <v>4122</v>
      </c>
      <c r="G281" s="45">
        <f t="shared" si="1"/>
        <v>0</v>
      </c>
      <c r="H281" s="269"/>
    </row>
    <row r="282" spans="1:8" x14ac:dyDescent="0.25">
      <c r="A282" s="43"/>
      <c r="B282" s="276"/>
      <c r="C282" s="53"/>
      <c r="D282" s="55"/>
      <c r="E282" s="268"/>
      <c r="F282" s="68">
        <v>4122</v>
      </c>
      <c r="G282" s="45">
        <f t="shared" si="1"/>
        <v>0</v>
      </c>
      <c r="H282" s="269"/>
    </row>
    <row r="283" spans="1:8" x14ac:dyDescent="0.25">
      <c r="A283" s="43"/>
      <c r="B283" s="276"/>
      <c r="C283" s="53"/>
      <c r="D283" s="55"/>
      <c r="E283" s="268"/>
      <c r="F283" s="68">
        <v>4122</v>
      </c>
      <c r="G283" s="45">
        <f t="shared" si="1"/>
        <v>0</v>
      </c>
      <c r="H283" s="269"/>
    </row>
    <row r="284" spans="1:8" x14ac:dyDescent="0.25">
      <c r="A284" s="43"/>
      <c r="B284" s="276"/>
      <c r="C284" s="53"/>
      <c r="D284" s="55"/>
      <c r="E284" s="268"/>
      <c r="F284" s="68">
        <v>4122</v>
      </c>
      <c r="G284" s="45">
        <f t="shared" si="1"/>
        <v>0</v>
      </c>
      <c r="H284" s="269"/>
    </row>
    <row r="285" spans="1:8" x14ac:dyDescent="0.25">
      <c r="A285" s="43"/>
      <c r="B285" s="276"/>
      <c r="C285" s="53"/>
      <c r="D285" s="55"/>
      <c r="E285" s="268"/>
      <c r="F285" s="68">
        <v>4122</v>
      </c>
      <c r="G285" s="45">
        <f t="shared" si="1"/>
        <v>0</v>
      </c>
      <c r="H285" s="269"/>
    </row>
    <row r="286" spans="1:8" x14ac:dyDescent="0.25">
      <c r="A286" s="43"/>
      <c r="B286" s="276"/>
      <c r="C286" s="53"/>
      <c r="D286" s="55"/>
      <c r="E286" s="268"/>
      <c r="F286" s="68">
        <v>4122</v>
      </c>
      <c r="G286" s="45">
        <f t="shared" si="1"/>
        <v>0</v>
      </c>
      <c r="H286" s="269"/>
    </row>
    <row r="287" spans="1:8" x14ac:dyDescent="0.25">
      <c r="A287" s="43"/>
      <c r="B287" s="276"/>
      <c r="C287" s="53"/>
      <c r="D287" s="55"/>
      <c r="E287" s="268"/>
      <c r="F287" s="68">
        <v>4122</v>
      </c>
      <c r="G287" s="45">
        <f t="shared" si="1"/>
        <v>0</v>
      </c>
      <c r="H287" s="269"/>
    </row>
    <row r="288" spans="1:8" x14ac:dyDescent="0.25">
      <c r="A288" s="43"/>
      <c r="B288" s="276"/>
      <c r="C288" s="53"/>
      <c r="D288" s="55"/>
      <c r="E288" s="268"/>
      <c r="F288" s="68">
        <v>4122</v>
      </c>
      <c r="G288" s="45">
        <f t="shared" si="1"/>
        <v>0</v>
      </c>
      <c r="H288" s="269"/>
    </row>
    <row r="289" spans="1:8" x14ac:dyDescent="0.25">
      <c r="A289" s="43"/>
      <c r="B289" s="276"/>
      <c r="C289" s="53"/>
      <c r="D289" s="55"/>
      <c r="E289" s="268"/>
      <c r="F289" s="68">
        <v>4122</v>
      </c>
      <c r="G289" s="45">
        <f t="shared" si="1"/>
        <v>0</v>
      </c>
      <c r="H289" s="269"/>
    </row>
    <row r="290" spans="1:8" x14ac:dyDescent="0.25">
      <c r="A290" s="43"/>
      <c r="B290" s="276"/>
      <c r="C290" s="53"/>
      <c r="D290" s="55"/>
      <c r="E290" s="268"/>
      <c r="F290" s="68">
        <v>4122</v>
      </c>
      <c r="G290" s="45">
        <f t="shared" si="1"/>
        <v>0</v>
      </c>
      <c r="H290" s="269"/>
    </row>
    <row r="291" spans="1:8" x14ac:dyDescent="0.25">
      <c r="A291" s="43"/>
      <c r="B291" s="276"/>
      <c r="C291" s="53"/>
      <c r="D291" s="55"/>
      <c r="E291" s="268"/>
      <c r="F291" s="68">
        <v>4122</v>
      </c>
      <c r="G291" s="45">
        <f t="shared" si="1"/>
        <v>0</v>
      </c>
      <c r="H291" s="269"/>
    </row>
    <row r="292" spans="1:8" x14ac:dyDescent="0.25">
      <c r="A292" s="43"/>
      <c r="B292" s="276"/>
      <c r="C292" s="53"/>
      <c r="D292" s="55"/>
      <c r="E292" s="268"/>
      <c r="F292" s="68">
        <v>4122</v>
      </c>
      <c r="G292" s="45">
        <f t="shared" si="1"/>
        <v>0</v>
      </c>
      <c r="H292" s="269"/>
    </row>
    <row r="293" spans="1:8" x14ac:dyDescent="0.25">
      <c r="A293" s="43"/>
      <c r="B293" s="276"/>
      <c r="C293" s="53"/>
      <c r="D293" s="55"/>
      <c r="E293" s="268"/>
      <c r="F293" s="68">
        <v>4122</v>
      </c>
      <c r="G293" s="45">
        <f t="shared" si="1"/>
        <v>0</v>
      </c>
      <c r="H293" s="269"/>
    </row>
    <row r="294" spans="1:8" x14ac:dyDescent="0.25">
      <c r="A294" s="43"/>
      <c r="B294" s="276"/>
      <c r="C294" s="53"/>
      <c r="D294" s="55"/>
      <c r="E294" s="268"/>
      <c r="F294" s="68">
        <v>4122</v>
      </c>
      <c r="G294" s="45">
        <f t="shared" si="1"/>
        <v>0</v>
      </c>
      <c r="H294" s="269"/>
    </row>
    <row r="295" spans="1:8" x14ac:dyDescent="0.25">
      <c r="A295" s="43"/>
      <c r="B295" s="276"/>
      <c r="C295" s="53"/>
      <c r="D295" s="55"/>
      <c r="E295" s="268"/>
      <c r="F295" s="68">
        <v>4122</v>
      </c>
      <c r="G295" s="45">
        <f t="shared" si="1"/>
        <v>0</v>
      </c>
      <c r="H295" s="269"/>
    </row>
    <row r="296" spans="1:8" x14ac:dyDescent="0.25">
      <c r="A296" s="43"/>
      <c r="B296" s="276"/>
      <c r="C296" s="53"/>
      <c r="D296" s="55"/>
      <c r="E296" s="268"/>
      <c r="F296" s="68">
        <v>4122</v>
      </c>
      <c r="G296" s="45">
        <f t="shared" si="1"/>
        <v>0</v>
      </c>
      <c r="H296" s="269"/>
    </row>
    <row r="297" spans="1:8" x14ac:dyDescent="0.25">
      <c r="A297" s="43"/>
      <c r="B297" s="276"/>
      <c r="C297" s="53"/>
      <c r="D297" s="55"/>
      <c r="E297" s="268"/>
      <c r="F297" s="68">
        <v>4122</v>
      </c>
      <c r="G297" s="45">
        <f t="shared" si="1"/>
        <v>0</v>
      </c>
      <c r="H297" s="269"/>
    </row>
    <row r="298" spans="1:8" x14ac:dyDescent="0.25">
      <c r="A298" s="43"/>
      <c r="B298" s="276"/>
      <c r="C298" s="53"/>
      <c r="D298" s="55"/>
      <c r="E298" s="268"/>
      <c r="F298" s="68">
        <v>4122</v>
      </c>
      <c r="G298" s="45">
        <f t="shared" si="1"/>
        <v>0</v>
      </c>
      <c r="H298" s="269"/>
    </row>
    <row r="299" spans="1:8" x14ac:dyDescent="0.25">
      <c r="A299" s="43"/>
      <c r="B299" s="276"/>
      <c r="C299" s="53"/>
      <c r="D299" s="55"/>
      <c r="E299" s="268"/>
      <c r="F299" s="68">
        <v>4122</v>
      </c>
      <c r="G299" s="45">
        <f t="shared" si="1"/>
        <v>0</v>
      </c>
      <c r="H299" s="269"/>
    </row>
    <row r="300" spans="1:8" x14ac:dyDescent="0.25">
      <c r="A300" s="43"/>
      <c r="B300" s="276"/>
      <c r="C300" s="53"/>
      <c r="D300" s="55"/>
      <c r="E300" s="268"/>
      <c r="F300" s="68">
        <v>4122</v>
      </c>
      <c r="G300" s="45">
        <f t="shared" si="1"/>
        <v>0</v>
      </c>
      <c r="H300" s="269"/>
    </row>
    <row r="301" spans="1:8" x14ac:dyDescent="0.25">
      <c r="A301" s="43"/>
      <c r="B301" s="276"/>
      <c r="C301" s="53"/>
      <c r="D301" s="55"/>
      <c r="E301" s="268"/>
      <c r="F301" s="68">
        <v>4122</v>
      </c>
      <c r="G301" s="45">
        <f t="shared" si="1"/>
        <v>0</v>
      </c>
      <c r="H301" s="269"/>
    </row>
    <row r="302" spans="1:8" x14ac:dyDescent="0.25">
      <c r="A302" s="43"/>
      <c r="B302" s="276"/>
      <c r="C302" s="53"/>
      <c r="D302" s="55"/>
      <c r="E302" s="268"/>
      <c r="F302" s="68">
        <v>4122</v>
      </c>
      <c r="G302" s="45">
        <f t="shared" si="1"/>
        <v>0</v>
      </c>
      <c r="H302" s="269"/>
    </row>
    <row r="303" spans="1:8" x14ac:dyDescent="0.25">
      <c r="A303" s="43"/>
      <c r="B303" s="276"/>
      <c r="C303" s="53"/>
      <c r="D303" s="55"/>
      <c r="E303" s="268"/>
      <c r="F303" s="68">
        <v>4122</v>
      </c>
      <c r="G303" s="45">
        <f t="shared" si="1"/>
        <v>0</v>
      </c>
      <c r="H303" s="269"/>
    </row>
    <row r="304" spans="1:8" x14ac:dyDescent="0.25">
      <c r="A304" s="43"/>
      <c r="B304" s="276"/>
      <c r="C304" s="53"/>
      <c r="D304" s="55"/>
      <c r="E304" s="268"/>
      <c r="F304" s="68">
        <v>4122</v>
      </c>
      <c r="G304" s="45">
        <f t="shared" si="1"/>
        <v>0</v>
      </c>
      <c r="H304" s="269"/>
    </row>
    <row r="305" spans="1:8" x14ac:dyDescent="0.25">
      <c r="A305" s="43"/>
      <c r="B305" s="276"/>
      <c r="C305" s="53"/>
      <c r="D305" s="55"/>
      <c r="E305" s="268"/>
      <c r="F305" s="68">
        <v>4122</v>
      </c>
      <c r="G305" s="45">
        <f t="shared" si="1"/>
        <v>0</v>
      </c>
      <c r="H305" s="269"/>
    </row>
    <row r="306" spans="1:8" x14ac:dyDescent="0.25">
      <c r="A306" s="43"/>
      <c r="B306" s="276"/>
      <c r="C306" s="53"/>
      <c r="D306" s="55"/>
      <c r="E306" s="268"/>
      <c r="F306" s="68">
        <v>4122</v>
      </c>
      <c r="G306" s="45">
        <f t="shared" si="1"/>
        <v>0</v>
      </c>
      <c r="H306" s="269"/>
    </row>
    <row r="307" spans="1:8" x14ac:dyDescent="0.25">
      <c r="A307" s="43"/>
      <c r="B307" s="276"/>
      <c r="C307" s="53"/>
      <c r="D307" s="55"/>
      <c r="E307" s="268"/>
      <c r="F307" s="68">
        <v>4122</v>
      </c>
      <c r="G307" s="45">
        <f t="shared" si="1"/>
        <v>0</v>
      </c>
      <c r="H307" s="269"/>
    </row>
    <row r="308" spans="1:8" x14ac:dyDescent="0.25">
      <c r="A308" s="43"/>
      <c r="B308" s="276"/>
      <c r="C308" s="53"/>
      <c r="D308" s="55"/>
      <c r="E308" s="268"/>
      <c r="F308" s="68">
        <v>4122</v>
      </c>
      <c r="G308" s="45">
        <f t="shared" si="1"/>
        <v>0</v>
      </c>
      <c r="H308" s="269"/>
    </row>
    <row r="309" spans="1:8" x14ac:dyDescent="0.25">
      <c r="A309" s="43"/>
      <c r="B309" s="276"/>
      <c r="C309" s="55"/>
      <c r="D309" s="55"/>
      <c r="E309" s="67"/>
      <c r="F309" s="68">
        <v>4122</v>
      </c>
      <c r="G309" s="45">
        <f t="shared" si="1"/>
        <v>0</v>
      </c>
      <c r="H309" s="269"/>
    </row>
    <row r="310" spans="1:8" x14ac:dyDescent="0.25">
      <c r="A310" s="43"/>
      <c r="B310" s="276"/>
      <c r="C310" s="55"/>
      <c r="D310" s="55"/>
      <c r="E310" s="67"/>
      <c r="F310" s="68">
        <v>4122</v>
      </c>
      <c r="G310" s="45">
        <f t="shared" si="1"/>
        <v>0</v>
      </c>
      <c r="H310" s="269"/>
    </row>
    <row r="311" spans="1:8" x14ac:dyDescent="0.25">
      <c r="A311" s="43"/>
      <c r="B311" s="276"/>
      <c r="C311" s="55"/>
      <c r="D311" s="55"/>
      <c r="E311" s="67"/>
      <c r="F311" s="68">
        <v>4122</v>
      </c>
      <c r="G311" s="45">
        <f t="shared" si="1"/>
        <v>0</v>
      </c>
      <c r="H311" s="269"/>
    </row>
    <row r="312" spans="1:8" x14ac:dyDescent="0.25">
      <c r="A312" s="43"/>
      <c r="B312" s="276"/>
      <c r="C312" s="55"/>
      <c r="D312" s="55"/>
      <c r="E312" s="67"/>
      <c r="F312" s="68">
        <v>4122</v>
      </c>
      <c r="G312" s="45"/>
      <c r="H312" s="269"/>
    </row>
    <row r="313" spans="1:8" x14ac:dyDescent="0.25">
      <c r="A313" s="43"/>
      <c r="B313" s="276"/>
      <c r="C313" s="55"/>
      <c r="D313" s="55"/>
      <c r="E313" s="67"/>
      <c r="F313" s="68">
        <v>4122</v>
      </c>
      <c r="G313" s="45"/>
      <c r="H313" s="269"/>
    </row>
    <row r="314" spans="1:8" x14ac:dyDescent="0.25">
      <c r="A314" s="43"/>
      <c r="B314" s="276"/>
      <c r="C314" s="55"/>
      <c r="D314" s="55"/>
      <c r="E314" s="67"/>
      <c r="F314" s="68">
        <v>4122</v>
      </c>
      <c r="G314" s="45"/>
      <c r="H314" s="269"/>
    </row>
    <row r="315" spans="1:8" x14ac:dyDescent="0.25">
      <c r="A315" s="43"/>
      <c r="B315" s="276"/>
      <c r="C315" s="55"/>
      <c r="D315" s="55"/>
      <c r="E315" s="67"/>
      <c r="F315" s="68">
        <v>4122</v>
      </c>
      <c r="G315" s="45"/>
      <c r="H315" s="269"/>
    </row>
    <row r="316" spans="1:8" x14ac:dyDescent="0.25">
      <c r="A316" s="43"/>
      <c r="B316" s="276"/>
      <c r="C316" s="55"/>
      <c r="D316" s="55"/>
      <c r="E316" s="67"/>
      <c r="F316" s="68">
        <v>4122</v>
      </c>
      <c r="G316" s="45"/>
      <c r="H316" s="269"/>
    </row>
    <row r="317" spans="1:8" x14ac:dyDescent="0.25">
      <c r="A317" s="43"/>
      <c r="B317" s="276"/>
      <c r="C317" s="55"/>
      <c r="D317" s="55"/>
      <c r="E317" s="67"/>
      <c r="F317" s="68">
        <v>4122</v>
      </c>
      <c r="G317" s="45"/>
      <c r="H317" s="269"/>
    </row>
    <row r="318" spans="1:8" x14ac:dyDescent="0.25">
      <c r="A318" s="43"/>
      <c r="B318" s="276"/>
      <c r="C318" s="55"/>
      <c r="D318" s="55"/>
      <c r="E318" s="67"/>
      <c r="F318" s="68">
        <v>4122</v>
      </c>
      <c r="G318" s="45"/>
      <c r="H318" s="269"/>
    </row>
    <row r="319" spans="1:8" x14ac:dyDescent="0.25">
      <c r="A319" s="43"/>
      <c r="B319" s="276"/>
      <c r="C319" s="55"/>
      <c r="D319" s="55"/>
      <c r="E319" s="67"/>
      <c r="F319" s="68">
        <v>4122</v>
      </c>
      <c r="G319" s="45"/>
      <c r="H319" s="269"/>
    </row>
    <row r="320" spans="1:8" x14ac:dyDescent="0.25">
      <c r="A320" s="43"/>
      <c r="B320" s="276"/>
      <c r="C320" s="55"/>
      <c r="D320" s="55"/>
      <c r="E320" s="67"/>
      <c r="F320" s="68">
        <v>4122</v>
      </c>
      <c r="G320" s="45"/>
      <c r="H320" s="269"/>
    </row>
    <row r="321" spans="1:7" x14ac:dyDescent="0.25">
      <c r="A321" s="43"/>
      <c r="B321" s="276"/>
      <c r="C321" s="55"/>
      <c r="D321" s="55"/>
      <c r="E321" s="67"/>
      <c r="F321" s="68">
        <v>4122</v>
      </c>
      <c r="G321" s="45"/>
    </row>
    <row r="322" spans="1:7" x14ac:dyDescent="0.25">
      <c r="A322" s="43"/>
      <c r="B322" s="276"/>
      <c r="C322" s="55"/>
      <c r="D322" s="55"/>
      <c r="E322" s="67"/>
      <c r="F322" s="68">
        <v>4122</v>
      </c>
      <c r="G322" s="45"/>
    </row>
    <row r="323" spans="1:7" x14ac:dyDescent="0.25">
      <c r="A323" s="43"/>
      <c r="B323" s="276"/>
      <c r="C323" s="55"/>
      <c r="D323" s="55"/>
      <c r="E323" s="67"/>
      <c r="F323" s="68">
        <v>4122</v>
      </c>
      <c r="G323" s="45"/>
    </row>
    <row r="324" spans="1:7" x14ac:dyDescent="0.25">
      <c r="A324" s="43"/>
      <c r="B324" s="276"/>
      <c r="C324" s="55"/>
      <c r="D324" s="55"/>
      <c r="E324" s="67"/>
      <c r="F324" s="277"/>
      <c r="G324" s="45"/>
    </row>
    <row r="325" spans="1:7" x14ac:dyDescent="0.25">
      <c r="A325" s="43"/>
      <c r="B325" s="31" t="s">
        <v>50</v>
      </c>
      <c r="C325" s="27">
        <f>SUM(C326:C330)</f>
        <v>984.7969700000001</v>
      </c>
      <c r="D325" s="27">
        <f>+SUM(D326:D330)</f>
        <v>1808652.21</v>
      </c>
      <c r="E325" s="67"/>
      <c r="F325" s="277"/>
      <c r="G325" s="45"/>
    </row>
    <row r="326" spans="1:7" x14ac:dyDescent="0.25">
      <c r="A326" s="272">
        <v>42101</v>
      </c>
      <c r="B326" s="276" t="s">
        <v>138</v>
      </c>
      <c r="C326" s="53">
        <v>131.06369000000001</v>
      </c>
      <c r="D326" s="55">
        <v>131063.69</v>
      </c>
      <c r="E326" s="268">
        <v>86005</v>
      </c>
      <c r="F326" s="68">
        <v>4123</v>
      </c>
      <c r="G326" s="45"/>
    </row>
    <row r="327" spans="1:7" x14ac:dyDescent="0.25">
      <c r="A327" s="287">
        <v>42131</v>
      </c>
      <c r="B327" s="276" t="s">
        <v>180</v>
      </c>
      <c r="C327" s="53">
        <v>853.73328000000004</v>
      </c>
      <c r="D327" s="55">
        <v>853733.28</v>
      </c>
      <c r="E327" s="290">
        <v>86005</v>
      </c>
      <c r="F327" s="68">
        <v>4123</v>
      </c>
      <c r="G327" s="45"/>
    </row>
    <row r="328" spans="1:7" x14ac:dyDescent="0.25">
      <c r="A328" s="287">
        <v>42178</v>
      </c>
      <c r="B328" s="276" t="s">
        <v>245</v>
      </c>
      <c r="C328" s="53">
        <v>0</v>
      </c>
      <c r="D328" s="55">
        <v>823855.24</v>
      </c>
      <c r="E328" s="290">
        <v>86005</v>
      </c>
      <c r="F328" s="68">
        <v>4123</v>
      </c>
      <c r="G328" s="45"/>
    </row>
    <row r="329" spans="1:7" x14ac:dyDescent="0.25">
      <c r="A329" s="287"/>
      <c r="B329" s="276"/>
      <c r="C329" s="53"/>
      <c r="D329" s="55"/>
      <c r="E329" s="290"/>
      <c r="F329" s="68">
        <v>4123</v>
      </c>
      <c r="G329" s="45"/>
    </row>
    <row r="330" spans="1:7" x14ac:dyDescent="0.25">
      <c r="A330" s="43"/>
      <c r="B330" s="291"/>
      <c r="C330" s="56"/>
      <c r="D330" s="56"/>
      <c r="E330" s="67"/>
      <c r="F330" s="68"/>
      <c r="G330" s="45"/>
    </row>
    <row r="331" spans="1:7" x14ac:dyDescent="0.25">
      <c r="A331" s="43"/>
      <c r="B331" s="292" t="s">
        <v>51</v>
      </c>
      <c r="C331" s="31">
        <f>+C332</f>
        <v>0</v>
      </c>
      <c r="D331" s="31">
        <f>+D332</f>
        <v>0</v>
      </c>
      <c r="E331" s="67"/>
      <c r="F331" s="277"/>
      <c r="G331" s="45"/>
    </row>
    <row r="332" spans="1:7" x14ac:dyDescent="0.25">
      <c r="A332" s="43"/>
      <c r="B332" s="44"/>
      <c r="C332" s="47"/>
      <c r="D332" s="47"/>
      <c r="E332" s="67"/>
      <c r="F332" s="68">
        <v>4151</v>
      </c>
      <c r="G332" s="45"/>
    </row>
    <row r="333" spans="1:7" x14ac:dyDescent="0.25">
      <c r="A333" s="43"/>
      <c r="B333" s="44"/>
      <c r="C333" s="47"/>
      <c r="D333" s="47"/>
      <c r="E333" s="67"/>
      <c r="F333" s="68"/>
      <c r="G333" s="45"/>
    </row>
    <row r="334" spans="1:7" x14ac:dyDescent="0.25">
      <c r="A334" s="43"/>
      <c r="B334" s="293" t="s">
        <v>52</v>
      </c>
      <c r="C334" s="31">
        <f>+SUM(C335:C338)</f>
        <v>582</v>
      </c>
      <c r="D334" s="31">
        <f>+SUM(D335:D338)</f>
        <v>2376443.1100000003</v>
      </c>
      <c r="E334" s="67"/>
      <c r="F334" s="68"/>
      <c r="G334" s="45"/>
    </row>
    <row r="335" spans="1:7" x14ac:dyDescent="0.25">
      <c r="A335" s="43">
        <v>42075</v>
      </c>
      <c r="B335" s="276" t="s">
        <v>124</v>
      </c>
      <c r="C335" s="53">
        <v>582</v>
      </c>
      <c r="D335" s="55">
        <v>581714.24</v>
      </c>
      <c r="E335" s="67"/>
      <c r="F335" s="68">
        <v>4152</v>
      </c>
      <c r="G335" s="45"/>
    </row>
    <row r="336" spans="1:7" x14ac:dyDescent="0.25">
      <c r="A336" s="43">
        <v>42174</v>
      </c>
      <c r="B336" s="276" t="s">
        <v>244</v>
      </c>
      <c r="C336" s="53">
        <v>0</v>
      </c>
      <c r="D336" s="55">
        <v>1794728.87</v>
      </c>
      <c r="E336" s="67"/>
      <c r="F336" s="68">
        <v>4152</v>
      </c>
      <c r="G336" s="45"/>
    </row>
    <row r="337" spans="1:7" x14ac:dyDescent="0.25">
      <c r="A337" s="43"/>
      <c r="B337" s="276"/>
      <c r="C337" s="53"/>
      <c r="D337" s="55"/>
      <c r="E337" s="67"/>
      <c r="F337" s="68">
        <v>4152</v>
      </c>
      <c r="G337" s="45"/>
    </row>
    <row r="338" spans="1:7" x14ac:dyDescent="0.25">
      <c r="A338" s="43"/>
      <c r="B338" s="276"/>
      <c r="C338" s="53"/>
      <c r="D338" s="55"/>
      <c r="E338" s="67"/>
      <c r="F338" s="68">
        <v>4152</v>
      </c>
      <c r="G338" s="45"/>
    </row>
    <row r="339" spans="1:7" x14ac:dyDescent="0.25">
      <c r="A339" s="43"/>
      <c r="B339" s="276"/>
      <c r="C339" s="47"/>
      <c r="D339" s="55"/>
      <c r="E339" s="67"/>
      <c r="F339" s="68"/>
      <c r="G339" s="45"/>
    </row>
    <row r="340" spans="1:7" x14ac:dyDescent="0.25">
      <c r="A340" s="43"/>
      <c r="B340" s="294" t="s">
        <v>53</v>
      </c>
      <c r="C340" s="27">
        <f>+C334+C212+C140+C137+C116+C103+C36+C12+C7+C121+C331+C325+C208+C61+C156+C181+C18+C173+C32+C66</f>
        <v>195951.38603999998</v>
      </c>
      <c r="D340" s="27">
        <f>+D334+D212+D140+D137+D116+D103+D36+D12+D7+D121+D331+D325+D208+D61+D156+D181+D18+D173+D32+D66</f>
        <v>170250696.35999998</v>
      </c>
      <c r="E340" s="295"/>
      <c r="F340" s="268"/>
      <c r="G340" s="45"/>
    </row>
    <row r="341" spans="1:7" ht="16.5" thickBot="1" x14ac:dyDescent="0.3">
      <c r="A341" s="296"/>
      <c r="B341" s="297"/>
      <c r="C341" s="75"/>
      <c r="D341" s="75"/>
      <c r="E341" s="298"/>
      <c r="F341" s="299"/>
      <c r="G341" s="45"/>
    </row>
    <row r="342" spans="1:7" x14ac:dyDescent="0.25">
      <c r="A342" s="300"/>
      <c r="B342" s="79"/>
      <c r="C342" s="79"/>
      <c r="D342" s="79"/>
      <c r="E342" s="301"/>
      <c r="F342" s="301"/>
      <c r="G342" s="45"/>
    </row>
    <row r="343" spans="1:7" ht="16.5" thickBot="1" x14ac:dyDescent="0.3">
      <c r="A343" s="300"/>
      <c r="B343" s="79"/>
      <c r="C343" s="79"/>
      <c r="D343" s="79"/>
      <c r="E343" s="301"/>
      <c r="F343" s="301"/>
      <c r="G343" s="45"/>
    </row>
    <row r="344" spans="1:7" x14ac:dyDescent="0.25">
      <c r="A344" s="690" t="s">
        <v>141</v>
      </c>
      <c r="B344" s="5"/>
      <c r="C344" s="5"/>
      <c r="D344" s="5"/>
      <c r="E344" s="302"/>
      <c r="F344" s="302"/>
      <c r="G344" s="45"/>
    </row>
    <row r="345" spans="1:7" ht="16.5" thickBot="1" x14ac:dyDescent="0.3">
      <c r="A345" s="691"/>
      <c r="B345" s="10" t="s">
        <v>54</v>
      </c>
      <c r="C345" s="10" t="s">
        <v>3</v>
      </c>
      <c r="D345" s="10" t="s">
        <v>4</v>
      </c>
      <c r="E345" s="303" t="s">
        <v>5</v>
      </c>
      <c r="F345" s="303" t="s">
        <v>6</v>
      </c>
      <c r="G345" s="45"/>
    </row>
    <row r="346" spans="1:7" x14ac:dyDescent="0.25">
      <c r="A346" s="43"/>
      <c r="B346" s="273" t="s">
        <v>14</v>
      </c>
      <c r="C346" s="40">
        <f>+SUM(C347:C379)</f>
        <v>656.31754000000001</v>
      </c>
      <c r="D346" s="40">
        <f>+SUM(D347:D379)</f>
        <v>690589.29</v>
      </c>
      <c r="E346" s="68"/>
      <c r="F346" s="68"/>
      <c r="G346" s="45"/>
    </row>
    <row r="347" spans="1:7" x14ac:dyDescent="0.25">
      <c r="A347" s="43">
        <v>42069</v>
      </c>
      <c r="B347" s="44" t="s">
        <v>114</v>
      </c>
      <c r="C347" s="53">
        <v>141.55572000000001</v>
      </c>
      <c r="D347" s="21">
        <v>141555.72</v>
      </c>
      <c r="E347" s="68">
        <v>90877</v>
      </c>
      <c r="F347" s="68">
        <v>4213</v>
      </c>
      <c r="G347" s="45"/>
    </row>
    <row r="348" spans="1:7" x14ac:dyDescent="0.25">
      <c r="A348" s="43">
        <v>42114</v>
      </c>
      <c r="B348" s="44" t="s">
        <v>156</v>
      </c>
      <c r="C348" s="53">
        <v>47.117789999999999</v>
      </c>
      <c r="D348" s="21">
        <v>47117.79</v>
      </c>
      <c r="E348" s="68">
        <v>90877</v>
      </c>
      <c r="F348" s="68">
        <v>4213</v>
      </c>
      <c r="G348" s="45"/>
    </row>
    <row r="349" spans="1:7" x14ac:dyDescent="0.25">
      <c r="A349" s="43">
        <v>42142</v>
      </c>
      <c r="B349" s="44" t="s">
        <v>169</v>
      </c>
      <c r="C349" s="53">
        <v>21.145890000000001</v>
      </c>
      <c r="D349" s="21">
        <v>21145.89</v>
      </c>
      <c r="E349" s="68">
        <v>90877</v>
      </c>
      <c r="F349" s="68">
        <v>4213</v>
      </c>
      <c r="G349" s="45"/>
    </row>
    <row r="350" spans="1:7" x14ac:dyDescent="0.25">
      <c r="A350" s="43">
        <v>42150</v>
      </c>
      <c r="B350" s="44" t="s">
        <v>218</v>
      </c>
      <c r="C350" s="53">
        <v>32.193080000000002</v>
      </c>
      <c r="D350" s="21">
        <v>32193.08</v>
      </c>
      <c r="E350" s="68">
        <v>90877</v>
      </c>
      <c r="F350" s="68">
        <v>4213</v>
      </c>
      <c r="G350" s="45"/>
    </row>
    <row r="351" spans="1:7" x14ac:dyDescent="0.25">
      <c r="A351" s="43">
        <v>42150</v>
      </c>
      <c r="B351" s="44" t="s">
        <v>219</v>
      </c>
      <c r="C351" s="53">
        <v>21.296060000000001</v>
      </c>
      <c r="D351" s="21">
        <v>21296.06</v>
      </c>
      <c r="E351" s="68">
        <v>90877</v>
      </c>
      <c r="F351" s="68">
        <v>4213</v>
      </c>
      <c r="G351" s="45"/>
    </row>
    <row r="352" spans="1:7" x14ac:dyDescent="0.25">
      <c r="A352" s="43">
        <v>42167</v>
      </c>
      <c r="B352" s="44" t="s">
        <v>232</v>
      </c>
      <c r="C352" s="53">
        <v>0</v>
      </c>
      <c r="D352" s="21">
        <v>28646.77</v>
      </c>
      <c r="E352" s="68">
        <v>90877</v>
      </c>
      <c r="F352" s="68">
        <v>4213</v>
      </c>
      <c r="G352" s="45"/>
    </row>
    <row r="353" spans="1:7" x14ac:dyDescent="0.25">
      <c r="A353" s="43"/>
      <c r="B353" s="44"/>
      <c r="C353" s="53"/>
      <c r="D353" s="21"/>
      <c r="E353" s="68"/>
      <c r="F353" s="68">
        <v>4213</v>
      </c>
      <c r="G353" s="45"/>
    </row>
    <row r="354" spans="1:7" x14ac:dyDescent="0.25">
      <c r="A354" s="43"/>
      <c r="B354" s="44"/>
      <c r="C354" s="53"/>
      <c r="D354" s="21"/>
      <c r="E354" s="68"/>
      <c r="F354" s="68">
        <v>4213</v>
      </c>
      <c r="G354" s="45"/>
    </row>
    <row r="355" spans="1:7" x14ac:dyDescent="0.25">
      <c r="A355" s="43"/>
      <c r="B355" s="44"/>
      <c r="C355" s="53"/>
      <c r="D355" s="21"/>
      <c r="E355" s="68"/>
      <c r="F355" s="68">
        <v>4213</v>
      </c>
      <c r="G355" s="45"/>
    </row>
    <row r="356" spans="1:7" x14ac:dyDescent="0.25">
      <c r="A356" s="43"/>
      <c r="B356" s="44"/>
      <c r="C356" s="53"/>
      <c r="D356" s="21"/>
      <c r="E356" s="68"/>
      <c r="F356" s="68">
        <v>4213</v>
      </c>
      <c r="G356" s="45"/>
    </row>
    <row r="357" spans="1:7" x14ac:dyDescent="0.25">
      <c r="A357" s="43"/>
      <c r="B357" s="44"/>
      <c r="C357" s="53"/>
      <c r="D357" s="21"/>
      <c r="E357" s="68"/>
      <c r="F357" s="68">
        <v>4213</v>
      </c>
      <c r="G357" s="45"/>
    </row>
    <row r="358" spans="1:7" x14ac:dyDescent="0.25">
      <c r="A358" s="43"/>
      <c r="B358" s="44"/>
      <c r="C358" s="53"/>
      <c r="D358" s="21"/>
      <c r="E358" s="68"/>
      <c r="F358" s="68">
        <v>4213</v>
      </c>
      <c r="G358" s="45"/>
    </row>
    <row r="359" spans="1:7" x14ac:dyDescent="0.25">
      <c r="A359" s="43"/>
      <c r="B359" s="44"/>
      <c r="C359" s="53"/>
      <c r="D359" s="21"/>
      <c r="E359" s="68"/>
      <c r="F359" s="68">
        <v>4213</v>
      </c>
      <c r="G359" s="45"/>
    </row>
    <row r="360" spans="1:7" x14ac:dyDescent="0.25">
      <c r="A360" s="43"/>
      <c r="B360" s="44"/>
      <c r="C360" s="53"/>
      <c r="D360" s="21"/>
      <c r="E360" s="68"/>
      <c r="F360" s="68">
        <v>4213</v>
      </c>
      <c r="G360" s="45"/>
    </row>
    <row r="361" spans="1:7" x14ac:dyDescent="0.25">
      <c r="A361" s="43"/>
      <c r="B361" s="44"/>
      <c r="C361" s="53"/>
      <c r="D361" s="21"/>
      <c r="E361" s="68"/>
      <c r="F361" s="68">
        <v>4213</v>
      </c>
      <c r="G361" s="45"/>
    </row>
    <row r="362" spans="1:7" x14ac:dyDescent="0.25">
      <c r="A362" s="43"/>
      <c r="B362" s="44"/>
      <c r="C362" s="53"/>
      <c r="D362" s="21"/>
      <c r="E362" s="68"/>
      <c r="F362" s="68">
        <v>4213</v>
      </c>
      <c r="G362" s="45"/>
    </row>
    <row r="363" spans="1:7" x14ac:dyDescent="0.25">
      <c r="A363" s="43"/>
      <c r="B363" s="44"/>
      <c r="C363" s="53"/>
      <c r="D363" s="21"/>
      <c r="E363" s="68"/>
      <c r="F363" s="68">
        <v>4213</v>
      </c>
      <c r="G363" s="45"/>
    </row>
    <row r="364" spans="1:7" x14ac:dyDescent="0.25">
      <c r="A364" s="43"/>
      <c r="B364" s="44"/>
      <c r="C364" s="53"/>
      <c r="D364" s="21"/>
      <c r="E364" s="68"/>
      <c r="F364" s="68">
        <v>4213</v>
      </c>
      <c r="G364" s="45"/>
    </row>
    <row r="365" spans="1:7" x14ac:dyDescent="0.25">
      <c r="A365" s="43"/>
      <c r="B365" s="44"/>
      <c r="C365" s="21"/>
      <c r="D365" s="21"/>
      <c r="E365" s="68"/>
      <c r="F365" s="68">
        <v>4213</v>
      </c>
      <c r="G365" s="45"/>
    </row>
    <row r="366" spans="1:7" x14ac:dyDescent="0.25">
      <c r="A366" s="43"/>
      <c r="B366" s="276"/>
      <c r="C366" s="21"/>
      <c r="D366" s="21"/>
      <c r="E366" s="68"/>
      <c r="F366" s="68">
        <v>4213</v>
      </c>
      <c r="G366" s="45"/>
    </row>
    <row r="367" spans="1:7" x14ac:dyDescent="0.25">
      <c r="A367" s="43"/>
      <c r="B367" s="44"/>
      <c r="C367" s="21"/>
      <c r="D367" s="21"/>
      <c r="E367" s="68"/>
      <c r="F367" s="68">
        <v>4213</v>
      </c>
      <c r="G367" s="45"/>
    </row>
    <row r="368" spans="1:7" x14ac:dyDescent="0.25">
      <c r="A368" s="43"/>
      <c r="B368" s="44"/>
      <c r="C368" s="21"/>
      <c r="D368" s="21"/>
      <c r="E368" s="68"/>
      <c r="F368" s="68">
        <v>4213</v>
      </c>
      <c r="G368" s="45"/>
    </row>
    <row r="369" spans="1:8" x14ac:dyDescent="0.25">
      <c r="A369" s="43"/>
      <c r="B369" s="44"/>
      <c r="C369" s="21"/>
      <c r="D369" s="21"/>
      <c r="E369" s="68"/>
      <c r="F369" s="68">
        <v>4213</v>
      </c>
      <c r="G369" s="45"/>
    </row>
    <row r="370" spans="1:8" x14ac:dyDescent="0.25">
      <c r="A370" s="43"/>
      <c r="B370" s="44"/>
      <c r="C370" s="21"/>
      <c r="D370" s="21"/>
      <c r="E370" s="68"/>
      <c r="F370" s="68">
        <v>4213</v>
      </c>
      <c r="G370" s="45"/>
    </row>
    <row r="371" spans="1:8" x14ac:dyDescent="0.25">
      <c r="A371" s="43"/>
      <c r="B371" s="44"/>
      <c r="C371" s="21"/>
      <c r="D371" s="21"/>
      <c r="E371" s="68"/>
      <c r="F371" s="68">
        <v>4213</v>
      </c>
      <c r="G371" s="45"/>
    </row>
    <row r="372" spans="1:8" x14ac:dyDescent="0.25">
      <c r="A372" s="43"/>
      <c r="B372" s="44"/>
      <c r="C372" s="21"/>
      <c r="D372" s="21"/>
      <c r="E372" s="68"/>
      <c r="F372" s="68">
        <v>4213</v>
      </c>
      <c r="G372" s="45"/>
    </row>
    <row r="373" spans="1:8" x14ac:dyDescent="0.25">
      <c r="A373" s="43"/>
      <c r="B373" s="44"/>
      <c r="C373" s="21"/>
      <c r="D373" s="21"/>
      <c r="E373" s="68"/>
      <c r="F373" s="68">
        <v>4213</v>
      </c>
      <c r="G373" s="45"/>
    </row>
    <row r="374" spans="1:8" x14ac:dyDescent="0.25">
      <c r="A374" s="43"/>
      <c r="B374" s="44" t="s">
        <v>121</v>
      </c>
      <c r="C374" s="347">
        <v>0.97499999999999998</v>
      </c>
      <c r="D374" s="347">
        <v>975</v>
      </c>
      <c r="E374" s="68">
        <v>90877</v>
      </c>
      <c r="F374" s="68">
        <v>4213</v>
      </c>
      <c r="G374" s="45"/>
    </row>
    <row r="375" spans="1:8" x14ac:dyDescent="0.25">
      <c r="A375" s="43"/>
      <c r="B375" s="44" t="s">
        <v>110</v>
      </c>
      <c r="C375" s="347">
        <v>392.03399999999999</v>
      </c>
      <c r="D375" s="347">
        <v>392034</v>
      </c>
      <c r="E375" s="68">
        <v>90909</v>
      </c>
      <c r="F375" s="68">
        <v>4213</v>
      </c>
      <c r="G375" s="45"/>
    </row>
    <row r="376" spans="1:8" x14ac:dyDescent="0.25">
      <c r="A376" s="43"/>
      <c r="B376" s="44" t="s">
        <v>228</v>
      </c>
      <c r="C376" s="21">
        <v>0</v>
      </c>
      <c r="D376" s="21">
        <v>2125</v>
      </c>
      <c r="E376" s="68">
        <v>90877</v>
      </c>
      <c r="F376" s="68">
        <v>4213</v>
      </c>
      <c r="G376" s="45" t="s">
        <v>221</v>
      </c>
      <c r="H376" s="45">
        <v>2125</v>
      </c>
    </row>
    <row r="377" spans="1:8" x14ac:dyDescent="0.25">
      <c r="A377" s="43"/>
      <c r="B377" s="44" t="s">
        <v>231</v>
      </c>
      <c r="C377" s="21">
        <v>0</v>
      </c>
      <c r="D377" s="21">
        <v>3499.98</v>
      </c>
      <c r="E377" s="68">
        <v>90877</v>
      </c>
      <c r="F377" s="68">
        <v>4213</v>
      </c>
      <c r="G377" s="45" t="s">
        <v>221</v>
      </c>
      <c r="H377" s="45">
        <v>3499.98</v>
      </c>
    </row>
    <row r="378" spans="1:8" x14ac:dyDescent="0.25">
      <c r="A378" s="43"/>
      <c r="B378" s="44"/>
      <c r="C378" s="21"/>
      <c r="D378" s="21"/>
      <c r="E378" s="68"/>
      <c r="F378" s="68">
        <v>4213</v>
      </c>
      <c r="G378" s="45"/>
    </row>
    <row r="379" spans="1:8" x14ac:dyDescent="0.25">
      <c r="A379" s="43"/>
      <c r="B379" s="44"/>
      <c r="C379" s="21"/>
      <c r="D379" s="40"/>
      <c r="E379" s="68"/>
      <c r="F379" s="68"/>
      <c r="G379" s="45"/>
    </row>
    <row r="380" spans="1:8" x14ac:dyDescent="0.25">
      <c r="A380" s="43"/>
      <c r="B380" s="44"/>
      <c r="C380" s="21"/>
      <c r="D380" s="40"/>
      <c r="E380" s="68"/>
      <c r="F380" s="68"/>
      <c r="G380" s="45"/>
    </row>
    <row r="381" spans="1:8" x14ac:dyDescent="0.25">
      <c r="A381" s="43"/>
      <c r="B381" s="273" t="s">
        <v>45</v>
      </c>
      <c r="C381" s="40">
        <f>+SUM(C382:C431)</f>
        <v>2086.3731499999999</v>
      </c>
      <c r="D381" s="40">
        <f>+SUM(D382:D431)</f>
        <v>2668993.33</v>
      </c>
      <c r="E381" s="68"/>
      <c r="F381" s="68"/>
      <c r="G381" s="45"/>
    </row>
    <row r="382" spans="1:8" x14ac:dyDescent="0.25">
      <c r="A382" s="43">
        <v>42114</v>
      </c>
      <c r="B382" s="44" t="s">
        <v>156</v>
      </c>
      <c r="C382" s="53">
        <v>801.00243</v>
      </c>
      <c r="D382" s="20">
        <v>801002.43</v>
      </c>
      <c r="E382" s="68">
        <v>15827</v>
      </c>
      <c r="F382" s="68">
        <v>4216</v>
      </c>
      <c r="G382" s="45"/>
    </row>
    <row r="383" spans="1:8" x14ac:dyDescent="0.25">
      <c r="A383" s="43">
        <v>42139</v>
      </c>
      <c r="B383" s="44" t="s">
        <v>169</v>
      </c>
      <c r="C383" s="53">
        <v>359.48018999999999</v>
      </c>
      <c r="D383" s="20">
        <v>359480.19</v>
      </c>
      <c r="E383" s="68">
        <v>15835</v>
      </c>
      <c r="F383" s="68">
        <v>4216</v>
      </c>
      <c r="G383" s="45"/>
    </row>
    <row r="384" spans="1:8" x14ac:dyDescent="0.25">
      <c r="A384" s="43">
        <v>42150</v>
      </c>
      <c r="B384" s="44" t="s">
        <v>218</v>
      </c>
      <c r="C384" s="53">
        <v>547.28240000000005</v>
      </c>
      <c r="D384" s="20">
        <v>547282.4</v>
      </c>
      <c r="E384" s="68">
        <v>15835</v>
      </c>
      <c r="F384" s="68">
        <v>4216</v>
      </c>
      <c r="G384" s="45"/>
    </row>
    <row r="385" spans="1:7" x14ac:dyDescent="0.25">
      <c r="A385" s="43">
        <v>42150</v>
      </c>
      <c r="B385" s="44" t="s">
        <v>219</v>
      </c>
      <c r="C385" s="53">
        <v>362.03313000000003</v>
      </c>
      <c r="D385" s="20">
        <v>362033.13</v>
      </c>
      <c r="E385" s="68">
        <v>15835</v>
      </c>
      <c r="F385" s="68">
        <v>4216</v>
      </c>
      <c r="G385" s="45"/>
    </row>
    <row r="386" spans="1:7" x14ac:dyDescent="0.25">
      <c r="A386" s="43">
        <v>42167</v>
      </c>
      <c r="B386" s="44" t="s">
        <v>232</v>
      </c>
      <c r="C386" s="53">
        <v>0</v>
      </c>
      <c r="D386" s="20">
        <v>486995.20000000001</v>
      </c>
      <c r="E386" s="68">
        <v>15835</v>
      </c>
      <c r="F386" s="68">
        <v>4216</v>
      </c>
      <c r="G386" s="45"/>
    </row>
    <row r="387" spans="1:7" x14ac:dyDescent="0.25">
      <c r="A387" s="43"/>
      <c r="B387" s="44"/>
      <c r="C387" s="53"/>
      <c r="D387" s="21"/>
      <c r="E387" s="68"/>
      <c r="F387" s="68">
        <v>4216</v>
      </c>
      <c r="G387" s="45"/>
    </row>
    <row r="388" spans="1:7" x14ac:dyDescent="0.25">
      <c r="A388" s="43"/>
      <c r="B388" s="44"/>
      <c r="C388" s="53"/>
      <c r="D388" s="21"/>
      <c r="E388" s="68"/>
      <c r="F388" s="68">
        <v>4216</v>
      </c>
      <c r="G388" s="45"/>
    </row>
    <row r="389" spans="1:7" x14ac:dyDescent="0.25">
      <c r="A389" s="43"/>
      <c r="B389" s="44"/>
      <c r="C389" s="53"/>
      <c r="D389" s="21"/>
      <c r="E389" s="68"/>
      <c r="F389" s="68">
        <v>4216</v>
      </c>
      <c r="G389" s="45"/>
    </row>
    <row r="390" spans="1:7" x14ac:dyDescent="0.25">
      <c r="A390" s="43"/>
      <c r="B390" s="44"/>
      <c r="C390" s="53"/>
      <c r="D390" s="21"/>
      <c r="E390" s="68"/>
      <c r="F390" s="68">
        <v>4216</v>
      </c>
      <c r="G390" s="45"/>
    </row>
    <row r="391" spans="1:7" x14ac:dyDescent="0.25">
      <c r="A391" s="43"/>
      <c r="B391" s="44"/>
      <c r="C391" s="53"/>
      <c r="D391" s="21"/>
      <c r="E391" s="68"/>
      <c r="F391" s="68">
        <v>4216</v>
      </c>
      <c r="G391" s="45"/>
    </row>
    <row r="392" spans="1:7" x14ac:dyDescent="0.25">
      <c r="A392" s="43"/>
      <c r="B392" s="44"/>
      <c r="C392" s="53"/>
      <c r="D392" s="21"/>
      <c r="E392" s="68"/>
      <c r="F392" s="68">
        <v>4216</v>
      </c>
      <c r="G392" s="45"/>
    </row>
    <row r="393" spans="1:7" x14ac:dyDescent="0.25">
      <c r="A393" s="43"/>
      <c r="B393" s="44"/>
      <c r="C393" s="53"/>
      <c r="D393" s="21"/>
      <c r="E393" s="68"/>
      <c r="F393" s="68">
        <v>4216</v>
      </c>
      <c r="G393" s="45"/>
    </row>
    <row r="394" spans="1:7" x14ac:dyDescent="0.25">
      <c r="A394" s="43"/>
      <c r="B394" s="44"/>
      <c r="C394" s="53"/>
      <c r="D394" s="21"/>
      <c r="E394" s="68"/>
      <c r="F394" s="68">
        <v>4216</v>
      </c>
      <c r="G394" s="45"/>
    </row>
    <row r="395" spans="1:7" x14ac:dyDescent="0.25">
      <c r="A395" s="43"/>
      <c r="B395" s="44"/>
      <c r="C395" s="53"/>
      <c r="D395" s="21"/>
      <c r="E395" s="68"/>
      <c r="F395" s="68">
        <v>4216</v>
      </c>
      <c r="G395" s="45"/>
    </row>
    <row r="396" spans="1:7" x14ac:dyDescent="0.25">
      <c r="A396" s="43"/>
      <c r="B396" s="44"/>
      <c r="C396" s="53"/>
      <c r="D396" s="21"/>
      <c r="E396" s="68"/>
      <c r="F396" s="68">
        <v>4216</v>
      </c>
      <c r="G396" s="45"/>
    </row>
    <row r="397" spans="1:7" x14ac:dyDescent="0.25">
      <c r="A397" s="43"/>
      <c r="B397" s="44"/>
      <c r="C397" s="53"/>
      <c r="D397" s="21"/>
      <c r="E397" s="68"/>
      <c r="F397" s="68">
        <v>4216</v>
      </c>
      <c r="G397" s="45"/>
    </row>
    <row r="398" spans="1:7" x14ac:dyDescent="0.25">
      <c r="A398" s="43"/>
      <c r="B398" s="44"/>
      <c r="C398" s="53"/>
      <c r="D398" s="21"/>
      <c r="E398" s="68"/>
      <c r="F398" s="68">
        <v>4216</v>
      </c>
      <c r="G398" s="45"/>
    </row>
    <row r="399" spans="1:7" x14ac:dyDescent="0.25">
      <c r="A399" s="43"/>
      <c r="B399" s="44"/>
      <c r="C399" s="53"/>
      <c r="D399" s="21"/>
      <c r="E399" s="68"/>
      <c r="F399" s="68">
        <v>4216</v>
      </c>
      <c r="G399" s="45"/>
    </row>
    <row r="400" spans="1:7" x14ac:dyDescent="0.25">
      <c r="A400" s="43"/>
      <c r="B400" s="44"/>
      <c r="C400" s="53"/>
      <c r="D400" s="21"/>
      <c r="E400" s="68"/>
      <c r="F400" s="68">
        <v>4216</v>
      </c>
      <c r="G400" s="45"/>
    </row>
    <row r="401" spans="1:8" x14ac:dyDescent="0.25">
      <c r="A401" s="43"/>
      <c r="B401" s="44"/>
      <c r="C401" s="53"/>
      <c r="D401" s="21"/>
      <c r="E401" s="68"/>
      <c r="F401" s="68">
        <v>4216</v>
      </c>
      <c r="G401" s="45"/>
    </row>
    <row r="402" spans="1:8" x14ac:dyDescent="0.25">
      <c r="A402" s="43"/>
      <c r="B402" s="44"/>
      <c r="C402" s="53"/>
      <c r="D402" s="21"/>
      <c r="E402" s="68"/>
      <c r="F402" s="68">
        <v>4216</v>
      </c>
      <c r="G402" s="45"/>
    </row>
    <row r="403" spans="1:8" x14ac:dyDescent="0.25">
      <c r="A403" s="43"/>
      <c r="B403" s="44"/>
      <c r="C403" s="53"/>
      <c r="D403" s="21"/>
      <c r="E403" s="68"/>
      <c r="F403" s="68">
        <v>4216</v>
      </c>
      <c r="G403" s="45"/>
    </row>
    <row r="404" spans="1:8" x14ac:dyDescent="0.25">
      <c r="A404" s="43"/>
      <c r="B404" s="44"/>
      <c r="C404" s="21"/>
      <c r="D404" s="21"/>
      <c r="E404" s="68"/>
      <c r="F404" s="68">
        <v>4216</v>
      </c>
      <c r="G404" s="45"/>
    </row>
    <row r="405" spans="1:8" x14ac:dyDescent="0.25">
      <c r="A405" s="43"/>
      <c r="B405" s="44" t="s">
        <v>121</v>
      </c>
      <c r="C405" s="347">
        <v>16.574999999999999</v>
      </c>
      <c r="D405" s="347">
        <v>16575</v>
      </c>
      <c r="E405" s="68">
        <v>15835</v>
      </c>
      <c r="F405" s="68">
        <v>4216</v>
      </c>
      <c r="G405" s="45"/>
    </row>
    <row r="406" spans="1:8" x14ac:dyDescent="0.25">
      <c r="A406" s="43"/>
      <c r="B406" s="44" t="s">
        <v>228</v>
      </c>
      <c r="C406" s="21">
        <v>0</v>
      </c>
      <c r="D406" s="20">
        <v>36125</v>
      </c>
      <c r="E406" s="68">
        <v>15835</v>
      </c>
      <c r="F406" s="68">
        <v>4216</v>
      </c>
      <c r="G406" s="45" t="s">
        <v>221</v>
      </c>
      <c r="H406" s="45">
        <v>36125</v>
      </c>
    </row>
    <row r="407" spans="1:8" x14ac:dyDescent="0.25">
      <c r="A407" s="43"/>
      <c r="B407" s="276" t="s">
        <v>230</v>
      </c>
      <c r="C407" s="21">
        <v>0</v>
      </c>
      <c r="D407" s="46">
        <v>59499.98</v>
      </c>
      <c r="E407" s="68">
        <v>15835</v>
      </c>
      <c r="F407" s="68">
        <v>4216</v>
      </c>
      <c r="G407" s="45" t="s">
        <v>221</v>
      </c>
      <c r="H407" s="45">
        <v>59499.98</v>
      </c>
    </row>
    <row r="408" spans="1:8" x14ac:dyDescent="0.25">
      <c r="A408" s="43"/>
      <c r="B408" s="276"/>
      <c r="C408" s="21"/>
      <c r="D408" s="47"/>
      <c r="E408" s="68"/>
      <c r="F408" s="68">
        <v>4216</v>
      </c>
      <c r="G408" s="45"/>
    </row>
    <row r="409" spans="1:8" x14ac:dyDescent="0.25">
      <c r="A409" s="43"/>
      <c r="B409" s="276"/>
      <c r="C409" s="21"/>
      <c r="D409" s="47"/>
      <c r="E409" s="68"/>
      <c r="F409" s="68">
        <v>4216</v>
      </c>
      <c r="G409" s="45"/>
    </row>
    <row r="410" spans="1:8" x14ac:dyDescent="0.25">
      <c r="A410" s="43"/>
      <c r="B410" s="44"/>
      <c r="C410" s="21"/>
      <c r="D410" s="47"/>
      <c r="E410" s="68"/>
      <c r="F410" s="68">
        <v>4216</v>
      </c>
      <c r="G410" s="45"/>
    </row>
    <row r="411" spans="1:8" x14ac:dyDescent="0.25">
      <c r="A411" s="43"/>
      <c r="B411" s="276"/>
      <c r="C411" s="21"/>
      <c r="D411" s="47"/>
      <c r="E411" s="68"/>
      <c r="F411" s="68">
        <v>4216</v>
      </c>
      <c r="G411" s="45"/>
    </row>
    <row r="412" spans="1:8" x14ac:dyDescent="0.25">
      <c r="A412" s="43"/>
      <c r="B412" s="276"/>
      <c r="C412" s="53"/>
      <c r="D412" s="47"/>
      <c r="E412" s="68"/>
      <c r="F412" s="68">
        <v>4216</v>
      </c>
      <c r="G412" s="45"/>
    </row>
    <row r="413" spans="1:8" x14ac:dyDescent="0.25">
      <c r="A413" s="43"/>
      <c r="B413" s="276"/>
      <c r="C413" s="53"/>
      <c r="D413" s="47"/>
      <c r="E413" s="68"/>
      <c r="F413" s="68">
        <v>4216</v>
      </c>
      <c r="G413" s="45"/>
    </row>
    <row r="414" spans="1:8" x14ac:dyDescent="0.25">
      <c r="A414" s="43"/>
      <c r="B414" s="276"/>
      <c r="C414" s="53"/>
      <c r="D414" s="21"/>
      <c r="E414" s="68"/>
      <c r="F414" s="68">
        <v>4216</v>
      </c>
      <c r="G414" s="45"/>
    </row>
    <row r="415" spans="1:8" x14ac:dyDescent="0.25">
      <c r="A415" s="43"/>
      <c r="B415" s="276"/>
      <c r="C415" s="53"/>
      <c r="D415" s="21"/>
      <c r="E415" s="68"/>
      <c r="F415" s="68">
        <v>4216</v>
      </c>
      <c r="G415" s="45"/>
    </row>
    <row r="416" spans="1:8" x14ac:dyDescent="0.25">
      <c r="A416" s="43"/>
      <c r="B416" s="276"/>
      <c r="C416" s="53"/>
      <c r="D416" s="21"/>
      <c r="E416" s="68"/>
      <c r="F416" s="68">
        <v>4216</v>
      </c>
      <c r="G416" s="45"/>
    </row>
    <row r="417" spans="1:7" x14ac:dyDescent="0.25">
      <c r="A417" s="43"/>
      <c r="B417" s="276"/>
      <c r="C417" s="53"/>
      <c r="D417" s="21"/>
      <c r="E417" s="68"/>
      <c r="F417" s="68">
        <v>4216</v>
      </c>
      <c r="G417" s="45"/>
    </row>
    <row r="418" spans="1:7" x14ac:dyDescent="0.25">
      <c r="A418" s="43"/>
      <c r="B418" s="276"/>
      <c r="C418" s="53"/>
      <c r="D418" s="21"/>
      <c r="E418" s="68"/>
      <c r="F418" s="68">
        <v>4216</v>
      </c>
      <c r="G418" s="45"/>
    </row>
    <row r="419" spans="1:7" x14ac:dyDescent="0.25">
      <c r="A419" s="43"/>
      <c r="B419" s="276"/>
      <c r="C419" s="53"/>
      <c r="D419" s="21"/>
      <c r="E419" s="68"/>
      <c r="F419" s="68">
        <v>4216</v>
      </c>
      <c r="G419" s="45"/>
    </row>
    <row r="420" spans="1:7" x14ac:dyDescent="0.25">
      <c r="A420" s="43"/>
      <c r="B420" s="276"/>
      <c r="C420" s="53"/>
      <c r="D420" s="21"/>
      <c r="E420" s="68"/>
      <c r="F420" s="68">
        <v>4216</v>
      </c>
      <c r="G420" s="45"/>
    </row>
    <row r="421" spans="1:7" x14ac:dyDescent="0.25">
      <c r="A421" s="43"/>
      <c r="B421" s="276"/>
      <c r="C421" s="53"/>
      <c r="D421" s="21"/>
      <c r="E421" s="68"/>
      <c r="F421" s="68">
        <v>4216</v>
      </c>
      <c r="G421" s="45"/>
    </row>
    <row r="422" spans="1:7" x14ac:dyDescent="0.25">
      <c r="A422" s="43"/>
      <c r="B422" s="276"/>
      <c r="C422" s="53"/>
      <c r="D422" s="21"/>
      <c r="E422" s="68"/>
      <c r="F422" s="68">
        <v>4216</v>
      </c>
      <c r="G422" s="45"/>
    </row>
    <row r="423" spans="1:7" x14ac:dyDescent="0.25">
      <c r="A423" s="43"/>
      <c r="B423" s="276"/>
      <c r="C423" s="53"/>
      <c r="D423" s="21"/>
      <c r="E423" s="68"/>
      <c r="F423" s="68">
        <v>4216</v>
      </c>
      <c r="G423" s="45"/>
    </row>
    <row r="424" spans="1:7" x14ac:dyDescent="0.25">
      <c r="A424" s="43"/>
      <c r="B424" s="276"/>
      <c r="C424" s="53"/>
      <c r="D424" s="21"/>
      <c r="E424" s="68"/>
      <c r="F424" s="68">
        <v>4216</v>
      </c>
      <c r="G424" s="45"/>
    </row>
    <row r="425" spans="1:7" x14ac:dyDescent="0.25">
      <c r="A425" s="43"/>
      <c r="B425" s="276"/>
      <c r="C425" s="53"/>
      <c r="D425" s="21"/>
      <c r="E425" s="68"/>
      <c r="F425" s="68">
        <v>4216</v>
      </c>
      <c r="G425" s="45"/>
    </row>
    <row r="426" spans="1:7" x14ac:dyDescent="0.25">
      <c r="A426" s="43"/>
      <c r="B426" s="276"/>
      <c r="C426" s="53"/>
      <c r="D426" s="21"/>
      <c r="E426" s="68"/>
      <c r="F426" s="68">
        <v>4216</v>
      </c>
      <c r="G426" s="45"/>
    </row>
    <row r="427" spans="1:7" x14ac:dyDescent="0.25">
      <c r="A427" s="43"/>
      <c r="B427" s="276"/>
      <c r="C427" s="53"/>
      <c r="D427" s="21"/>
      <c r="E427" s="68"/>
      <c r="F427" s="68">
        <v>4216</v>
      </c>
      <c r="G427" s="45"/>
    </row>
    <row r="428" spans="1:7" x14ac:dyDescent="0.25">
      <c r="A428" s="43"/>
      <c r="B428" s="276"/>
      <c r="C428" s="53"/>
      <c r="D428" s="21"/>
      <c r="E428" s="68"/>
      <c r="F428" s="68">
        <v>4216</v>
      </c>
      <c r="G428" s="45"/>
    </row>
    <row r="429" spans="1:7" x14ac:dyDescent="0.25">
      <c r="A429" s="43"/>
      <c r="B429" s="276"/>
      <c r="C429" s="53"/>
      <c r="D429" s="21"/>
      <c r="E429" s="68"/>
      <c r="F429" s="68">
        <v>4216</v>
      </c>
      <c r="G429" s="45"/>
    </row>
    <row r="430" spans="1:7" x14ac:dyDescent="0.25">
      <c r="A430" s="43"/>
      <c r="B430" s="276"/>
      <c r="C430" s="53"/>
      <c r="D430" s="21"/>
      <c r="E430" s="68"/>
      <c r="F430" s="68">
        <v>4216</v>
      </c>
      <c r="G430" s="45"/>
    </row>
    <row r="431" spans="1:7" x14ac:dyDescent="0.25">
      <c r="A431" s="43"/>
      <c r="B431" s="276"/>
      <c r="C431" s="21"/>
      <c r="D431" s="21"/>
      <c r="E431" s="68"/>
      <c r="F431" s="68">
        <v>4216</v>
      </c>
      <c r="G431" s="45"/>
    </row>
    <row r="432" spans="1:7" x14ac:dyDescent="0.25">
      <c r="A432" s="43"/>
      <c r="B432" s="31" t="s">
        <v>36</v>
      </c>
      <c r="C432" s="40">
        <f>+C433+C434</f>
        <v>0</v>
      </c>
      <c r="D432" s="40">
        <f>+D433+D434</f>
        <v>0</v>
      </c>
      <c r="E432" s="68"/>
      <c r="F432" s="68"/>
      <c r="G432" s="45"/>
    </row>
    <row r="433" spans="1:8" x14ac:dyDescent="0.25">
      <c r="A433" s="43"/>
      <c r="B433" s="276"/>
      <c r="C433" s="21"/>
      <c r="D433" s="21"/>
      <c r="E433" s="68"/>
      <c r="F433" s="68">
        <v>4216</v>
      </c>
      <c r="G433" s="45"/>
    </row>
    <row r="434" spans="1:8" x14ac:dyDescent="0.25">
      <c r="A434" s="43"/>
      <c r="B434" s="276"/>
      <c r="C434" s="21"/>
      <c r="D434" s="21"/>
      <c r="E434" s="68"/>
      <c r="F434" s="68">
        <v>4216</v>
      </c>
      <c r="G434" s="45"/>
    </row>
    <row r="435" spans="1:8" x14ac:dyDescent="0.25">
      <c r="A435" s="43"/>
      <c r="B435" s="285" t="s">
        <v>91</v>
      </c>
      <c r="C435" s="40">
        <f>+C437+C436+C438</f>
        <v>27949.130580000001</v>
      </c>
      <c r="D435" s="39">
        <f>+D437+D436+D438</f>
        <v>27949130.579999998</v>
      </c>
      <c r="E435" s="68"/>
      <c r="F435" s="68"/>
      <c r="G435" s="45"/>
    </row>
    <row r="436" spans="1:8" x14ac:dyDescent="0.25">
      <c r="A436" s="43">
        <v>42034</v>
      </c>
      <c r="B436" s="276" t="s">
        <v>103</v>
      </c>
      <c r="C436" s="21">
        <v>4395.5924400000004</v>
      </c>
      <c r="D436" s="20">
        <v>4395592.4400000004</v>
      </c>
      <c r="E436" s="68">
        <v>17871</v>
      </c>
      <c r="F436" s="68">
        <v>4216</v>
      </c>
      <c r="G436" s="45"/>
    </row>
    <row r="437" spans="1:8" x14ac:dyDescent="0.25">
      <c r="A437" s="43">
        <v>42034</v>
      </c>
      <c r="B437" s="276" t="s">
        <v>103</v>
      </c>
      <c r="C437" s="21">
        <v>775.69277999999997</v>
      </c>
      <c r="D437" s="20">
        <v>775692.78</v>
      </c>
      <c r="E437" s="68">
        <v>17870</v>
      </c>
      <c r="F437" s="68">
        <v>4216</v>
      </c>
      <c r="G437" s="45"/>
    </row>
    <row r="438" spans="1:8" x14ac:dyDescent="0.25">
      <c r="A438" s="43">
        <v>42151</v>
      </c>
      <c r="B438" s="276" t="s">
        <v>220</v>
      </c>
      <c r="C438" s="21">
        <v>22777.845359999999</v>
      </c>
      <c r="D438" s="20">
        <v>22777845.359999999</v>
      </c>
      <c r="E438" s="68">
        <v>17871</v>
      </c>
      <c r="F438" s="68">
        <v>4216</v>
      </c>
      <c r="G438" s="45"/>
    </row>
    <row r="439" spans="1:8" x14ac:dyDescent="0.25">
      <c r="A439" s="43"/>
      <c r="B439" s="276"/>
      <c r="C439" s="21"/>
      <c r="D439" s="20"/>
      <c r="E439" s="68"/>
      <c r="F439" s="68"/>
      <c r="G439" s="45"/>
    </row>
    <row r="440" spans="1:8" x14ac:dyDescent="0.25">
      <c r="A440" s="43"/>
      <c r="B440" s="31" t="s">
        <v>149</v>
      </c>
      <c r="C440" s="40">
        <f>+C441</f>
        <v>450</v>
      </c>
      <c r="D440" s="39">
        <f>+D441</f>
        <v>450000</v>
      </c>
      <c r="E440" s="68"/>
      <c r="F440" s="68"/>
      <c r="G440" s="45"/>
    </row>
    <row r="441" spans="1:8" x14ac:dyDescent="0.25">
      <c r="A441" s="43">
        <v>42121</v>
      </c>
      <c r="B441" s="276" t="s">
        <v>155</v>
      </c>
      <c r="C441" s="21">
        <v>450</v>
      </c>
      <c r="D441" s="20">
        <v>450000</v>
      </c>
      <c r="E441" s="68">
        <v>35621</v>
      </c>
      <c r="F441" s="68">
        <v>4216</v>
      </c>
      <c r="G441" s="45"/>
    </row>
    <row r="442" spans="1:8" x14ac:dyDescent="0.25">
      <c r="A442" s="43"/>
      <c r="B442" s="273"/>
      <c r="C442" s="40"/>
      <c r="D442" s="40"/>
      <c r="E442" s="68"/>
      <c r="F442" s="68"/>
      <c r="G442" s="45"/>
    </row>
    <row r="443" spans="1:8" x14ac:dyDescent="0.25">
      <c r="A443" s="43"/>
      <c r="B443" s="273" t="s">
        <v>48</v>
      </c>
      <c r="C443" s="40">
        <f>SUM(C444:C458)</f>
        <v>0</v>
      </c>
      <c r="D443" s="40">
        <f>SUM(D444:D458)</f>
        <v>0</v>
      </c>
      <c r="E443" s="68"/>
      <c r="F443" s="68"/>
      <c r="G443" s="45"/>
    </row>
    <row r="444" spans="1:8" x14ac:dyDescent="0.25">
      <c r="A444" s="43"/>
      <c r="B444" s="44"/>
      <c r="C444" s="53"/>
      <c r="D444" s="55"/>
      <c r="E444" s="268"/>
      <c r="F444" s="68">
        <v>4222</v>
      </c>
      <c r="G444" s="45"/>
      <c r="H444" s="269"/>
    </row>
    <row r="445" spans="1:8" x14ac:dyDescent="0.25">
      <c r="A445" s="43"/>
      <c r="B445" s="44"/>
      <c r="C445" s="53"/>
      <c r="D445" s="55"/>
      <c r="E445" s="268"/>
      <c r="F445" s="68">
        <v>4222</v>
      </c>
      <c r="G445" s="45"/>
      <c r="H445" s="269"/>
    </row>
    <row r="446" spans="1:8" x14ac:dyDescent="0.25">
      <c r="A446" s="43"/>
      <c r="B446" s="44"/>
      <c r="C446" s="21"/>
      <c r="D446" s="55"/>
      <c r="E446" s="68"/>
      <c r="F446" s="68">
        <v>4222</v>
      </c>
      <c r="G446" s="45"/>
    </row>
    <row r="447" spans="1:8" x14ac:dyDescent="0.25">
      <c r="A447" s="43"/>
      <c r="B447" s="44"/>
      <c r="C447" s="21"/>
      <c r="D447" s="55"/>
      <c r="E447" s="68"/>
      <c r="F447" s="68">
        <v>4222</v>
      </c>
      <c r="G447" s="45"/>
    </row>
    <row r="448" spans="1:8" x14ac:dyDescent="0.25">
      <c r="A448" s="43"/>
      <c r="B448" s="44"/>
      <c r="C448" s="21"/>
      <c r="D448" s="55"/>
      <c r="E448" s="68"/>
      <c r="F448" s="68">
        <v>4222</v>
      </c>
      <c r="G448" s="45"/>
    </row>
    <row r="449" spans="1:8" x14ac:dyDescent="0.25">
      <c r="A449" s="43"/>
      <c r="B449" s="44"/>
      <c r="C449" s="21"/>
      <c r="D449" s="55"/>
      <c r="E449" s="68"/>
      <c r="F449" s="68">
        <v>4222</v>
      </c>
      <c r="G449" s="45"/>
    </row>
    <row r="450" spans="1:8" x14ac:dyDescent="0.25">
      <c r="A450" s="43"/>
      <c r="B450" s="44"/>
      <c r="C450" s="21"/>
      <c r="D450" s="55"/>
      <c r="E450" s="68"/>
      <c r="F450" s="68">
        <v>4222</v>
      </c>
      <c r="G450" s="45"/>
    </row>
    <row r="451" spans="1:8" x14ac:dyDescent="0.25">
      <c r="A451" s="43"/>
      <c r="B451" s="44"/>
      <c r="C451" s="21"/>
      <c r="D451" s="55"/>
      <c r="E451" s="68"/>
      <c r="F451" s="68">
        <v>4222</v>
      </c>
      <c r="G451" s="45"/>
    </row>
    <row r="452" spans="1:8" x14ac:dyDescent="0.25">
      <c r="A452" s="43"/>
      <c r="B452" s="276"/>
      <c r="C452" s="21"/>
      <c r="D452" s="55"/>
      <c r="E452" s="68"/>
      <c r="F452" s="68">
        <v>4222</v>
      </c>
      <c r="G452" s="45"/>
      <c r="H452" s="269"/>
    </row>
    <row r="453" spans="1:8" x14ac:dyDescent="0.25">
      <c r="A453" s="43"/>
      <c r="B453" s="44"/>
      <c r="C453" s="21"/>
      <c r="D453" s="55"/>
      <c r="E453" s="68"/>
      <c r="F453" s="68">
        <v>4222</v>
      </c>
      <c r="G453" s="45"/>
    </row>
    <row r="454" spans="1:8" x14ac:dyDescent="0.25">
      <c r="A454" s="43"/>
      <c r="B454" s="44"/>
      <c r="C454" s="21"/>
      <c r="D454" s="55"/>
      <c r="E454" s="68"/>
      <c r="F454" s="68">
        <v>4222</v>
      </c>
      <c r="G454" s="45"/>
    </row>
    <row r="455" spans="1:8" x14ac:dyDescent="0.25">
      <c r="A455" s="43"/>
      <c r="B455" s="44"/>
      <c r="C455" s="21"/>
      <c r="D455" s="55"/>
      <c r="E455" s="68"/>
      <c r="F455" s="68">
        <v>4222</v>
      </c>
      <c r="G455" s="45"/>
    </row>
    <row r="456" spans="1:8" x14ac:dyDescent="0.25">
      <c r="A456" s="43"/>
      <c r="B456" s="44"/>
      <c r="C456" s="21"/>
      <c r="D456" s="55"/>
      <c r="E456" s="68"/>
      <c r="F456" s="68">
        <v>4222</v>
      </c>
      <c r="G456" s="45"/>
    </row>
    <row r="457" spans="1:8" x14ac:dyDescent="0.25">
      <c r="A457" s="43"/>
      <c r="B457" s="44"/>
      <c r="C457" s="47"/>
      <c r="D457" s="55"/>
      <c r="E457" s="68"/>
      <c r="F457" s="68">
        <v>4222</v>
      </c>
      <c r="G457" s="45"/>
    </row>
    <row r="458" spans="1:8" x14ac:dyDescent="0.25">
      <c r="A458" s="43"/>
      <c r="B458" s="44"/>
      <c r="C458" s="21"/>
      <c r="D458" s="55"/>
      <c r="E458" s="68"/>
      <c r="F458" s="68">
        <v>4222</v>
      </c>
      <c r="G458" s="45"/>
    </row>
    <row r="459" spans="1:8" x14ac:dyDescent="0.25">
      <c r="A459" s="43"/>
      <c r="B459" s="304"/>
      <c r="C459" s="53"/>
      <c r="D459" s="55"/>
      <c r="E459" s="268"/>
      <c r="F459" s="68"/>
      <c r="G459" s="45"/>
    </row>
    <row r="460" spans="1:8" x14ac:dyDescent="0.25">
      <c r="A460" s="43"/>
      <c r="B460" s="31" t="s">
        <v>50</v>
      </c>
      <c r="C460" s="31">
        <f>+SUM(C461:C471)</f>
        <v>76925.824830000012</v>
      </c>
      <c r="D460" s="31">
        <f>+SUM(D461:D471)</f>
        <v>87703473.75</v>
      </c>
      <c r="E460" s="68"/>
      <c r="F460" s="68"/>
      <c r="G460" s="45"/>
    </row>
    <row r="461" spans="1:8" x14ac:dyDescent="0.25">
      <c r="A461" s="43">
        <v>42073</v>
      </c>
      <c r="B461" s="276" t="s">
        <v>112</v>
      </c>
      <c r="C461" s="21">
        <v>24568.326000000001</v>
      </c>
      <c r="D461" s="20">
        <v>24568326</v>
      </c>
      <c r="E461" s="68">
        <v>86505</v>
      </c>
      <c r="F461" s="68">
        <v>4223</v>
      </c>
      <c r="G461" s="45"/>
    </row>
    <row r="462" spans="1:8" x14ac:dyDescent="0.25">
      <c r="A462" s="43">
        <v>42073</v>
      </c>
      <c r="B462" s="276" t="s">
        <v>112</v>
      </c>
      <c r="C462" s="21">
        <v>2167.7934799999998</v>
      </c>
      <c r="D462" s="20">
        <v>2167793.48</v>
      </c>
      <c r="E462" s="68">
        <v>86501</v>
      </c>
      <c r="F462" s="68">
        <v>4223</v>
      </c>
      <c r="G462" s="45"/>
    </row>
    <row r="463" spans="1:8" x14ac:dyDescent="0.25">
      <c r="A463" s="43">
        <v>42087</v>
      </c>
      <c r="B463" s="44" t="s">
        <v>123</v>
      </c>
      <c r="C463" s="47">
        <v>17507.565600000002</v>
      </c>
      <c r="D463" s="46">
        <v>17507565.600000001</v>
      </c>
      <c r="E463" s="268">
        <v>86505</v>
      </c>
      <c r="F463" s="68">
        <v>4223</v>
      </c>
      <c r="G463" s="45"/>
    </row>
    <row r="464" spans="1:8" x14ac:dyDescent="0.25">
      <c r="A464" s="43">
        <v>42101</v>
      </c>
      <c r="B464" s="44" t="s">
        <v>138</v>
      </c>
      <c r="C464" s="47">
        <v>3893.92481</v>
      </c>
      <c r="D464" s="46">
        <v>3893924.81</v>
      </c>
      <c r="E464" s="268">
        <v>86505</v>
      </c>
      <c r="F464" s="68">
        <v>4223</v>
      </c>
      <c r="G464" s="45"/>
    </row>
    <row r="465" spans="1:8" x14ac:dyDescent="0.25">
      <c r="A465" s="43">
        <v>42122</v>
      </c>
      <c r="B465" s="44" t="s">
        <v>152</v>
      </c>
      <c r="C465" s="47">
        <v>4191.1944100000001</v>
      </c>
      <c r="D465" s="46">
        <v>4191194.41</v>
      </c>
      <c r="E465" s="268">
        <v>86505</v>
      </c>
      <c r="F465" s="68">
        <v>4223</v>
      </c>
      <c r="G465" s="45"/>
    </row>
    <row r="466" spans="1:8" x14ac:dyDescent="0.25">
      <c r="A466" s="43">
        <v>42143</v>
      </c>
      <c r="B466" s="44" t="s">
        <v>171</v>
      </c>
      <c r="C466" s="47">
        <v>18985.09273</v>
      </c>
      <c r="D466" s="20">
        <v>18985092.73</v>
      </c>
      <c r="E466" s="268">
        <v>86505</v>
      </c>
      <c r="F466" s="68">
        <v>4223</v>
      </c>
      <c r="G466" s="45"/>
    </row>
    <row r="467" spans="1:8" x14ac:dyDescent="0.25">
      <c r="A467" s="43">
        <v>42178</v>
      </c>
      <c r="B467" s="44" t="s">
        <v>246</v>
      </c>
      <c r="C467" s="47">
        <v>0</v>
      </c>
      <c r="D467" s="20">
        <v>10777648.92</v>
      </c>
      <c r="E467" s="268">
        <v>86505</v>
      </c>
      <c r="F467" s="68">
        <v>4223</v>
      </c>
      <c r="G467" s="45"/>
    </row>
    <row r="468" spans="1:8" x14ac:dyDescent="0.25">
      <c r="A468" s="43"/>
      <c r="B468" s="44"/>
      <c r="C468" s="47"/>
      <c r="D468" s="21"/>
      <c r="E468" s="268"/>
      <c r="F468" s="68">
        <v>4223</v>
      </c>
      <c r="G468" s="45"/>
    </row>
    <row r="469" spans="1:8" x14ac:dyDescent="0.25">
      <c r="A469" s="43"/>
      <c r="B469" s="44"/>
      <c r="C469" s="47"/>
      <c r="D469" s="21"/>
      <c r="E469" s="268"/>
      <c r="F469" s="68">
        <v>4223</v>
      </c>
      <c r="G469" s="45"/>
    </row>
    <row r="470" spans="1:8" x14ac:dyDescent="0.25">
      <c r="A470" s="43"/>
      <c r="B470" s="44" t="s">
        <v>262</v>
      </c>
      <c r="C470" s="47">
        <v>5611.9278000000004</v>
      </c>
      <c r="D470" s="21">
        <v>5611927.7999999998</v>
      </c>
      <c r="E470" s="268">
        <v>86505</v>
      </c>
      <c r="F470" s="68">
        <v>4223</v>
      </c>
      <c r="G470" s="45"/>
    </row>
    <row r="471" spans="1:8" x14ac:dyDescent="0.25">
      <c r="A471" s="43"/>
      <c r="B471" s="44"/>
      <c r="C471" s="47"/>
      <c r="D471" s="21"/>
      <c r="E471" s="268"/>
      <c r="F471" s="68"/>
      <c r="G471" s="45"/>
    </row>
    <row r="472" spans="1:8" x14ac:dyDescent="0.25">
      <c r="A472" s="43"/>
      <c r="B472" s="293" t="s">
        <v>52</v>
      </c>
      <c r="C472" s="31">
        <v>0</v>
      </c>
      <c r="D472" s="40">
        <f>+D473</f>
        <v>876199.86</v>
      </c>
      <c r="E472" s="268"/>
      <c r="F472" s="68"/>
      <c r="G472" s="45"/>
    </row>
    <row r="473" spans="1:8" x14ac:dyDescent="0.25">
      <c r="A473" s="43">
        <v>42174</v>
      </c>
      <c r="B473" s="44" t="s">
        <v>244</v>
      </c>
      <c r="C473" s="47">
        <v>0</v>
      </c>
      <c r="D473" s="21">
        <v>876199.86</v>
      </c>
      <c r="E473" s="268"/>
      <c r="F473" s="68">
        <v>4232</v>
      </c>
      <c r="G473" s="45"/>
    </row>
    <row r="474" spans="1:8" x14ac:dyDescent="0.25">
      <c r="A474" s="43"/>
      <c r="B474" s="44"/>
      <c r="C474" s="47"/>
      <c r="D474" s="21"/>
      <c r="E474" s="268"/>
      <c r="F474" s="68"/>
    </row>
    <row r="475" spans="1:8" x14ac:dyDescent="0.25">
      <c r="A475" s="43"/>
      <c r="B475" s="276"/>
      <c r="C475" s="47"/>
      <c r="D475" s="86"/>
      <c r="E475" s="68"/>
      <c r="F475" s="68"/>
    </row>
    <row r="476" spans="1:8" x14ac:dyDescent="0.25">
      <c r="A476" s="43"/>
      <c r="B476" s="294" t="s">
        <v>55</v>
      </c>
      <c r="C476" s="27">
        <f>+C443+C460+C346+C381+C435+C432+C440+C472</f>
        <v>108067.64610000001</v>
      </c>
      <c r="D476" s="27">
        <f>+D443+D460+D346+D381+D435+D432+D440+D472</f>
        <v>120338386.81</v>
      </c>
      <c r="E476" s="295"/>
      <c r="F476" s="67"/>
    </row>
    <row r="477" spans="1:8" ht="16.5" thickBot="1" x14ac:dyDescent="0.3">
      <c r="A477" s="296"/>
      <c r="B477" s="297"/>
      <c r="C477" s="75"/>
      <c r="D477" s="75"/>
      <c r="E477" s="298"/>
      <c r="F477" s="298"/>
    </row>
    <row r="479" spans="1:8" ht="16.5" thickBot="1" x14ac:dyDescent="0.3">
      <c r="A479" s="307"/>
      <c r="B479" s="91"/>
      <c r="C479" s="91"/>
      <c r="D479" s="91"/>
      <c r="E479" s="308"/>
      <c r="F479" s="308"/>
    </row>
    <row r="480" spans="1:8" x14ac:dyDescent="0.25">
      <c r="A480" s="309"/>
      <c r="B480" s="310"/>
      <c r="C480" s="310"/>
      <c r="D480" s="5"/>
      <c r="E480" s="311"/>
      <c r="F480" s="312"/>
      <c r="G480" s="306"/>
      <c r="H480" s="269"/>
    </row>
    <row r="481" spans="1:12" ht="16.5" thickBot="1" x14ac:dyDescent="0.3">
      <c r="A481" s="309"/>
      <c r="B481" s="10" t="s">
        <v>56</v>
      </c>
      <c r="C481" s="10" t="s">
        <v>3</v>
      </c>
      <c r="D481" s="10" t="s">
        <v>4</v>
      </c>
      <c r="E481" s="311"/>
      <c r="F481" s="312"/>
      <c r="G481" s="306"/>
      <c r="H481" s="269"/>
    </row>
    <row r="482" spans="1:12" x14ac:dyDescent="0.25">
      <c r="A482" s="309"/>
      <c r="B482" s="313"/>
      <c r="C482" s="313"/>
      <c r="D482" s="97"/>
      <c r="E482" s="311"/>
      <c r="F482" s="312"/>
      <c r="G482" s="306"/>
      <c r="H482" s="269"/>
    </row>
    <row r="483" spans="1:12" x14ac:dyDescent="0.25">
      <c r="A483" s="314"/>
      <c r="B483" s="122" t="s">
        <v>57</v>
      </c>
      <c r="C483" s="122">
        <f>+C340</f>
        <v>195951.38603999998</v>
      </c>
      <c r="D483" s="56">
        <f>+D340</f>
        <v>170250696.35999998</v>
      </c>
      <c r="E483" s="315"/>
      <c r="F483" s="301"/>
      <c r="G483" s="306" t="s">
        <v>61</v>
      </c>
      <c r="H483" s="269">
        <f>'[1]Vstupni Seznam'!$M$1</f>
        <v>951693271.66000009</v>
      </c>
      <c r="K483" s="319" t="s">
        <v>248</v>
      </c>
    </row>
    <row r="484" spans="1:12" x14ac:dyDescent="0.25">
      <c r="A484" s="314"/>
      <c r="B484" s="122" t="s">
        <v>58</v>
      </c>
      <c r="C484" s="122">
        <f>+C476</f>
        <v>108067.64610000001</v>
      </c>
      <c r="D484" s="122">
        <f>+D476</f>
        <v>120338386.81</v>
      </c>
      <c r="E484" s="316"/>
      <c r="F484" s="308"/>
      <c r="G484" s="306" t="s">
        <v>62</v>
      </c>
      <c r="H484" s="269">
        <f>27388800*6</f>
        <v>164332800</v>
      </c>
    </row>
    <row r="485" spans="1:12" x14ac:dyDescent="0.25">
      <c r="A485" s="314"/>
      <c r="B485" s="122"/>
      <c r="C485" s="122"/>
      <c r="D485" s="56"/>
      <c r="E485" s="316"/>
      <c r="F485" s="308"/>
      <c r="G485" s="306" t="s">
        <v>64</v>
      </c>
      <c r="H485" s="269">
        <f>+D41+D42+D43+D46+D45+D47+D48+D49+D50+D51+D52+D53+D54+D55+D56+D57+D58+D59+D375+D44</f>
        <v>7084909</v>
      </c>
    </row>
    <row r="486" spans="1:12" x14ac:dyDescent="0.25">
      <c r="A486" s="314"/>
      <c r="B486" s="317" t="s">
        <v>59</v>
      </c>
      <c r="C486" s="317">
        <f>+C483+C484</f>
        <v>304019.03214000002</v>
      </c>
      <c r="D486" s="27">
        <f>SUM(D483:D484)</f>
        <v>290589083.16999996</v>
      </c>
      <c r="E486" s="316"/>
      <c r="F486" s="308"/>
      <c r="G486" s="45" t="s">
        <v>63</v>
      </c>
      <c r="H486" s="269">
        <f>H483-H484-H481-H482+H485</f>
        <v>794445380.66000009</v>
      </c>
    </row>
    <row r="487" spans="1:12" ht="16.5" thickBot="1" x14ac:dyDescent="0.3">
      <c r="A487" s="314"/>
      <c r="B487" s="318"/>
      <c r="C487" s="318"/>
      <c r="D487" s="318"/>
      <c r="E487" s="315"/>
      <c r="F487" s="301"/>
      <c r="G487" s="45"/>
      <c r="H487" s="269">
        <f>+H486-D486+J490</f>
        <v>503856297.49000013</v>
      </c>
      <c r="I487" s="319" t="s">
        <v>248</v>
      </c>
    </row>
    <row r="488" spans="1:12" x14ac:dyDescent="0.25">
      <c r="C488" s="285"/>
      <c r="D488" s="356"/>
      <c r="E488" s="269"/>
      <c r="F488" s="45"/>
      <c r="H488" s="269">
        <v>0</v>
      </c>
      <c r="I488" s="320"/>
    </row>
    <row r="489" spans="1:12" ht="16.5" thickBot="1" x14ac:dyDescent="0.3">
      <c r="B489" s="321"/>
      <c r="C489" s="154"/>
      <c r="D489" s="154"/>
      <c r="E489" s="305"/>
      <c r="F489" s="305"/>
      <c r="H489" s="269">
        <f>+H487-H488</f>
        <v>503856297.49000013</v>
      </c>
      <c r="I489" s="45" t="s">
        <v>258</v>
      </c>
    </row>
    <row r="490" spans="1:12" ht="16.5" thickBot="1" x14ac:dyDescent="0.3">
      <c r="B490" s="322" t="s">
        <v>79</v>
      </c>
      <c r="C490" s="137" t="s">
        <v>80</v>
      </c>
      <c r="D490" s="137" t="s">
        <v>80</v>
      </c>
      <c r="E490" s="137" t="s">
        <v>82</v>
      </c>
      <c r="F490" s="137" t="s">
        <v>81</v>
      </c>
      <c r="G490" s="323" t="s">
        <v>83</v>
      </c>
      <c r="H490" s="324" t="s">
        <v>84</v>
      </c>
    </row>
    <row r="491" spans="1:12" s="329" customFormat="1" x14ac:dyDescent="0.25">
      <c r="A491" s="325"/>
      <c r="B491" s="326">
        <v>4111</v>
      </c>
      <c r="C491" s="327"/>
      <c r="D491" s="155">
        <f>SUMIF(C510:C538,B491,G510:G538)</f>
        <v>0</v>
      </c>
      <c r="E491" s="328">
        <f t="shared" ref="E491:E503" si="2">SUMIF($F$7:$F$540,B491,$C$7:$C$540)</f>
        <v>0</v>
      </c>
      <c r="F491" s="328">
        <f t="shared" ref="F491:F503" si="3">SUMIF($F$7:$F$489,B491,$D$7:$D$489)</f>
        <v>0</v>
      </c>
      <c r="G491" s="328">
        <f>C491-E491*1000</f>
        <v>0</v>
      </c>
      <c r="H491" s="328">
        <f>+D491-F491</f>
        <v>0</v>
      </c>
      <c r="L491" s="45"/>
    </row>
    <row r="492" spans="1:12" x14ac:dyDescent="0.25">
      <c r="B492" s="330">
        <v>4113</v>
      </c>
      <c r="C492" s="156">
        <v>5941925.21</v>
      </c>
      <c r="D492" s="155">
        <v>2221253.21</v>
      </c>
      <c r="E492" s="331">
        <f t="shared" si="2"/>
        <v>5941.9252100000012</v>
      </c>
      <c r="F492" s="328">
        <f t="shared" si="3"/>
        <v>2221253.21</v>
      </c>
      <c r="G492" s="328">
        <f t="shared" ref="G492:G503" si="4">C492-E492*1000</f>
        <v>0</v>
      </c>
      <c r="H492" s="328">
        <f t="shared" ref="H492:H503" si="5">+D492-F492</f>
        <v>0</v>
      </c>
      <c r="I492" s="329"/>
      <c r="K492" s="45">
        <f>+SUM(K484:K491)</f>
        <v>0</v>
      </c>
    </row>
    <row r="493" spans="1:12" x14ac:dyDescent="0.25">
      <c r="B493" s="330">
        <v>4116</v>
      </c>
      <c r="C493" s="156">
        <v>82126721.180000007</v>
      </c>
      <c r="D493" s="155">
        <v>96129922.269999996</v>
      </c>
      <c r="E493" s="331">
        <f t="shared" si="2"/>
        <v>82126.714179999995</v>
      </c>
      <c r="F493" s="328">
        <f t="shared" si="3"/>
        <v>96129922.269999996</v>
      </c>
      <c r="G493" s="328">
        <f>C493-E493*1000</f>
        <v>7.0000000149011612</v>
      </c>
      <c r="H493" s="328">
        <f t="shared" si="5"/>
        <v>0</v>
      </c>
      <c r="I493" s="329"/>
    </row>
    <row r="494" spans="1:12" x14ac:dyDescent="0.25">
      <c r="B494" s="330">
        <v>4119</v>
      </c>
      <c r="C494" s="156">
        <v>0</v>
      </c>
      <c r="D494" s="155">
        <f>SUMIF(C515:C541,B494,G513:G541)</f>
        <v>0</v>
      </c>
      <c r="E494" s="331">
        <f t="shared" si="2"/>
        <v>0</v>
      </c>
      <c r="F494" s="328">
        <f t="shared" si="3"/>
        <v>0</v>
      </c>
      <c r="G494" s="328">
        <f t="shared" si="4"/>
        <v>0</v>
      </c>
      <c r="H494" s="328">
        <f t="shared" si="5"/>
        <v>0</v>
      </c>
      <c r="I494" s="329"/>
    </row>
    <row r="495" spans="1:12" x14ac:dyDescent="0.25">
      <c r="B495" s="330">
        <v>4122</v>
      </c>
      <c r="C495" s="156">
        <v>106315949.68000001</v>
      </c>
      <c r="D495" s="155">
        <v>67714425.560000002</v>
      </c>
      <c r="E495" s="331">
        <f t="shared" si="2"/>
        <v>106315.94968000002</v>
      </c>
      <c r="F495" s="328">
        <f t="shared" si="3"/>
        <v>67714425.560000002</v>
      </c>
      <c r="G495" s="328">
        <f t="shared" si="4"/>
        <v>0</v>
      </c>
      <c r="H495" s="328">
        <f t="shared" si="5"/>
        <v>0</v>
      </c>
      <c r="I495" s="329"/>
    </row>
    <row r="496" spans="1:12" x14ac:dyDescent="0.25">
      <c r="B496" s="330">
        <v>4123</v>
      </c>
      <c r="C496" s="156">
        <v>984796.97</v>
      </c>
      <c r="D496" s="155">
        <v>1808652.21</v>
      </c>
      <c r="E496" s="331">
        <f t="shared" si="2"/>
        <v>984.7969700000001</v>
      </c>
      <c r="F496" s="328">
        <f t="shared" si="3"/>
        <v>1808652.21</v>
      </c>
      <c r="G496" s="328">
        <f t="shared" si="4"/>
        <v>0</v>
      </c>
      <c r="H496" s="328">
        <f t="shared" si="5"/>
        <v>0</v>
      </c>
      <c r="I496" s="329"/>
    </row>
    <row r="497" spans="2:9" x14ac:dyDescent="0.25">
      <c r="B497" s="330">
        <v>4151</v>
      </c>
      <c r="C497" s="156"/>
      <c r="D497" s="155">
        <f>SUMIF(C516:C544,B497,G516:G544)</f>
        <v>0</v>
      </c>
      <c r="E497" s="331">
        <f t="shared" si="2"/>
        <v>0</v>
      </c>
      <c r="F497" s="328">
        <f t="shared" si="3"/>
        <v>0</v>
      </c>
      <c r="G497" s="328">
        <f t="shared" si="4"/>
        <v>0</v>
      </c>
      <c r="H497" s="328">
        <f t="shared" si="5"/>
        <v>0</v>
      </c>
      <c r="I497" s="329"/>
    </row>
    <row r="498" spans="2:9" x14ac:dyDescent="0.25">
      <c r="B498" s="330">
        <v>4152</v>
      </c>
      <c r="C498" s="156">
        <v>582000</v>
      </c>
      <c r="D498" s="155">
        <v>2376443.11</v>
      </c>
      <c r="E498" s="331">
        <f t="shared" si="2"/>
        <v>582</v>
      </c>
      <c r="F498" s="328">
        <f t="shared" si="3"/>
        <v>2376443.1100000003</v>
      </c>
      <c r="G498" s="328">
        <f t="shared" si="4"/>
        <v>0</v>
      </c>
      <c r="H498" s="328">
        <f t="shared" si="5"/>
        <v>0</v>
      </c>
      <c r="I498" s="329"/>
    </row>
    <row r="499" spans="2:9" x14ac:dyDescent="0.25">
      <c r="B499" s="330">
        <v>4213</v>
      </c>
      <c r="C499" s="156">
        <v>656317.54</v>
      </c>
      <c r="D499" s="155">
        <v>690589.29</v>
      </c>
      <c r="E499" s="331">
        <f t="shared" si="2"/>
        <v>656.31754000000001</v>
      </c>
      <c r="F499" s="328">
        <f t="shared" si="3"/>
        <v>690589.29</v>
      </c>
      <c r="G499" s="328">
        <f t="shared" si="4"/>
        <v>0</v>
      </c>
      <c r="H499" s="328">
        <f t="shared" si="5"/>
        <v>0</v>
      </c>
      <c r="I499" s="329"/>
    </row>
    <row r="500" spans="2:9" x14ac:dyDescent="0.25">
      <c r="B500" s="330">
        <v>4216</v>
      </c>
      <c r="C500" s="156">
        <v>30485503.73</v>
      </c>
      <c r="D500" s="155">
        <v>31068123.91</v>
      </c>
      <c r="E500" s="331">
        <f t="shared" si="2"/>
        <v>30485.50373</v>
      </c>
      <c r="F500" s="328">
        <f t="shared" si="3"/>
        <v>31068123.91</v>
      </c>
      <c r="G500" s="328">
        <f t="shared" si="4"/>
        <v>0</v>
      </c>
      <c r="H500" s="328">
        <f t="shared" si="5"/>
        <v>0</v>
      </c>
      <c r="I500" s="329"/>
    </row>
    <row r="501" spans="2:9" x14ac:dyDescent="0.25">
      <c r="B501" s="330">
        <v>4222</v>
      </c>
      <c r="C501" s="156">
        <v>0</v>
      </c>
      <c r="D501" s="155">
        <f>SUMIF(C520:C548,B501,G520:G548)</f>
        <v>0</v>
      </c>
      <c r="E501" s="331">
        <f t="shared" si="2"/>
        <v>0</v>
      </c>
      <c r="F501" s="328">
        <f t="shared" si="3"/>
        <v>0</v>
      </c>
      <c r="G501" s="328">
        <f t="shared" si="4"/>
        <v>0</v>
      </c>
      <c r="H501" s="328">
        <f t="shared" si="5"/>
        <v>0</v>
      </c>
      <c r="I501" s="329"/>
    </row>
    <row r="502" spans="2:9" x14ac:dyDescent="0.25">
      <c r="B502" s="330">
        <v>4223</v>
      </c>
      <c r="C502" s="156">
        <v>76925824.829999998</v>
      </c>
      <c r="D502" s="155">
        <v>87703473.75</v>
      </c>
      <c r="E502" s="331">
        <f t="shared" si="2"/>
        <v>76925.824830000012</v>
      </c>
      <c r="F502" s="328">
        <f t="shared" si="3"/>
        <v>87703473.75</v>
      </c>
      <c r="G502" s="328">
        <f t="shared" si="4"/>
        <v>0</v>
      </c>
      <c r="H502" s="328">
        <f t="shared" si="5"/>
        <v>0</v>
      </c>
      <c r="I502" s="329"/>
    </row>
    <row r="503" spans="2:9" x14ac:dyDescent="0.25">
      <c r="B503" s="330">
        <v>4232</v>
      </c>
      <c r="C503" s="156">
        <v>0</v>
      </c>
      <c r="D503" s="155">
        <v>876199.86</v>
      </c>
      <c r="E503" s="331">
        <f t="shared" si="2"/>
        <v>0</v>
      </c>
      <c r="F503" s="328">
        <f t="shared" si="3"/>
        <v>876199.86</v>
      </c>
      <c r="G503" s="328">
        <f t="shared" si="4"/>
        <v>0</v>
      </c>
      <c r="H503" s="328">
        <f t="shared" si="5"/>
        <v>0</v>
      </c>
      <c r="I503" s="329"/>
    </row>
    <row r="504" spans="2:9" x14ac:dyDescent="0.25">
      <c r="B504" s="332"/>
      <c r="C504" s="156">
        <f t="shared" ref="C504:H504" si="6">+SUM(C491:C502)</f>
        <v>304019039.13999999</v>
      </c>
      <c r="D504" s="156">
        <f t="shared" si="6"/>
        <v>289712883.31</v>
      </c>
      <c r="E504" s="156">
        <f t="shared" si="6"/>
        <v>304019.03214000002</v>
      </c>
      <c r="F504" s="156">
        <f t="shared" si="6"/>
        <v>289712883.31</v>
      </c>
      <c r="G504" s="328">
        <f t="shared" si="6"/>
        <v>7.0000000149011612</v>
      </c>
      <c r="H504" s="328">
        <f t="shared" si="6"/>
        <v>0</v>
      </c>
      <c r="I504" s="329"/>
    </row>
    <row r="505" spans="2:9" ht="16.5" thickBot="1" x14ac:dyDescent="0.3">
      <c r="B505" s="333"/>
      <c r="C505" s="157"/>
      <c r="D505" s="157"/>
      <c r="E505" s="334"/>
      <c r="F505" s="334"/>
      <c r="G505" s="335" t="s">
        <v>264</v>
      </c>
      <c r="H505" s="336"/>
      <c r="I505" s="329"/>
    </row>
    <row r="509" spans="2:9" x14ac:dyDescent="0.25">
      <c r="B509" s="337"/>
      <c r="C509" s="337"/>
      <c r="D509" s="344"/>
      <c r="E509" s="338"/>
      <c r="F509" s="338"/>
      <c r="G509" s="338"/>
      <c r="H509" s="337"/>
    </row>
    <row r="510" spans="2:9" x14ac:dyDescent="0.25">
      <c r="B510" s="337"/>
      <c r="C510" s="337"/>
      <c r="D510" s="338"/>
      <c r="E510" s="338"/>
      <c r="F510" s="338"/>
      <c r="G510" s="338"/>
      <c r="H510" s="337"/>
    </row>
    <row r="511" spans="2:9" x14ac:dyDescent="0.25">
      <c r="B511" s="337"/>
      <c r="C511" s="337"/>
      <c r="D511" s="337"/>
      <c r="E511" s="338"/>
      <c r="F511" s="338"/>
      <c r="G511" s="338"/>
      <c r="H511" s="337"/>
    </row>
    <row r="512" spans="2:9" x14ac:dyDescent="0.25">
      <c r="B512" s="337"/>
      <c r="C512" s="337"/>
      <c r="D512" s="338"/>
      <c r="E512" s="338"/>
      <c r="F512" s="338"/>
      <c r="G512" s="338"/>
      <c r="H512" s="337"/>
    </row>
    <row r="513" spans="2:8" x14ac:dyDescent="0.25">
      <c r="B513" s="337"/>
      <c r="D513" s="337"/>
      <c r="E513" s="338"/>
      <c r="F513" s="338"/>
      <c r="G513" s="337"/>
      <c r="H513" s="337"/>
    </row>
    <row r="514" spans="2:8" x14ac:dyDescent="0.25">
      <c r="B514" s="337"/>
      <c r="D514" s="337"/>
      <c r="E514" s="338"/>
      <c r="F514" s="338"/>
      <c r="G514" s="338"/>
    </row>
    <row r="515" spans="2:8" x14ac:dyDescent="0.25">
      <c r="B515" s="337"/>
      <c r="C515" s="337"/>
      <c r="D515" s="337"/>
      <c r="E515" s="338"/>
      <c r="F515" s="338"/>
      <c r="G515" s="338"/>
    </row>
    <row r="516" spans="2:8" x14ac:dyDescent="0.25">
      <c r="B516" s="337"/>
      <c r="C516" s="337"/>
      <c r="D516" s="337"/>
      <c r="E516" s="338"/>
      <c r="F516" s="338"/>
      <c r="G516" s="338"/>
      <c r="H516" s="337"/>
    </row>
    <row r="517" spans="2:8" x14ac:dyDescent="0.25">
      <c r="B517" s="337"/>
      <c r="C517" s="337"/>
      <c r="D517" s="337"/>
      <c r="E517" s="338"/>
      <c r="F517" s="338"/>
      <c r="G517" s="337"/>
      <c r="H517" s="337"/>
    </row>
    <row r="518" spans="2:8" x14ac:dyDescent="0.25">
      <c r="B518" s="337"/>
      <c r="C518" s="337"/>
      <c r="D518" s="337"/>
      <c r="E518" s="338"/>
      <c r="F518" s="338"/>
      <c r="G518" s="338"/>
      <c r="H518" s="337"/>
    </row>
    <row r="519" spans="2:8" x14ac:dyDescent="0.25">
      <c r="B519" s="337"/>
      <c r="C519" s="337"/>
      <c r="D519" s="337"/>
      <c r="E519" s="338"/>
      <c r="F519" s="338"/>
      <c r="G519" s="338"/>
      <c r="H519" s="337"/>
    </row>
    <row r="520" spans="2:8" x14ac:dyDescent="0.25">
      <c r="B520" s="337"/>
      <c r="C520" s="337"/>
      <c r="D520" s="337"/>
      <c r="E520" s="338"/>
      <c r="F520" s="338"/>
      <c r="G520" s="338"/>
      <c r="H520" s="337"/>
    </row>
    <row r="521" spans="2:8" x14ac:dyDescent="0.25">
      <c r="B521" s="337"/>
      <c r="C521" s="337"/>
      <c r="D521" s="337"/>
      <c r="E521" s="338"/>
      <c r="F521" s="338"/>
      <c r="G521" s="338"/>
      <c r="H521" s="337"/>
    </row>
    <row r="522" spans="2:8" x14ac:dyDescent="0.25">
      <c r="B522" s="337"/>
      <c r="C522" s="337"/>
      <c r="D522" s="337"/>
      <c r="E522" s="338"/>
      <c r="F522" s="338"/>
      <c r="G522" s="338"/>
      <c r="H522" s="337"/>
    </row>
    <row r="523" spans="2:8" x14ac:dyDescent="0.25">
      <c r="B523" s="337"/>
      <c r="C523" s="337"/>
      <c r="D523" s="337"/>
      <c r="E523" s="337"/>
      <c r="F523" s="337"/>
      <c r="G523" s="338"/>
      <c r="H523" s="337"/>
    </row>
    <row r="524" spans="2:8" x14ac:dyDescent="0.25">
      <c r="B524" s="337"/>
      <c r="C524" s="337"/>
      <c r="D524" s="337"/>
      <c r="E524" s="338"/>
      <c r="F524" s="338"/>
      <c r="G524" s="338"/>
      <c r="H524" s="337"/>
    </row>
    <row r="525" spans="2:8" x14ac:dyDescent="0.25">
      <c r="B525" s="337"/>
      <c r="C525" s="337"/>
      <c r="D525" s="337"/>
      <c r="E525" s="338"/>
      <c r="F525" s="338"/>
      <c r="G525" s="338"/>
      <c r="H525" s="337"/>
    </row>
    <row r="526" spans="2:8" x14ac:dyDescent="0.25">
      <c r="B526" s="337"/>
      <c r="C526" s="337"/>
      <c r="D526" s="337"/>
      <c r="E526" s="338"/>
      <c r="F526" s="338"/>
      <c r="G526" s="338"/>
      <c r="H526" s="337"/>
    </row>
    <row r="527" spans="2:8" x14ac:dyDescent="0.25">
      <c r="B527" s="337"/>
      <c r="C527" s="337"/>
      <c r="D527" s="337"/>
      <c r="E527" s="337"/>
      <c r="F527" s="337"/>
      <c r="G527" s="337"/>
      <c r="H527" s="337"/>
    </row>
    <row r="528" spans="2:8" x14ac:dyDescent="0.25">
      <c r="B528" s="337"/>
      <c r="C528" s="337"/>
      <c r="D528" s="337"/>
      <c r="E528" s="338"/>
      <c r="F528" s="338"/>
      <c r="G528" s="337"/>
      <c r="H528" s="337"/>
    </row>
    <row r="529" spans="2:8" x14ac:dyDescent="0.25">
      <c r="B529" s="337"/>
      <c r="C529" s="337"/>
      <c r="D529" s="337"/>
      <c r="E529" s="338"/>
      <c r="F529" s="338"/>
      <c r="G529" s="338"/>
      <c r="H529" s="337"/>
    </row>
    <row r="530" spans="2:8" x14ac:dyDescent="0.25">
      <c r="B530" s="337"/>
      <c r="C530" s="337"/>
      <c r="D530" s="337"/>
      <c r="E530" s="338"/>
      <c r="F530" s="338"/>
      <c r="G530" s="338"/>
      <c r="H530" s="337"/>
    </row>
    <row r="531" spans="2:8" x14ac:dyDescent="0.25">
      <c r="B531" s="337"/>
      <c r="C531" s="337"/>
      <c r="D531" s="337"/>
      <c r="E531" s="337"/>
      <c r="F531" s="337"/>
      <c r="G531" s="338"/>
      <c r="H531" s="337"/>
    </row>
    <row r="532" spans="2:8" x14ac:dyDescent="0.25">
      <c r="B532" s="337"/>
      <c r="C532" s="337"/>
      <c r="D532" s="337"/>
      <c r="E532" s="337"/>
      <c r="F532" s="337"/>
      <c r="G532" s="338"/>
      <c r="H532" s="337"/>
    </row>
    <row r="533" spans="2:8" x14ac:dyDescent="0.25">
      <c r="B533" s="337"/>
      <c r="C533" s="337"/>
      <c r="D533" s="337"/>
      <c r="E533" s="338"/>
      <c r="F533" s="338"/>
      <c r="G533" s="338"/>
      <c r="H533" s="337"/>
    </row>
    <row r="534" spans="2:8" x14ac:dyDescent="0.25">
      <c r="B534" s="337"/>
      <c r="C534" s="337"/>
      <c r="D534" s="337"/>
      <c r="E534" s="337"/>
      <c r="F534" s="337"/>
      <c r="G534" s="338"/>
      <c r="H534" s="337"/>
    </row>
    <row r="535" spans="2:8" x14ac:dyDescent="0.25">
      <c r="B535" s="337"/>
      <c r="C535" s="337"/>
      <c r="D535" s="337"/>
      <c r="E535" s="337"/>
      <c r="F535" s="337"/>
      <c r="G535" s="337"/>
      <c r="H535" s="337"/>
    </row>
    <row r="536" spans="2:8" x14ac:dyDescent="0.25">
      <c r="B536" s="337"/>
      <c r="C536" s="337"/>
      <c r="D536" s="337"/>
      <c r="E536" s="337"/>
      <c r="F536" s="337"/>
      <c r="G536" s="337"/>
      <c r="H536" s="337"/>
    </row>
    <row r="537" spans="2:8" x14ac:dyDescent="0.25">
      <c r="B537" s="337"/>
      <c r="C537" s="337"/>
      <c r="D537" s="337"/>
      <c r="E537" s="337"/>
      <c r="F537" s="337"/>
      <c r="G537" s="338"/>
      <c r="H537" s="337"/>
    </row>
    <row r="538" spans="2:8" x14ac:dyDescent="0.25">
      <c r="B538" s="337"/>
      <c r="C538" s="337"/>
      <c r="D538" s="337"/>
      <c r="E538" s="337"/>
      <c r="F538" s="337"/>
      <c r="G538" s="337"/>
      <c r="H538" s="337"/>
    </row>
    <row r="539" spans="2:8" x14ac:dyDescent="0.25">
      <c r="B539" s="337"/>
      <c r="C539" s="337"/>
      <c r="D539" s="337"/>
      <c r="E539" s="337"/>
      <c r="F539" s="337"/>
      <c r="G539" s="337"/>
      <c r="H539" s="337"/>
    </row>
    <row r="576" spans="1:8" x14ac:dyDescent="0.25">
      <c r="A576" s="339"/>
      <c r="B576" s="340"/>
      <c r="C576" s="340"/>
      <c r="D576" s="341"/>
      <c r="E576" s="342"/>
      <c r="F576" s="343"/>
      <c r="G576" s="341"/>
      <c r="H576" s="194"/>
    </row>
    <row r="577" spans="1:8" x14ac:dyDescent="0.25">
      <c r="A577" s="339"/>
      <c r="B577" s="340"/>
      <c r="C577" s="340"/>
      <c r="D577" s="341"/>
      <c r="E577" s="342"/>
      <c r="F577" s="343"/>
      <c r="G577" s="341"/>
      <c r="H577" s="194"/>
    </row>
    <row r="578" spans="1:8" x14ac:dyDescent="0.25">
      <c r="A578" s="339"/>
      <c r="B578" s="340"/>
      <c r="C578" s="340"/>
      <c r="D578" s="341"/>
      <c r="E578" s="342"/>
      <c r="F578" s="343"/>
      <c r="G578" s="341"/>
      <c r="H578" s="194"/>
    </row>
    <row r="579" spans="1:8" x14ac:dyDescent="0.25">
      <c r="A579" s="339"/>
      <c r="B579" s="340"/>
      <c r="C579" s="340"/>
      <c r="D579" s="341"/>
      <c r="E579" s="342"/>
      <c r="F579" s="343"/>
      <c r="G579" s="341"/>
      <c r="H579" s="194"/>
    </row>
    <row r="580" spans="1:8" x14ac:dyDescent="0.25">
      <c r="A580" s="339"/>
      <c r="B580" s="340"/>
      <c r="C580" s="340"/>
      <c r="D580" s="341"/>
      <c r="E580" s="342"/>
      <c r="F580" s="343"/>
      <c r="G580" s="341"/>
      <c r="H580" s="194"/>
    </row>
    <row r="581" spans="1:8" x14ac:dyDescent="0.25">
      <c r="A581" s="339"/>
      <c r="B581" s="340"/>
      <c r="C581" s="340"/>
      <c r="D581" s="341"/>
      <c r="E581" s="342"/>
      <c r="F581" s="343"/>
      <c r="G581" s="341"/>
      <c r="H581" s="194"/>
    </row>
    <row r="582" spans="1:8" x14ac:dyDescent="0.25">
      <c r="A582" s="339"/>
      <c r="B582" s="340"/>
      <c r="C582" s="340"/>
      <c r="D582" s="341"/>
      <c r="E582" s="342"/>
      <c r="F582" s="343"/>
      <c r="G582" s="341"/>
      <c r="H582" s="194"/>
    </row>
    <row r="583" spans="1:8" x14ac:dyDescent="0.25">
      <c r="A583" s="339"/>
      <c r="B583" s="340"/>
      <c r="C583" s="340"/>
      <c r="D583" s="341"/>
      <c r="E583" s="342"/>
      <c r="F583" s="343"/>
      <c r="G583" s="341"/>
      <c r="H583" s="194"/>
    </row>
    <row r="584" spans="1:8" x14ac:dyDescent="0.25">
      <c r="A584" s="339"/>
      <c r="B584" s="340"/>
      <c r="C584" s="340"/>
      <c r="D584" s="341"/>
      <c r="E584" s="342"/>
      <c r="F584" s="343"/>
      <c r="G584" s="341"/>
      <c r="H584" s="194"/>
    </row>
    <row r="585" spans="1:8" x14ac:dyDescent="0.25">
      <c r="A585" s="339"/>
      <c r="B585" s="340"/>
      <c r="C585" s="340"/>
      <c r="D585" s="341"/>
      <c r="E585" s="342"/>
      <c r="F585" s="343"/>
      <c r="G585" s="341"/>
      <c r="H585" s="194"/>
    </row>
    <row r="586" spans="1:8" x14ac:dyDescent="0.25">
      <c r="A586" s="339"/>
      <c r="B586" s="340"/>
      <c r="C586" s="340"/>
      <c r="D586" s="341"/>
      <c r="E586" s="342"/>
      <c r="F586" s="343"/>
      <c r="G586" s="341"/>
      <c r="H586" s="194"/>
    </row>
    <row r="587" spans="1:8" x14ac:dyDescent="0.25">
      <c r="A587" s="339"/>
      <c r="B587" s="340"/>
      <c r="C587" s="340"/>
      <c r="D587" s="341"/>
      <c r="E587" s="342"/>
      <c r="F587" s="343"/>
      <c r="G587" s="341"/>
      <c r="H587" s="194"/>
    </row>
    <row r="588" spans="1:8" x14ac:dyDescent="0.25">
      <c r="A588" s="339"/>
      <c r="B588" s="340"/>
      <c r="C588" s="340"/>
      <c r="D588" s="341"/>
      <c r="E588" s="342"/>
      <c r="F588" s="343"/>
      <c r="G588" s="341"/>
      <c r="H588" s="194"/>
    </row>
    <row r="589" spans="1:8" x14ac:dyDescent="0.25">
      <c r="A589" s="339"/>
      <c r="B589" s="340"/>
      <c r="C589" s="340"/>
      <c r="D589" s="341"/>
      <c r="E589" s="342"/>
      <c r="F589" s="343"/>
      <c r="G589" s="341"/>
      <c r="H589" s="194"/>
    </row>
    <row r="590" spans="1:8" x14ac:dyDescent="0.25">
      <c r="A590" s="339"/>
      <c r="B590" s="340"/>
      <c r="C590" s="340"/>
      <c r="D590" s="341"/>
      <c r="E590" s="342"/>
      <c r="F590" s="343"/>
      <c r="G590" s="341"/>
      <c r="H590" s="194"/>
    </row>
    <row r="591" spans="1:8" x14ac:dyDescent="0.25">
      <c r="A591" s="339"/>
      <c r="B591" s="340"/>
      <c r="C591" s="340"/>
      <c r="D591" s="341"/>
      <c r="E591" s="342"/>
      <c r="F591" s="343"/>
      <c r="G591" s="341"/>
      <c r="H591" s="194"/>
    </row>
    <row r="592" spans="1:8" x14ac:dyDescent="0.25">
      <c r="A592" s="339"/>
      <c r="B592" s="340"/>
      <c r="C592" s="340"/>
      <c r="D592" s="341"/>
      <c r="E592" s="342"/>
      <c r="F592" s="343"/>
      <c r="G592" s="341"/>
      <c r="H592" s="194"/>
    </row>
    <row r="593" spans="1:8" x14ac:dyDescent="0.25">
      <c r="A593" s="339"/>
      <c r="B593" s="340"/>
      <c r="C593" s="340"/>
      <c r="D593" s="341"/>
      <c r="E593" s="342"/>
      <c r="F593" s="343"/>
      <c r="G593" s="341"/>
      <c r="H593" s="194"/>
    </row>
    <row r="594" spans="1:8" x14ac:dyDescent="0.25">
      <c r="A594" s="339"/>
      <c r="B594" s="340"/>
      <c r="C594" s="340"/>
      <c r="D594" s="341"/>
      <c r="E594" s="342"/>
      <c r="F594" s="343"/>
      <c r="G594" s="341"/>
      <c r="H594" s="194"/>
    </row>
    <row r="595" spans="1:8" x14ac:dyDescent="0.25">
      <c r="A595" s="339"/>
      <c r="B595" s="340"/>
      <c r="C595" s="340"/>
      <c r="D595" s="341"/>
      <c r="E595" s="342"/>
      <c r="F595" s="343"/>
      <c r="G595" s="341"/>
      <c r="H595" s="194"/>
    </row>
    <row r="596" spans="1:8" x14ac:dyDescent="0.25">
      <c r="A596" s="339"/>
      <c r="B596" s="340"/>
      <c r="C596" s="340"/>
      <c r="D596" s="341"/>
      <c r="E596" s="342"/>
      <c r="F596" s="343"/>
      <c r="G596" s="341"/>
      <c r="H596" s="194"/>
    </row>
    <row r="597" spans="1:8" x14ac:dyDescent="0.25">
      <c r="A597" s="339"/>
      <c r="B597" s="340"/>
      <c r="C597" s="340"/>
      <c r="D597" s="341"/>
      <c r="E597" s="342"/>
      <c r="F597" s="343"/>
      <c r="G597" s="341"/>
      <c r="H597" s="194"/>
    </row>
    <row r="598" spans="1:8" x14ac:dyDescent="0.25">
      <c r="A598" s="339"/>
      <c r="B598" s="340"/>
      <c r="C598" s="340"/>
      <c r="D598" s="341"/>
      <c r="E598" s="342"/>
      <c r="F598" s="343"/>
      <c r="G598" s="341"/>
      <c r="H598" s="194"/>
    </row>
    <row r="599" spans="1:8" x14ac:dyDescent="0.25">
      <c r="A599" s="339"/>
      <c r="B599" s="340"/>
      <c r="C599" s="340"/>
      <c r="D599" s="341"/>
      <c r="E599" s="342"/>
      <c r="F599" s="343"/>
      <c r="G599" s="341"/>
      <c r="H599" s="194"/>
    </row>
    <row r="600" spans="1:8" x14ac:dyDescent="0.25">
      <c r="A600" s="339"/>
      <c r="B600" s="340"/>
      <c r="C600" s="340"/>
      <c r="D600" s="341"/>
      <c r="E600" s="342"/>
      <c r="F600" s="343"/>
      <c r="G600" s="341"/>
      <c r="H600" s="194"/>
    </row>
    <row r="601" spans="1:8" x14ac:dyDescent="0.25">
      <c r="A601" s="339"/>
      <c r="B601" s="340"/>
      <c r="C601" s="340"/>
      <c r="D601" s="341"/>
      <c r="E601" s="342"/>
      <c r="F601" s="343"/>
      <c r="G601" s="341"/>
      <c r="H601" s="194"/>
    </row>
    <row r="602" spans="1:8" x14ac:dyDescent="0.25">
      <c r="A602" s="339"/>
      <c r="B602" s="340"/>
      <c r="C602" s="340"/>
      <c r="D602" s="341"/>
      <c r="E602" s="342"/>
      <c r="F602" s="343"/>
      <c r="G602" s="341"/>
      <c r="H602" s="194"/>
    </row>
    <row r="603" spans="1:8" x14ac:dyDescent="0.25">
      <c r="A603" s="339"/>
      <c r="B603" s="340"/>
      <c r="C603" s="340"/>
      <c r="D603" s="341"/>
      <c r="E603" s="342"/>
      <c r="F603" s="343"/>
      <c r="G603" s="341"/>
      <c r="H603" s="194"/>
    </row>
    <row r="604" spans="1:8" x14ac:dyDescent="0.25">
      <c r="A604" s="339"/>
      <c r="B604" s="340"/>
      <c r="C604" s="340"/>
      <c r="D604" s="341"/>
      <c r="E604" s="342"/>
      <c r="F604" s="343"/>
      <c r="G604" s="341"/>
      <c r="H604" s="194"/>
    </row>
    <row r="605" spans="1:8" x14ac:dyDescent="0.25">
      <c r="A605" s="339"/>
      <c r="B605" s="340"/>
      <c r="C605" s="340"/>
      <c r="D605" s="341"/>
      <c r="E605" s="342"/>
      <c r="F605" s="343"/>
      <c r="G605" s="341"/>
      <c r="H605" s="194"/>
    </row>
    <row r="606" spans="1:8" x14ac:dyDescent="0.25">
      <c r="A606" s="339"/>
      <c r="B606" s="340"/>
      <c r="C606" s="340"/>
      <c r="D606" s="341"/>
      <c r="E606" s="342"/>
      <c r="F606" s="343"/>
      <c r="G606" s="341"/>
      <c r="H606" s="194"/>
    </row>
    <row r="607" spans="1:8" x14ac:dyDescent="0.25">
      <c r="A607" s="339"/>
      <c r="B607" s="340"/>
      <c r="C607" s="340"/>
      <c r="D607" s="341"/>
      <c r="E607" s="342"/>
      <c r="F607" s="343"/>
      <c r="G607" s="341"/>
      <c r="H607" s="194"/>
    </row>
    <row r="608" spans="1:8" x14ac:dyDescent="0.25">
      <c r="A608" s="339"/>
      <c r="B608" s="340"/>
      <c r="C608" s="340"/>
      <c r="D608" s="341"/>
      <c r="E608" s="342"/>
      <c r="F608" s="343"/>
      <c r="G608" s="341"/>
      <c r="H608" s="194"/>
    </row>
    <row r="609" spans="1:8" x14ac:dyDescent="0.25">
      <c r="A609" s="339"/>
      <c r="B609" s="340"/>
      <c r="C609" s="340"/>
      <c r="D609" s="341"/>
      <c r="E609" s="342"/>
      <c r="F609" s="343"/>
      <c r="G609" s="341"/>
      <c r="H609" s="194"/>
    </row>
    <row r="610" spans="1:8" x14ac:dyDescent="0.25">
      <c r="A610" s="339"/>
      <c r="B610" s="340"/>
      <c r="C610" s="340"/>
      <c r="D610" s="341"/>
      <c r="E610" s="342"/>
      <c r="F610" s="343"/>
      <c r="G610" s="341"/>
      <c r="H610" s="194"/>
    </row>
    <row r="611" spans="1:8" x14ac:dyDescent="0.25">
      <c r="A611" s="339"/>
      <c r="B611" s="340"/>
      <c r="C611" s="340"/>
      <c r="D611" s="341"/>
      <c r="E611" s="342"/>
      <c r="F611" s="343"/>
      <c r="G611" s="341"/>
      <c r="H611" s="194"/>
    </row>
    <row r="612" spans="1:8" x14ac:dyDescent="0.25">
      <c r="A612" s="339"/>
      <c r="B612" s="340"/>
      <c r="C612" s="340"/>
      <c r="D612" s="341"/>
      <c r="E612" s="342"/>
      <c r="F612" s="343"/>
      <c r="G612" s="341"/>
      <c r="H612" s="194"/>
    </row>
    <row r="613" spans="1:8" x14ac:dyDescent="0.25">
      <c r="A613" s="339"/>
      <c r="B613" s="340"/>
      <c r="C613" s="340"/>
      <c r="D613" s="341"/>
      <c r="E613" s="342"/>
      <c r="F613" s="343"/>
      <c r="G613" s="341"/>
      <c r="H613" s="194"/>
    </row>
    <row r="614" spans="1:8" x14ac:dyDescent="0.25">
      <c r="A614" s="339"/>
      <c r="B614" s="340"/>
      <c r="C614" s="340"/>
      <c r="D614" s="341"/>
      <c r="E614" s="342"/>
      <c r="F614" s="343"/>
      <c r="G614" s="341"/>
      <c r="H614" s="194"/>
    </row>
    <row r="615" spans="1:8" x14ac:dyDescent="0.25">
      <c r="A615" s="339"/>
      <c r="B615" s="340"/>
      <c r="C615" s="340"/>
      <c r="D615" s="341"/>
      <c r="E615" s="342"/>
      <c r="F615" s="343"/>
      <c r="G615" s="341"/>
      <c r="H615" s="194"/>
    </row>
    <row r="616" spans="1:8" x14ac:dyDescent="0.25">
      <c r="A616" s="339"/>
      <c r="B616" s="340"/>
      <c r="C616" s="340"/>
      <c r="D616" s="341"/>
      <c r="E616" s="342"/>
      <c r="F616" s="343"/>
      <c r="G616" s="341"/>
      <c r="H616" s="194"/>
    </row>
    <row r="617" spans="1:8" x14ac:dyDescent="0.25">
      <c r="A617" s="339"/>
      <c r="B617" s="340"/>
      <c r="C617" s="340"/>
      <c r="D617" s="341"/>
      <c r="E617" s="342"/>
      <c r="F617" s="343"/>
      <c r="G617" s="341"/>
      <c r="H617" s="194"/>
    </row>
    <row r="618" spans="1:8" x14ac:dyDescent="0.25">
      <c r="A618" s="339"/>
      <c r="B618" s="340"/>
      <c r="C618" s="340"/>
      <c r="D618" s="341"/>
      <c r="E618" s="342"/>
      <c r="F618" s="343"/>
      <c r="G618" s="341"/>
      <c r="H618" s="194"/>
    </row>
    <row r="619" spans="1:8" x14ac:dyDescent="0.25">
      <c r="A619" s="339"/>
      <c r="B619" s="340"/>
      <c r="C619" s="340"/>
      <c r="D619" s="341"/>
      <c r="E619" s="342"/>
      <c r="F619" s="343"/>
      <c r="G619" s="341"/>
      <c r="H619" s="194"/>
    </row>
    <row r="620" spans="1:8" x14ac:dyDescent="0.25">
      <c r="A620" s="339"/>
      <c r="B620" s="340"/>
      <c r="C620" s="340"/>
      <c r="D620" s="341"/>
      <c r="E620" s="342"/>
      <c r="F620" s="343"/>
      <c r="G620" s="341"/>
      <c r="H620" s="194"/>
    </row>
    <row r="621" spans="1:8" x14ac:dyDescent="0.25">
      <c r="A621" s="339"/>
      <c r="B621" s="340"/>
      <c r="C621" s="340"/>
      <c r="D621" s="341"/>
      <c r="E621" s="342"/>
      <c r="F621" s="343"/>
      <c r="G621" s="341"/>
      <c r="H621" s="194"/>
    </row>
    <row r="622" spans="1:8" x14ac:dyDescent="0.25">
      <c r="A622" s="339"/>
      <c r="B622" s="340"/>
      <c r="C622" s="340"/>
      <c r="D622" s="341"/>
      <c r="E622" s="342"/>
      <c r="F622" s="343"/>
      <c r="G622" s="341"/>
      <c r="H622" s="194"/>
    </row>
    <row r="623" spans="1:8" x14ac:dyDescent="0.25">
      <c r="A623" s="339"/>
      <c r="B623" s="340"/>
      <c r="C623" s="340"/>
      <c r="D623" s="341"/>
      <c r="E623" s="342"/>
      <c r="F623" s="343"/>
      <c r="G623" s="341"/>
      <c r="H623" s="194"/>
    </row>
    <row r="624" spans="1:8" x14ac:dyDescent="0.25">
      <c r="A624" s="339"/>
      <c r="B624" s="340"/>
      <c r="C624" s="340"/>
      <c r="D624" s="341"/>
      <c r="E624" s="342"/>
      <c r="F624" s="343"/>
      <c r="G624" s="341"/>
      <c r="H624" s="194"/>
    </row>
    <row r="625" spans="1:8" x14ac:dyDescent="0.25">
      <c r="A625" s="339"/>
      <c r="B625" s="340"/>
      <c r="C625" s="340"/>
      <c r="D625" s="341"/>
      <c r="E625" s="342"/>
      <c r="F625" s="343"/>
      <c r="G625" s="341"/>
      <c r="H625" s="194"/>
    </row>
    <row r="626" spans="1:8" x14ac:dyDescent="0.25">
      <c r="A626" s="339"/>
      <c r="B626" s="340"/>
      <c r="C626" s="340"/>
      <c r="D626" s="341"/>
      <c r="E626" s="342"/>
      <c r="F626" s="343"/>
      <c r="G626" s="341"/>
      <c r="H626" s="194"/>
    </row>
    <row r="627" spans="1:8" x14ac:dyDescent="0.25">
      <c r="A627" s="339"/>
      <c r="B627" s="340"/>
      <c r="C627" s="340"/>
      <c r="D627" s="341"/>
      <c r="E627" s="342"/>
      <c r="F627" s="343"/>
      <c r="G627" s="341"/>
      <c r="H627" s="194"/>
    </row>
    <row r="628" spans="1:8" x14ac:dyDescent="0.25">
      <c r="A628" s="339"/>
      <c r="B628" s="340"/>
      <c r="C628" s="340"/>
      <c r="D628" s="341"/>
      <c r="E628" s="342"/>
      <c r="F628" s="343"/>
      <c r="G628" s="341"/>
      <c r="H628" s="194"/>
    </row>
    <row r="629" spans="1:8" x14ac:dyDescent="0.25">
      <c r="A629" s="339"/>
      <c r="B629" s="340"/>
      <c r="C629" s="340"/>
      <c r="D629" s="341"/>
      <c r="E629" s="342"/>
      <c r="F629" s="343"/>
      <c r="G629" s="341"/>
      <c r="H629" s="194"/>
    </row>
    <row r="630" spans="1:8" x14ac:dyDescent="0.25">
      <c r="A630" s="339"/>
      <c r="B630" s="340"/>
      <c r="C630" s="340"/>
      <c r="D630" s="341"/>
      <c r="E630" s="342"/>
      <c r="F630" s="343"/>
      <c r="G630" s="341"/>
      <c r="H630" s="194"/>
    </row>
    <row r="631" spans="1:8" x14ac:dyDescent="0.25">
      <c r="A631" s="339"/>
      <c r="B631" s="340"/>
      <c r="C631" s="340"/>
      <c r="D631" s="341"/>
      <c r="E631" s="342"/>
      <c r="F631" s="343"/>
      <c r="G631" s="341"/>
      <c r="H631" s="194"/>
    </row>
    <row r="632" spans="1:8" x14ac:dyDescent="0.25">
      <c r="A632" s="339"/>
      <c r="B632" s="340"/>
      <c r="C632" s="340"/>
      <c r="D632" s="341"/>
      <c r="E632" s="342"/>
      <c r="F632" s="343"/>
      <c r="G632" s="341"/>
      <c r="H632" s="194"/>
    </row>
    <row r="633" spans="1:8" x14ac:dyDescent="0.25">
      <c r="A633" s="339"/>
      <c r="B633" s="340"/>
      <c r="C633" s="340"/>
      <c r="D633" s="341"/>
      <c r="E633" s="342"/>
      <c r="F633" s="343"/>
      <c r="G633" s="341"/>
      <c r="H633" s="194"/>
    </row>
    <row r="634" spans="1:8" x14ac:dyDescent="0.25">
      <c r="A634" s="339"/>
      <c r="B634" s="340"/>
      <c r="C634" s="340"/>
      <c r="D634" s="341"/>
      <c r="E634" s="342"/>
      <c r="F634" s="343"/>
      <c r="G634" s="341"/>
      <c r="H634" s="194"/>
    </row>
    <row r="635" spans="1:8" x14ac:dyDescent="0.25">
      <c r="A635" s="339"/>
      <c r="B635" s="340"/>
      <c r="C635" s="340"/>
      <c r="D635" s="341"/>
      <c r="E635" s="342"/>
      <c r="F635" s="343"/>
      <c r="G635" s="341"/>
      <c r="H635" s="194"/>
    </row>
    <row r="636" spans="1:8" x14ac:dyDescent="0.25">
      <c r="A636" s="339"/>
      <c r="B636" s="340"/>
      <c r="C636" s="340"/>
      <c r="D636" s="341"/>
      <c r="E636" s="342"/>
      <c r="F636" s="343"/>
      <c r="G636" s="341"/>
      <c r="H636" s="194"/>
    </row>
    <row r="637" spans="1:8" x14ac:dyDescent="0.25">
      <c r="A637" s="339"/>
      <c r="B637" s="340"/>
      <c r="C637" s="340"/>
      <c r="D637" s="341"/>
      <c r="E637" s="342"/>
      <c r="F637" s="343"/>
      <c r="G637" s="341"/>
      <c r="H637" s="194"/>
    </row>
    <row r="638" spans="1:8" x14ac:dyDescent="0.25">
      <c r="A638" s="339"/>
      <c r="B638" s="340"/>
      <c r="C638" s="340"/>
      <c r="D638" s="341"/>
      <c r="E638" s="342"/>
      <c r="F638" s="343"/>
      <c r="G638" s="341"/>
      <c r="H638" s="194"/>
    </row>
    <row r="639" spans="1:8" x14ac:dyDescent="0.25">
      <c r="A639" s="339"/>
      <c r="B639" s="340"/>
      <c r="C639" s="340"/>
      <c r="D639" s="341"/>
      <c r="E639" s="342"/>
      <c r="F639" s="343"/>
      <c r="G639" s="341"/>
      <c r="H639" s="194"/>
    </row>
    <row r="640" spans="1:8" x14ac:dyDescent="0.25">
      <c r="A640" s="339"/>
      <c r="B640" s="340"/>
      <c r="C640" s="340"/>
      <c r="D640" s="341"/>
      <c r="E640" s="342"/>
      <c r="F640" s="343"/>
      <c r="G640" s="341"/>
      <c r="H640" s="194"/>
    </row>
    <row r="641" spans="1:8" x14ac:dyDescent="0.25">
      <c r="A641" s="339"/>
      <c r="B641" s="340"/>
      <c r="C641" s="340"/>
      <c r="D641" s="341"/>
      <c r="E641" s="342"/>
      <c r="F641" s="343"/>
      <c r="G641" s="341"/>
      <c r="H641" s="194"/>
    </row>
    <row r="642" spans="1:8" x14ac:dyDescent="0.25">
      <c r="A642" s="339"/>
      <c r="B642" s="340"/>
      <c r="C642" s="340"/>
      <c r="D642" s="341"/>
      <c r="E642" s="342"/>
      <c r="F642" s="343"/>
      <c r="G642" s="341"/>
      <c r="H642" s="194"/>
    </row>
    <row r="643" spans="1:8" x14ac:dyDescent="0.25">
      <c r="A643" s="339"/>
      <c r="B643" s="340"/>
      <c r="C643" s="340"/>
      <c r="D643" s="341"/>
      <c r="E643" s="342"/>
      <c r="F643" s="343"/>
      <c r="G643" s="341"/>
      <c r="H643" s="194"/>
    </row>
    <row r="644" spans="1:8" x14ac:dyDescent="0.25">
      <c r="A644" s="339"/>
      <c r="B644" s="340"/>
      <c r="C644" s="340"/>
      <c r="D644" s="341"/>
      <c r="E644" s="342"/>
      <c r="F644" s="343"/>
      <c r="G644" s="341"/>
      <c r="H644" s="194"/>
    </row>
    <row r="645" spans="1:8" x14ac:dyDescent="0.25">
      <c r="A645" s="339"/>
      <c r="B645" s="340"/>
      <c r="C645" s="340"/>
      <c r="D645" s="341"/>
      <c r="E645" s="342"/>
      <c r="F645" s="343"/>
      <c r="G645" s="341"/>
      <c r="H645" s="194"/>
    </row>
    <row r="646" spans="1:8" x14ac:dyDescent="0.25">
      <c r="A646" s="339"/>
      <c r="B646" s="340"/>
      <c r="C646" s="340"/>
      <c r="D646" s="341"/>
      <c r="E646" s="342"/>
      <c r="F646" s="343"/>
      <c r="G646" s="341"/>
      <c r="H646" s="194"/>
    </row>
    <row r="647" spans="1:8" x14ac:dyDescent="0.25">
      <c r="A647" s="339"/>
      <c r="B647" s="340"/>
      <c r="C647" s="340"/>
      <c r="D647" s="341"/>
      <c r="E647" s="342"/>
      <c r="F647" s="343"/>
      <c r="G647" s="341"/>
      <c r="H647" s="194"/>
    </row>
    <row r="648" spans="1:8" x14ac:dyDescent="0.25">
      <c r="A648" s="339"/>
      <c r="B648" s="340"/>
      <c r="C648" s="340"/>
      <c r="D648" s="341"/>
      <c r="E648" s="342"/>
      <c r="F648" s="343"/>
      <c r="G648" s="341"/>
      <c r="H648" s="194"/>
    </row>
    <row r="649" spans="1:8" x14ac:dyDescent="0.25">
      <c r="A649" s="339"/>
      <c r="B649" s="340"/>
      <c r="C649" s="340"/>
      <c r="D649" s="341"/>
      <c r="E649" s="342"/>
      <c r="F649" s="343"/>
      <c r="G649" s="341"/>
      <c r="H649" s="194"/>
    </row>
    <row r="650" spans="1:8" x14ac:dyDescent="0.25">
      <c r="A650" s="339"/>
      <c r="B650" s="340"/>
      <c r="C650" s="340"/>
      <c r="D650" s="341"/>
      <c r="E650" s="342"/>
      <c r="F650" s="343"/>
      <c r="G650" s="341"/>
      <c r="H650" s="194"/>
    </row>
    <row r="651" spans="1:8" x14ac:dyDescent="0.25">
      <c r="A651" s="339"/>
      <c r="B651" s="340"/>
      <c r="C651" s="340"/>
      <c r="D651" s="341"/>
      <c r="E651" s="342"/>
      <c r="F651" s="343"/>
      <c r="G651" s="341"/>
      <c r="H651" s="194"/>
    </row>
    <row r="652" spans="1:8" x14ac:dyDescent="0.25">
      <c r="A652" s="339"/>
      <c r="B652" s="340"/>
      <c r="C652" s="340"/>
      <c r="D652" s="341"/>
      <c r="E652" s="342"/>
      <c r="F652" s="343"/>
      <c r="G652" s="341"/>
      <c r="H652" s="194"/>
    </row>
    <row r="653" spans="1:8" x14ac:dyDescent="0.25">
      <c r="A653" s="339"/>
      <c r="B653" s="340"/>
      <c r="C653" s="340"/>
      <c r="D653" s="341"/>
      <c r="E653" s="342"/>
      <c r="F653" s="343"/>
      <c r="G653" s="341"/>
      <c r="H653" s="194"/>
    </row>
    <row r="654" spans="1:8" x14ac:dyDescent="0.25">
      <c r="A654" s="339"/>
      <c r="B654" s="340"/>
      <c r="C654" s="340"/>
      <c r="D654" s="341"/>
      <c r="E654" s="342"/>
      <c r="F654" s="343"/>
      <c r="G654" s="341"/>
      <c r="H654" s="194"/>
    </row>
    <row r="655" spans="1:8" x14ac:dyDescent="0.25">
      <c r="A655" s="339"/>
      <c r="B655" s="340"/>
      <c r="C655" s="340"/>
      <c r="D655" s="341"/>
      <c r="E655" s="342"/>
      <c r="F655" s="343"/>
      <c r="G655" s="341"/>
      <c r="H655" s="194"/>
    </row>
    <row r="656" spans="1:8" x14ac:dyDescent="0.25">
      <c r="A656" s="339"/>
      <c r="B656" s="340"/>
      <c r="C656" s="340"/>
      <c r="D656" s="341"/>
      <c r="E656" s="342"/>
      <c r="F656" s="343"/>
      <c r="G656" s="341"/>
      <c r="H656" s="194"/>
    </row>
    <row r="657" spans="1:8" x14ac:dyDescent="0.25">
      <c r="A657" s="339"/>
      <c r="B657" s="340"/>
      <c r="C657" s="340"/>
      <c r="D657" s="341"/>
      <c r="E657" s="342"/>
      <c r="F657" s="343"/>
      <c r="G657" s="341"/>
      <c r="H657" s="194"/>
    </row>
    <row r="658" spans="1:8" x14ac:dyDescent="0.25">
      <c r="A658" s="339"/>
      <c r="B658" s="340"/>
      <c r="C658" s="340"/>
      <c r="D658" s="341"/>
      <c r="E658" s="342"/>
      <c r="F658" s="343"/>
      <c r="G658" s="341"/>
      <c r="H658" s="194"/>
    </row>
    <row r="659" spans="1:8" x14ac:dyDescent="0.25">
      <c r="A659" s="339"/>
      <c r="B659" s="340"/>
      <c r="C659" s="340"/>
      <c r="D659" s="341"/>
      <c r="E659" s="342"/>
      <c r="F659" s="343"/>
      <c r="G659" s="341"/>
      <c r="H659" s="194"/>
    </row>
    <row r="660" spans="1:8" x14ac:dyDescent="0.25">
      <c r="A660" s="339"/>
      <c r="B660" s="340"/>
      <c r="C660" s="340"/>
      <c r="D660" s="341"/>
      <c r="E660" s="342"/>
      <c r="F660" s="343"/>
      <c r="G660" s="341"/>
      <c r="H660" s="194"/>
    </row>
    <row r="661" spans="1:8" x14ac:dyDescent="0.25">
      <c r="A661" s="339"/>
      <c r="B661" s="340"/>
      <c r="C661" s="340"/>
      <c r="D661" s="341"/>
      <c r="E661" s="342"/>
      <c r="F661" s="343"/>
      <c r="G661" s="341"/>
      <c r="H661" s="194"/>
    </row>
    <row r="662" spans="1:8" x14ac:dyDescent="0.25">
      <c r="A662" s="339"/>
      <c r="B662" s="340"/>
      <c r="C662" s="340"/>
      <c r="D662" s="341"/>
      <c r="E662" s="342"/>
      <c r="F662" s="343"/>
      <c r="G662" s="341"/>
      <c r="H662" s="194"/>
    </row>
    <row r="663" spans="1:8" x14ac:dyDescent="0.25">
      <c r="A663" s="339"/>
      <c r="B663" s="340"/>
      <c r="C663" s="340"/>
      <c r="D663" s="341"/>
      <c r="E663" s="342"/>
      <c r="F663" s="343"/>
      <c r="G663" s="341"/>
      <c r="H663" s="194"/>
    </row>
    <row r="664" spans="1:8" x14ac:dyDescent="0.25">
      <c r="A664" s="339"/>
      <c r="B664" s="340"/>
      <c r="C664" s="340"/>
      <c r="D664" s="341"/>
      <c r="E664" s="342"/>
      <c r="F664" s="343"/>
      <c r="G664" s="341"/>
      <c r="H664" s="194"/>
    </row>
    <row r="665" spans="1:8" x14ac:dyDescent="0.25">
      <c r="A665" s="339"/>
      <c r="B665" s="340"/>
      <c r="C665" s="340"/>
      <c r="D665" s="341"/>
      <c r="E665" s="342"/>
      <c r="F665" s="343"/>
      <c r="G665" s="341"/>
      <c r="H665" s="194"/>
    </row>
    <row r="666" spans="1:8" x14ac:dyDescent="0.25">
      <c r="A666" s="339"/>
      <c r="B666" s="340"/>
      <c r="C666" s="340"/>
      <c r="D666" s="341"/>
      <c r="E666" s="342"/>
      <c r="F666" s="343"/>
      <c r="G666" s="341"/>
      <c r="H666" s="194"/>
    </row>
    <row r="667" spans="1:8" x14ac:dyDescent="0.25">
      <c r="A667" s="339"/>
      <c r="B667" s="340"/>
      <c r="C667" s="340"/>
      <c r="D667" s="341"/>
      <c r="E667" s="342"/>
      <c r="F667" s="343"/>
      <c r="G667" s="341"/>
      <c r="H667" s="194"/>
    </row>
    <row r="668" spans="1:8" x14ac:dyDescent="0.25">
      <c r="A668" s="339"/>
      <c r="B668" s="340"/>
      <c r="C668" s="340"/>
      <c r="D668" s="341"/>
      <c r="E668" s="342"/>
      <c r="F668" s="343"/>
      <c r="G668" s="341"/>
      <c r="H668" s="194"/>
    </row>
    <row r="669" spans="1:8" x14ac:dyDescent="0.25">
      <c r="A669" s="339"/>
      <c r="B669" s="340"/>
      <c r="C669" s="340"/>
      <c r="D669" s="341"/>
      <c r="E669" s="342"/>
      <c r="F669" s="343"/>
      <c r="G669" s="341"/>
      <c r="H669" s="194"/>
    </row>
    <row r="670" spans="1:8" x14ac:dyDescent="0.25">
      <c r="A670" s="339"/>
      <c r="B670" s="340"/>
      <c r="C670" s="340"/>
      <c r="D670" s="341"/>
      <c r="E670" s="342"/>
      <c r="F670" s="343"/>
      <c r="G670" s="341"/>
      <c r="H670" s="194"/>
    </row>
    <row r="671" spans="1:8" x14ac:dyDescent="0.25">
      <c r="A671" s="339"/>
      <c r="B671" s="340"/>
      <c r="C671" s="340"/>
      <c r="D671" s="341"/>
      <c r="E671" s="342"/>
      <c r="F671" s="343"/>
      <c r="G671" s="341"/>
      <c r="H671" s="194"/>
    </row>
    <row r="672" spans="1:8" x14ac:dyDescent="0.25">
      <c r="A672" s="339"/>
      <c r="B672" s="340"/>
      <c r="C672" s="340"/>
      <c r="D672" s="341"/>
      <c r="E672" s="342"/>
      <c r="F672" s="343"/>
      <c r="G672" s="341"/>
      <c r="H672" s="194"/>
    </row>
    <row r="673" spans="1:8" x14ac:dyDescent="0.25">
      <c r="A673" s="339"/>
      <c r="B673" s="340"/>
      <c r="C673" s="340"/>
      <c r="D673" s="341"/>
      <c r="E673" s="342"/>
      <c r="F673" s="343"/>
      <c r="G673" s="341"/>
      <c r="H673" s="194"/>
    </row>
    <row r="674" spans="1:8" x14ac:dyDescent="0.25">
      <c r="A674" s="339"/>
      <c r="B674" s="340"/>
      <c r="C674" s="340"/>
      <c r="D674" s="341"/>
      <c r="E674" s="342"/>
      <c r="F674" s="343"/>
      <c r="G674" s="341"/>
      <c r="H674" s="194"/>
    </row>
    <row r="675" spans="1:8" x14ac:dyDescent="0.25">
      <c r="A675" s="339"/>
      <c r="B675" s="340"/>
      <c r="C675" s="340"/>
      <c r="D675" s="341"/>
      <c r="E675" s="342"/>
      <c r="F675" s="343"/>
      <c r="G675" s="341"/>
      <c r="H675" s="194"/>
    </row>
    <row r="676" spans="1:8" x14ac:dyDescent="0.25">
      <c r="A676" s="339"/>
      <c r="B676" s="340"/>
      <c r="C676" s="340"/>
      <c r="D676" s="341"/>
      <c r="E676" s="342"/>
      <c r="F676" s="343"/>
      <c r="G676" s="341"/>
      <c r="H676" s="194"/>
    </row>
    <row r="677" spans="1:8" x14ac:dyDescent="0.25">
      <c r="A677" s="339"/>
      <c r="B677" s="340"/>
      <c r="C677" s="340"/>
      <c r="D677" s="341"/>
      <c r="E677" s="342"/>
      <c r="F677" s="343"/>
      <c r="G677" s="341"/>
      <c r="H677" s="194"/>
    </row>
    <row r="678" spans="1:8" x14ac:dyDescent="0.25">
      <c r="A678" s="339"/>
      <c r="B678" s="340"/>
      <c r="C678" s="340"/>
      <c r="D678" s="341"/>
      <c r="E678" s="342"/>
      <c r="F678" s="343"/>
      <c r="G678" s="341"/>
      <c r="H678" s="194"/>
    </row>
    <row r="679" spans="1:8" x14ac:dyDescent="0.25">
      <c r="A679" s="339"/>
      <c r="B679" s="340"/>
      <c r="C679" s="340"/>
      <c r="D679" s="341"/>
      <c r="E679" s="342"/>
      <c r="F679" s="343"/>
      <c r="G679" s="341"/>
      <c r="H679" s="194"/>
    </row>
    <row r="680" spans="1:8" x14ac:dyDescent="0.25">
      <c r="A680" s="339"/>
      <c r="B680" s="340"/>
      <c r="C680" s="340"/>
      <c r="D680" s="341"/>
      <c r="E680" s="342"/>
      <c r="F680" s="343"/>
      <c r="G680" s="341"/>
      <c r="H680" s="194"/>
    </row>
    <row r="681" spans="1:8" x14ac:dyDescent="0.25">
      <c r="A681" s="339"/>
      <c r="B681" s="340"/>
      <c r="C681" s="340"/>
      <c r="D681" s="341"/>
      <c r="E681" s="342"/>
      <c r="F681" s="343"/>
      <c r="G681" s="341"/>
      <c r="H681" s="194"/>
    </row>
    <row r="682" spans="1:8" x14ac:dyDescent="0.25">
      <c r="A682" s="339"/>
      <c r="B682" s="340"/>
      <c r="C682" s="340"/>
      <c r="D682" s="341"/>
      <c r="E682" s="342"/>
      <c r="F682" s="343"/>
      <c r="G682" s="341"/>
      <c r="H682" s="194"/>
    </row>
    <row r="683" spans="1:8" x14ac:dyDescent="0.25">
      <c r="A683" s="339"/>
      <c r="B683" s="340"/>
      <c r="C683" s="340"/>
      <c r="D683" s="341"/>
      <c r="E683" s="342"/>
      <c r="F683" s="343"/>
      <c r="G683" s="341"/>
      <c r="H683" s="194"/>
    </row>
    <row r="684" spans="1:8" x14ac:dyDescent="0.25">
      <c r="A684" s="339"/>
      <c r="B684" s="340"/>
      <c r="C684" s="340"/>
      <c r="D684" s="341"/>
      <c r="E684" s="342"/>
      <c r="F684" s="343"/>
      <c r="G684" s="341"/>
      <c r="H684" s="194"/>
    </row>
    <row r="685" spans="1:8" x14ac:dyDescent="0.25">
      <c r="A685" s="339"/>
      <c r="B685" s="340"/>
      <c r="C685" s="340"/>
      <c r="D685" s="341"/>
      <c r="E685" s="342"/>
      <c r="F685" s="343"/>
      <c r="G685" s="341"/>
      <c r="H685" s="194"/>
    </row>
    <row r="686" spans="1:8" x14ac:dyDescent="0.25">
      <c r="A686" s="339"/>
      <c r="B686" s="340"/>
      <c r="C686" s="340"/>
      <c r="D686" s="341"/>
      <c r="E686" s="342"/>
      <c r="F686" s="343"/>
      <c r="G686" s="341"/>
      <c r="H686" s="194"/>
    </row>
    <row r="687" spans="1:8" x14ac:dyDescent="0.25">
      <c r="A687" s="339"/>
      <c r="B687" s="340"/>
      <c r="C687" s="340"/>
      <c r="D687" s="341"/>
      <c r="E687" s="342"/>
      <c r="F687" s="343"/>
      <c r="G687" s="341"/>
      <c r="H687" s="194"/>
    </row>
    <row r="688" spans="1:8" x14ac:dyDescent="0.25">
      <c r="A688" s="339"/>
      <c r="B688" s="340"/>
      <c r="C688" s="340"/>
      <c r="D688" s="341"/>
      <c r="E688" s="342"/>
      <c r="F688" s="343"/>
      <c r="G688" s="341"/>
      <c r="H688" s="194"/>
    </row>
    <row r="689" spans="1:8" x14ac:dyDescent="0.25">
      <c r="A689" s="339"/>
      <c r="B689" s="340"/>
      <c r="C689" s="340"/>
      <c r="D689" s="341"/>
      <c r="E689" s="342"/>
      <c r="F689" s="343"/>
      <c r="G689" s="341"/>
      <c r="H689" s="194"/>
    </row>
    <row r="690" spans="1:8" x14ac:dyDescent="0.25">
      <c r="A690" s="339"/>
      <c r="B690" s="340"/>
      <c r="C690" s="340"/>
      <c r="D690" s="341"/>
      <c r="E690" s="342"/>
      <c r="F690" s="343"/>
      <c r="G690" s="341"/>
      <c r="H690" s="194"/>
    </row>
    <row r="691" spans="1:8" x14ac:dyDescent="0.25">
      <c r="A691" s="339"/>
      <c r="B691" s="340"/>
      <c r="C691" s="340"/>
      <c r="D691" s="341"/>
      <c r="E691" s="342"/>
      <c r="F691" s="343"/>
      <c r="G691" s="341"/>
      <c r="H691" s="194"/>
    </row>
    <row r="692" spans="1:8" x14ac:dyDescent="0.25">
      <c r="A692" s="339"/>
      <c r="B692" s="340"/>
      <c r="C692" s="340"/>
      <c r="D692" s="341"/>
      <c r="E692" s="342"/>
      <c r="F692" s="343"/>
      <c r="G692" s="341"/>
      <c r="H692" s="194"/>
    </row>
    <row r="693" spans="1:8" x14ac:dyDescent="0.25">
      <c r="A693" s="339"/>
      <c r="B693" s="340"/>
      <c r="C693" s="340"/>
      <c r="D693" s="341"/>
      <c r="E693" s="342"/>
      <c r="F693" s="343"/>
      <c r="G693" s="341"/>
      <c r="H693" s="194"/>
    </row>
    <row r="694" spans="1:8" x14ac:dyDescent="0.25">
      <c r="A694" s="339"/>
      <c r="B694" s="340"/>
      <c r="C694" s="340"/>
      <c r="D694" s="341"/>
      <c r="E694" s="342"/>
      <c r="F694" s="343"/>
      <c r="G694" s="341"/>
      <c r="H694" s="194"/>
    </row>
    <row r="695" spans="1:8" x14ac:dyDescent="0.25">
      <c r="A695" s="339"/>
      <c r="B695" s="340"/>
      <c r="C695" s="340"/>
      <c r="D695" s="341"/>
      <c r="E695" s="342"/>
      <c r="F695" s="343"/>
      <c r="G695" s="341"/>
      <c r="H695" s="194"/>
    </row>
    <row r="696" spans="1:8" x14ac:dyDescent="0.25">
      <c r="A696" s="339"/>
      <c r="B696" s="340"/>
      <c r="C696" s="340"/>
      <c r="D696" s="341"/>
      <c r="E696" s="342"/>
      <c r="F696" s="343"/>
      <c r="G696" s="341"/>
      <c r="H696" s="194"/>
    </row>
    <row r="697" spans="1:8" x14ac:dyDescent="0.25">
      <c r="A697" s="339"/>
      <c r="B697" s="340"/>
      <c r="C697" s="340"/>
      <c r="D697" s="341"/>
      <c r="E697" s="342"/>
      <c r="F697" s="343"/>
      <c r="G697" s="341"/>
      <c r="H697" s="194"/>
    </row>
    <row r="698" spans="1:8" x14ac:dyDescent="0.25">
      <c r="A698" s="339"/>
      <c r="B698" s="340"/>
      <c r="C698" s="340"/>
      <c r="D698" s="341"/>
      <c r="E698" s="342"/>
      <c r="F698" s="343"/>
      <c r="G698" s="341"/>
      <c r="H698" s="194"/>
    </row>
    <row r="699" spans="1:8" x14ac:dyDescent="0.25">
      <c r="A699" s="339"/>
      <c r="B699" s="340"/>
      <c r="C699" s="340"/>
      <c r="D699" s="341"/>
      <c r="E699" s="342"/>
      <c r="F699" s="343"/>
      <c r="G699" s="341"/>
      <c r="H699" s="194"/>
    </row>
    <row r="700" spans="1:8" x14ac:dyDescent="0.25">
      <c r="A700" s="339"/>
      <c r="B700" s="340"/>
      <c r="C700" s="340"/>
      <c r="D700" s="341"/>
      <c r="E700" s="342"/>
      <c r="F700" s="343"/>
      <c r="G700" s="341"/>
      <c r="H700" s="194"/>
    </row>
    <row r="701" spans="1:8" x14ac:dyDescent="0.25">
      <c r="A701" s="339"/>
      <c r="B701" s="340"/>
      <c r="C701" s="340"/>
      <c r="D701" s="341"/>
      <c r="E701" s="342"/>
      <c r="F701" s="343"/>
      <c r="G701" s="341"/>
      <c r="H701" s="194"/>
    </row>
    <row r="702" spans="1:8" x14ac:dyDescent="0.25">
      <c r="A702" s="339"/>
      <c r="B702" s="340"/>
      <c r="C702" s="340"/>
      <c r="D702" s="341"/>
      <c r="E702" s="342"/>
      <c r="F702" s="343"/>
      <c r="G702" s="341"/>
      <c r="H702" s="194"/>
    </row>
    <row r="703" spans="1:8" x14ac:dyDescent="0.25">
      <c r="A703" s="339"/>
      <c r="B703" s="340"/>
      <c r="C703" s="340"/>
      <c r="D703" s="341"/>
      <c r="E703" s="342"/>
      <c r="F703" s="343"/>
      <c r="G703" s="341"/>
      <c r="H703" s="194"/>
    </row>
    <row r="704" spans="1:8" x14ac:dyDescent="0.25">
      <c r="A704" s="339"/>
      <c r="B704" s="340"/>
      <c r="C704" s="340"/>
      <c r="D704" s="341"/>
      <c r="E704" s="342"/>
      <c r="F704" s="343"/>
      <c r="G704" s="341"/>
      <c r="H704" s="194"/>
    </row>
    <row r="705" spans="1:8" x14ac:dyDescent="0.25">
      <c r="A705" s="339"/>
      <c r="B705" s="340"/>
      <c r="C705" s="340"/>
      <c r="D705" s="341"/>
      <c r="E705" s="342"/>
      <c r="F705" s="343"/>
      <c r="G705" s="341"/>
      <c r="H705" s="194"/>
    </row>
    <row r="706" spans="1:8" x14ac:dyDescent="0.25">
      <c r="A706" s="339"/>
      <c r="B706" s="340"/>
      <c r="C706" s="340"/>
      <c r="D706" s="341"/>
      <c r="E706" s="342"/>
      <c r="F706" s="343"/>
      <c r="G706" s="341"/>
      <c r="H706" s="194"/>
    </row>
    <row r="707" spans="1:8" x14ac:dyDescent="0.25">
      <c r="A707" s="339"/>
      <c r="B707" s="340"/>
      <c r="C707" s="340"/>
      <c r="D707" s="341"/>
      <c r="E707" s="342"/>
      <c r="F707" s="343"/>
      <c r="G707" s="341"/>
      <c r="H707" s="194"/>
    </row>
    <row r="708" spans="1:8" x14ac:dyDescent="0.25">
      <c r="A708" s="339"/>
      <c r="B708" s="340"/>
      <c r="C708" s="340"/>
      <c r="D708" s="341"/>
      <c r="E708" s="342"/>
      <c r="F708" s="343"/>
      <c r="G708" s="341"/>
      <c r="H708" s="194"/>
    </row>
    <row r="709" spans="1:8" x14ac:dyDescent="0.25">
      <c r="A709" s="339"/>
      <c r="B709" s="340"/>
      <c r="C709" s="340"/>
      <c r="D709" s="341"/>
      <c r="E709" s="342"/>
      <c r="F709" s="343"/>
      <c r="G709" s="341"/>
      <c r="H709" s="194"/>
    </row>
    <row r="710" spans="1:8" x14ac:dyDescent="0.25">
      <c r="A710" s="339"/>
      <c r="B710" s="340"/>
      <c r="C710" s="340"/>
      <c r="D710" s="341"/>
      <c r="E710" s="342"/>
      <c r="F710" s="343"/>
      <c r="G710" s="341"/>
      <c r="H710" s="194"/>
    </row>
    <row r="711" spans="1:8" x14ac:dyDescent="0.25">
      <c r="A711" s="339"/>
      <c r="B711" s="340"/>
      <c r="C711" s="340"/>
      <c r="D711" s="341"/>
      <c r="E711" s="342"/>
      <c r="F711" s="343"/>
      <c r="G711" s="341"/>
      <c r="H711" s="194"/>
    </row>
    <row r="712" spans="1:8" x14ac:dyDescent="0.25">
      <c r="A712" s="339"/>
      <c r="B712" s="340"/>
      <c r="C712" s="340"/>
      <c r="D712" s="341"/>
      <c r="E712" s="342"/>
      <c r="F712" s="343"/>
      <c r="G712" s="341"/>
      <c r="H712" s="194"/>
    </row>
    <row r="713" spans="1:8" x14ac:dyDescent="0.25">
      <c r="A713" s="339"/>
      <c r="B713" s="340"/>
      <c r="C713" s="340"/>
      <c r="D713" s="341"/>
      <c r="E713" s="342"/>
      <c r="F713" s="343"/>
      <c r="G713" s="341"/>
      <c r="H713" s="194"/>
    </row>
    <row r="714" spans="1:8" x14ac:dyDescent="0.25">
      <c r="A714" s="339"/>
      <c r="B714" s="340"/>
      <c r="C714" s="340"/>
      <c r="D714" s="341"/>
      <c r="E714" s="342"/>
      <c r="F714" s="343"/>
      <c r="G714" s="341"/>
      <c r="H714" s="194"/>
    </row>
    <row r="715" spans="1:8" x14ac:dyDescent="0.25">
      <c r="A715" s="339"/>
      <c r="B715" s="340"/>
      <c r="C715" s="340"/>
      <c r="D715" s="341"/>
      <c r="E715" s="342"/>
      <c r="F715" s="343"/>
      <c r="G715" s="341"/>
      <c r="H715" s="194"/>
    </row>
    <row r="716" spans="1:8" x14ac:dyDescent="0.25">
      <c r="A716" s="339"/>
      <c r="B716" s="340"/>
      <c r="C716" s="340"/>
      <c r="D716" s="341"/>
      <c r="E716" s="342"/>
      <c r="F716" s="343"/>
      <c r="G716" s="341"/>
      <c r="H716" s="194"/>
    </row>
    <row r="717" spans="1:8" x14ac:dyDescent="0.25">
      <c r="A717" s="339"/>
      <c r="B717" s="340"/>
      <c r="C717" s="340"/>
      <c r="D717" s="341"/>
      <c r="E717" s="342"/>
      <c r="F717" s="343"/>
      <c r="G717" s="341"/>
      <c r="H717" s="194"/>
    </row>
    <row r="718" spans="1:8" x14ac:dyDescent="0.25">
      <c r="A718" s="339"/>
      <c r="B718" s="340"/>
      <c r="C718" s="340"/>
      <c r="D718" s="341"/>
      <c r="E718" s="342"/>
      <c r="F718" s="343"/>
      <c r="G718" s="341"/>
      <c r="H718" s="194"/>
    </row>
    <row r="719" spans="1:8" x14ac:dyDescent="0.25">
      <c r="A719" s="339"/>
      <c r="B719" s="340"/>
      <c r="C719" s="340"/>
      <c r="D719" s="341"/>
      <c r="E719" s="342"/>
      <c r="F719" s="343"/>
      <c r="G719" s="341"/>
      <c r="H719" s="194"/>
    </row>
    <row r="720" spans="1:8" x14ac:dyDescent="0.25">
      <c r="A720" s="339"/>
      <c r="B720" s="340"/>
      <c r="C720" s="340"/>
      <c r="D720" s="341"/>
      <c r="E720" s="342"/>
      <c r="F720" s="343"/>
      <c r="G720" s="341"/>
      <c r="H720" s="194"/>
    </row>
    <row r="721" spans="1:8" x14ac:dyDescent="0.25">
      <c r="A721" s="339"/>
      <c r="B721" s="340"/>
      <c r="C721" s="340"/>
      <c r="D721" s="341"/>
      <c r="E721" s="342"/>
      <c r="F721" s="343"/>
      <c r="G721" s="341"/>
      <c r="H721" s="194"/>
    </row>
    <row r="722" spans="1:8" x14ac:dyDescent="0.25">
      <c r="A722" s="339"/>
      <c r="B722" s="340"/>
      <c r="C722" s="340"/>
      <c r="D722" s="341"/>
      <c r="E722" s="342"/>
      <c r="F722" s="343"/>
      <c r="G722" s="341"/>
      <c r="H722" s="194"/>
    </row>
    <row r="723" spans="1:8" x14ac:dyDescent="0.25">
      <c r="A723" s="339"/>
      <c r="B723" s="340"/>
      <c r="C723" s="340"/>
      <c r="D723" s="341"/>
      <c r="E723" s="342"/>
      <c r="F723" s="343"/>
      <c r="G723" s="341"/>
      <c r="H723" s="194"/>
    </row>
    <row r="724" spans="1:8" x14ac:dyDescent="0.25">
      <c r="A724" s="339"/>
      <c r="B724" s="340"/>
      <c r="C724" s="340"/>
      <c r="D724" s="341"/>
      <c r="E724" s="342"/>
      <c r="F724" s="343"/>
      <c r="G724" s="341"/>
      <c r="H724" s="194"/>
    </row>
    <row r="725" spans="1:8" x14ac:dyDescent="0.25">
      <c r="A725" s="339"/>
      <c r="B725" s="340"/>
      <c r="C725" s="340"/>
      <c r="D725" s="341"/>
      <c r="E725" s="342"/>
      <c r="F725" s="343"/>
      <c r="G725" s="341"/>
      <c r="H725" s="194"/>
    </row>
    <row r="726" spans="1:8" x14ac:dyDescent="0.25">
      <c r="A726" s="339"/>
      <c r="B726" s="340"/>
      <c r="C726" s="340"/>
      <c r="D726" s="341"/>
      <c r="E726" s="342"/>
      <c r="F726" s="343"/>
      <c r="G726" s="341"/>
      <c r="H726" s="194"/>
    </row>
    <row r="727" spans="1:8" x14ac:dyDescent="0.25">
      <c r="A727" s="339"/>
      <c r="B727" s="340"/>
      <c r="C727" s="340"/>
      <c r="D727" s="341"/>
      <c r="E727" s="342"/>
      <c r="F727" s="343"/>
      <c r="G727" s="341"/>
      <c r="H727" s="194"/>
    </row>
    <row r="728" spans="1:8" x14ac:dyDescent="0.25">
      <c r="A728" s="339"/>
      <c r="B728" s="340"/>
      <c r="C728" s="340"/>
      <c r="D728" s="341"/>
      <c r="E728" s="342"/>
      <c r="F728" s="343"/>
      <c r="G728" s="341"/>
      <c r="H728" s="194"/>
    </row>
    <row r="729" spans="1:8" x14ac:dyDescent="0.25">
      <c r="A729" s="339"/>
      <c r="B729" s="340"/>
      <c r="C729" s="340"/>
      <c r="D729" s="341"/>
      <c r="E729" s="342"/>
      <c r="F729" s="343"/>
      <c r="G729" s="341"/>
      <c r="H729" s="194"/>
    </row>
    <row r="730" spans="1:8" x14ac:dyDescent="0.25">
      <c r="A730" s="339"/>
      <c r="B730" s="340"/>
      <c r="C730" s="340"/>
      <c r="D730" s="341"/>
      <c r="E730" s="342"/>
      <c r="F730" s="343"/>
      <c r="G730" s="341"/>
      <c r="H730" s="194"/>
    </row>
    <row r="731" spans="1:8" x14ac:dyDescent="0.25">
      <c r="A731" s="339"/>
      <c r="B731" s="340"/>
      <c r="C731" s="340"/>
      <c r="D731" s="341"/>
      <c r="E731" s="342"/>
      <c r="F731" s="343"/>
      <c r="G731" s="341"/>
      <c r="H731" s="194"/>
    </row>
    <row r="732" spans="1:8" x14ac:dyDescent="0.25">
      <c r="A732" s="339"/>
      <c r="B732" s="340"/>
      <c r="C732" s="340"/>
      <c r="D732" s="341"/>
      <c r="E732" s="342"/>
      <c r="F732" s="343"/>
      <c r="G732" s="341"/>
      <c r="H732" s="194"/>
    </row>
    <row r="733" spans="1:8" x14ac:dyDescent="0.25">
      <c r="A733" s="339"/>
      <c r="B733" s="340"/>
      <c r="C733" s="340"/>
      <c r="D733" s="341"/>
      <c r="E733" s="342"/>
      <c r="F733" s="343"/>
      <c r="G733" s="341"/>
      <c r="H733" s="194"/>
    </row>
    <row r="734" spans="1:8" x14ac:dyDescent="0.25">
      <c r="A734" s="339"/>
      <c r="B734" s="340"/>
      <c r="C734" s="340"/>
      <c r="D734" s="341"/>
      <c r="E734" s="342"/>
      <c r="F734" s="343"/>
      <c r="G734" s="341"/>
      <c r="H734" s="194"/>
    </row>
    <row r="735" spans="1:8" x14ac:dyDescent="0.25">
      <c r="A735" s="339"/>
      <c r="B735" s="340"/>
      <c r="C735" s="340"/>
      <c r="D735" s="341"/>
      <c r="E735" s="342"/>
      <c r="F735" s="343"/>
      <c r="G735" s="341"/>
      <c r="H735" s="194"/>
    </row>
    <row r="736" spans="1:8" x14ac:dyDescent="0.25">
      <c r="A736" s="339"/>
      <c r="B736" s="340"/>
      <c r="C736" s="340"/>
      <c r="D736" s="341"/>
      <c r="E736" s="342"/>
      <c r="F736" s="343"/>
      <c r="G736" s="341"/>
      <c r="H736" s="194"/>
    </row>
    <row r="737" spans="1:8" x14ac:dyDescent="0.25">
      <c r="A737" s="339"/>
      <c r="B737" s="340"/>
      <c r="C737" s="340"/>
      <c r="D737" s="341"/>
      <c r="E737" s="342"/>
      <c r="F737" s="343"/>
      <c r="G737" s="341"/>
      <c r="H737" s="194"/>
    </row>
    <row r="738" spans="1:8" x14ac:dyDescent="0.25">
      <c r="A738" s="339"/>
      <c r="B738" s="340"/>
      <c r="C738" s="340"/>
      <c r="D738" s="341"/>
      <c r="E738" s="342"/>
      <c r="F738" s="343"/>
      <c r="G738" s="341"/>
      <c r="H738" s="194"/>
    </row>
    <row r="739" spans="1:8" x14ac:dyDescent="0.25">
      <c r="A739" s="339"/>
      <c r="B739" s="340"/>
      <c r="C739" s="340"/>
      <c r="D739" s="341"/>
      <c r="E739" s="342"/>
      <c r="F739" s="343"/>
      <c r="G739" s="341"/>
      <c r="H739" s="194"/>
    </row>
    <row r="740" spans="1:8" x14ac:dyDescent="0.25">
      <c r="A740" s="339"/>
      <c r="B740" s="340"/>
      <c r="C740" s="340"/>
      <c r="D740" s="341"/>
      <c r="E740" s="342"/>
      <c r="F740" s="343"/>
      <c r="G740" s="341"/>
      <c r="H740" s="194"/>
    </row>
    <row r="741" spans="1:8" x14ac:dyDescent="0.25">
      <c r="A741" s="339"/>
      <c r="B741" s="340"/>
      <c r="C741" s="340"/>
      <c r="D741" s="341"/>
      <c r="E741" s="342"/>
      <c r="F741" s="343"/>
      <c r="G741" s="341"/>
      <c r="H741" s="194"/>
    </row>
    <row r="742" spans="1:8" x14ac:dyDescent="0.25">
      <c r="A742" s="339"/>
      <c r="B742" s="340"/>
      <c r="C742" s="340"/>
      <c r="D742" s="341"/>
      <c r="E742" s="342"/>
      <c r="F742" s="343"/>
      <c r="G742" s="341"/>
      <c r="H742" s="194"/>
    </row>
    <row r="743" spans="1:8" x14ac:dyDescent="0.25">
      <c r="A743" s="339"/>
      <c r="B743" s="340"/>
      <c r="C743" s="340"/>
      <c r="D743" s="341"/>
      <c r="E743" s="342"/>
      <c r="F743" s="343"/>
      <c r="G743" s="341"/>
      <c r="H743" s="194"/>
    </row>
    <row r="744" spans="1:8" x14ac:dyDescent="0.25">
      <c r="A744" s="339"/>
      <c r="B744" s="340"/>
      <c r="C744" s="340"/>
      <c r="D744" s="341"/>
      <c r="E744" s="342"/>
      <c r="F744" s="343"/>
      <c r="G744" s="341"/>
      <c r="H744" s="194"/>
    </row>
    <row r="745" spans="1:8" x14ac:dyDescent="0.25">
      <c r="A745" s="339"/>
      <c r="B745" s="340"/>
      <c r="C745" s="340"/>
      <c r="D745" s="341"/>
      <c r="E745" s="342"/>
      <c r="F745" s="343"/>
      <c r="G745" s="341"/>
      <c r="H745" s="194"/>
    </row>
    <row r="746" spans="1:8" x14ac:dyDescent="0.25">
      <c r="A746" s="339"/>
      <c r="B746" s="340"/>
      <c r="C746" s="340"/>
      <c r="D746" s="341"/>
      <c r="E746" s="342"/>
      <c r="F746" s="343"/>
      <c r="G746" s="341"/>
      <c r="H746" s="194"/>
    </row>
    <row r="747" spans="1:8" x14ac:dyDescent="0.25">
      <c r="A747" s="339"/>
      <c r="B747" s="340"/>
      <c r="C747" s="340"/>
      <c r="D747" s="341"/>
      <c r="E747" s="342"/>
      <c r="F747" s="343"/>
      <c r="G747" s="341"/>
      <c r="H747" s="194"/>
    </row>
    <row r="748" spans="1:8" x14ac:dyDescent="0.25">
      <c r="A748" s="339"/>
      <c r="B748" s="340"/>
      <c r="C748" s="340"/>
      <c r="D748" s="341"/>
      <c r="E748" s="342"/>
      <c r="F748" s="343"/>
      <c r="G748" s="341"/>
      <c r="H748" s="194"/>
    </row>
    <row r="749" spans="1:8" x14ac:dyDescent="0.25">
      <c r="A749" s="339"/>
      <c r="B749" s="340"/>
      <c r="C749" s="340"/>
      <c r="D749" s="341"/>
      <c r="E749" s="342"/>
      <c r="F749" s="343"/>
      <c r="G749" s="341"/>
      <c r="H749" s="194"/>
    </row>
    <row r="750" spans="1:8" x14ac:dyDescent="0.25">
      <c r="A750" s="339"/>
      <c r="B750" s="340"/>
      <c r="C750" s="340"/>
      <c r="D750" s="341"/>
      <c r="E750" s="342"/>
      <c r="F750" s="343"/>
      <c r="G750" s="341"/>
      <c r="H750" s="194"/>
    </row>
    <row r="751" spans="1:8" x14ac:dyDescent="0.25">
      <c r="A751" s="339"/>
      <c r="B751" s="340"/>
      <c r="C751" s="340"/>
      <c r="D751" s="341"/>
      <c r="E751" s="342"/>
      <c r="F751" s="343"/>
      <c r="G751" s="341"/>
      <c r="H751" s="194"/>
    </row>
    <row r="752" spans="1:8" x14ac:dyDescent="0.25">
      <c r="A752" s="339"/>
      <c r="B752" s="340"/>
      <c r="C752" s="340"/>
      <c r="D752" s="341"/>
      <c r="E752" s="342"/>
      <c r="F752" s="343"/>
      <c r="G752" s="341"/>
      <c r="H752" s="194"/>
    </row>
    <row r="753" spans="1:8" x14ac:dyDescent="0.25">
      <c r="A753" s="339"/>
      <c r="B753" s="340"/>
      <c r="C753" s="340"/>
      <c r="D753" s="341"/>
      <c r="E753" s="342"/>
      <c r="F753" s="343"/>
      <c r="G753" s="341"/>
      <c r="H753" s="194"/>
    </row>
    <row r="754" spans="1:8" x14ac:dyDescent="0.25">
      <c r="A754" s="339"/>
      <c r="B754" s="340"/>
      <c r="C754" s="340"/>
      <c r="D754" s="341"/>
      <c r="E754" s="342"/>
      <c r="F754" s="343"/>
      <c r="G754" s="341"/>
      <c r="H754" s="194"/>
    </row>
    <row r="755" spans="1:8" x14ac:dyDescent="0.25">
      <c r="A755" s="339"/>
      <c r="B755" s="340"/>
      <c r="C755" s="340"/>
      <c r="D755" s="341"/>
      <c r="E755" s="342"/>
      <c r="F755" s="343"/>
      <c r="G755" s="341"/>
      <c r="H755" s="194"/>
    </row>
    <row r="756" spans="1:8" x14ac:dyDescent="0.25">
      <c r="A756" s="339"/>
      <c r="B756" s="340"/>
      <c r="C756" s="340"/>
      <c r="D756" s="341"/>
      <c r="E756" s="342"/>
      <c r="F756" s="343"/>
      <c r="G756" s="341"/>
      <c r="H756" s="194"/>
    </row>
    <row r="757" spans="1:8" x14ac:dyDescent="0.25">
      <c r="A757" s="339"/>
      <c r="B757" s="340"/>
      <c r="C757" s="340"/>
      <c r="D757" s="341"/>
      <c r="E757" s="342"/>
      <c r="F757" s="343"/>
      <c r="G757" s="341"/>
      <c r="H757" s="194"/>
    </row>
    <row r="758" spans="1:8" x14ac:dyDescent="0.25">
      <c r="A758" s="339"/>
      <c r="B758" s="340"/>
      <c r="C758" s="340"/>
      <c r="D758" s="341"/>
      <c r="E758" s="342"/>
      <c r="F758" s="343"/>
      <c r="G758" s="341"/>
      <c r="H758" s="194"/>
    </row>
    <row r="759" spans="1:8" x14ac:dyDescent="0.25">
      <c r="A759" s="339"/>
      <c r="B759" s="340"/>
      <c r="C759" s="340"/>
      <c r="D759" s="341"/>
      <c r="E759" s="342"/>
      <c r="F759" s="343"/>
      <c r="G759" s="341"/>
      <c r="H759" s="194"/>
    </row>
    <row r="760" spans="1:8" x14ac:dyDescent="0.25">
      <c r="A760" s="339"/>
      <c r="B760" s="340"/>
      <c r="C760" s="340"/>
      <c r="D760" s="341"/>
      <c r="E760" s="342"/>
      <c r="F760" s="343"/>
      <c r="G760" s="341"/>
      <c r="H760" s="194"/>
    </row>
    <row r="761" spans="1:8" x14ac:dyDescent="0.25">
      <c r="A761" s="339"/>
      <c r="B761" s="340"/>
      <c r="C761" s="340"/>
      <c r="D761" s="341"/>
      <c r="E761" s="342"/>
      <c r="F761" s="343"/>
      <c r="G761" s="341"/>
      <c r="H761" s="194"/>
    </row>
    <row r="762" spans="1:8" x14ac:dyDescent="0.25">
      <c r="A762" s="339"/>
      <c r="B762" s="340"/>
      <c r="C762" s="340"/>
      <c r="D762" s="341"/>
      <c r="E762" s="342"/>
      <c r="F762" s="343"/>
      <c r="G762" s="341"/>
      <c r="H762" s="194"/>
    </row>
    <row r="763" spans="1:8" x14ac:dyDescent="0.25">
      <c r="A763" s="339"/>
      <c r="B763" s="340"/>
      <c r="C763" s="340"/>
      <c r="D763" s="341"/>
      <c r="E763" s="342"/>
      <c r="F763" s="343"/>
      <c r="G763" s="341"/>
      <c r="H763" s="194"/>
    </row>
    <row r="764" spans="1:8" x14ac:dyDescent="0.25">
      <c r="A764" s="339"/>
      <c r="B764" s="340"/>
      <c r="C764" s="340"/>
      <c r="D764" s="341"/>
      <c r="E764" s="342"/>
      <c r="F764" s="343"/>
      <c r="G764" s="341"/>
      <c r="H764" s="194"/>
    </row>
    <row r="765" spans="1:8" x14ac:dyDescent="0.25">
      <c r="A765" s="339"/>
      <c r="B765" s="340"/>
      <c r="C765" s="340"/>
      <c r="D765" s="341"/>
      <c r="E765" s="342"/>
      <c r="F765" s="343"/>
      <c r="G765" s="341"/>
      <c r="H765" s="194"/>
    </row>
    <row r="766" spans="1:8" x14ac:dyDescent="0.25">
      <c r="A766" s="339"/>
      <c r="B766" s="340"/>
      <c r="C766" s="340"/>
      <c r="D766" s="341"/>
      <c r="E766" s="342"/>
      <c r="F766" s="343"/>
      <c r="G766" s="341"/>
      <c r="H766" s="194"/>
    </row>
    <row r="767" spans="1:8" x14ac:dyDescent="0.25">
      <c r="A767" s="339"/>
      <c r="B767" s="340"/>
      <c r="C767" s="340"/>
      <c r="D767" s="341"/>
      <c r="E767" s="342"/>
      <c r="F767" s="343"/>
      <c r="G767" s="341"/>
      <c r="H767" s="194"/>
    </row>
    <row r="768" spans="1:8" x14ac:dyDescent="0.25">
      <c r="A768" s="339"/>
      <c r="B768" s="340"/>
      <c r="C768" s="340"/>
      <c r="D768" s="341"/>
      <c r="E768" s="342"/>
      <c r="F768" s="343"/>
      <c r="G768" s="341"/>
      <c r="H768" s="194"/>
    </row>
    <row r="769" spans="1:8" x14ac:dyDescent="0.25">
      <c r="A769" s="339"/>
      <c r="B769" s="340"/>
      <c r="C769" s="340"/>
      <c r="D769" s="341"/>
      <c r="E769" s="342"/>
      <c r="F769" s="343"/>
      <c r="G769" s="341"/>
      <c r="H769" s="194"/>
    </row>
    <row r="770" spans="1:8" x14ac:dyDescent="0.25">
      <c r="A770" s="339"/>
      <c r="B770" s="340"/>
      <c r="C770" s="340"/>
      <c r="D770" s="341"/>
      <c r="E770" s="342"/>
      <c r="F770" s="343"/>
      <c r="G770" s="341"/>
      <c r="H770" s="194"/>
    </row>
    <row r="771" spans="1:8" x14ac:dyDescent="0.25">
      <c r="A771" s="339"/>
      <c r="B771" s="340"/>
      <c r="C771" s="340"/>
      <c r="D771" s="341"/>
      <c r="E771" s="342"/>
      <c r="F771" s="343"/>
      <c r="G771" s="341"/>
      <c r="H771" s="194"/>
    </row>
    <row r="772" spans="1:8" x14ac:dyDescent="0.25">
      <c r="A772" s="339"/>
      <c r="B772" s="340"/>
      <c r="C772" s="340"/>
      <c r="D772" s="341"/>
      <c r="E772" s="342"/>
      <c r="F772" s="343"/>
      <c r="G772" s="341"/>
      <c r="H772" s="194"/>
    </row>
    <row r="773" spans="1:8" x14ac:dyDescent="0.25">
      <c r="A773" s="339"/>
      <c r="B773" s="340"/>
      <c r="C773" s="340"/>
      <c r="D773" s="341"/>
      <c r="E773" s="342"/>
      <c r="F773" s="343"/>
      <c r="G773" s="341"/>
      <c r="H773" s="194"/>
    </row>
    <row r="774" spans="1:8" x14ac:dyDescent="0.25">
      <c r="A774" s="339"/>
      <c r="B774" s="340"/>
      <c r="C774" s="340"/>
      <c r="D774" s="341"/>
      <c r="E774" s="342"/>
      <c r="F774" s="343"/>
      <c r="G774" s="341"/>
      <c r="H774" s="194"/>
    </row>
    <row r="775" spans="1:8" x14ac:dyDescent="0.25">
      <c r="A775" s="339"/>
      <c r="B775" s="340"/>
      <c r="C775" s="340"/>
      <c r="D775" s="341"/>
      <c r="E775" s="342"/>
      <c r="F775" s="343"/>
      <c r="G775" s="341"/>
      <c r="H775" s="194"/>
    </row>
    <row r="776" spans="1:8" x14ac:dyDescent="0.25">
      <c r="A776" s="339"/>
      <c r="B776" s="340"/>
      <c r="C776" s="340"/>
      <c r="D776" s="341"/>
      <c r="E776" s="342"/>
      <c r="F776" s="343"/>
      <c r="G776" s="341"/>
      <c r="H776" s="194"/>
    </row>
    <row r="777" spans="1:8" x14ac:dyDescent="0.25">
      <c r="A777" s="339"/>
      <c r="B777" s="340"/>
      <c r="C777" s="340"/>
      <c r="D777" s="341"/>
      <c r="E777" s="342"/>
      <c r="F777" s="343"/>
      <c r="G777" s="341"/>
      <c r="H777" s="194"/>
    </row>
    <row r="778" spans="1:8" x14ac:dyDescent="0.25">
      <c r="A778" s="339"/>
      <c r="B778" s="340"/>
      <c r="C778" s="340"/>
      <c r="D778" s="341"/>
      <c r="E778" s="342"/>
      <c r="F778" s="343"/>
      <c r="G778" s="341"/>
      <c r="H778" s="194"/>
    </row>
    <row r="779" spans="1:8" x14ac:dyDescent="0.25">
      <c r="A779" s="339"/>
      <c r="B779" s="340"/>
      <c r="C779" s="340"/>
      <c r="D779" s="341"/>
      <c r="E779" s="342"/>
      <c r="F779" s="343"/>
      <c r="G779" s="341"/>
      <c r="H779" s="194"/>
    </row>
    <row r="780" spans="1:8" x14ac:dyDescent="0.25">
      <c r="A780" s="339"/>
      <c r="B780" s="340"/>
      <c r="C780" s="340"/>
      <c r="D780" s="341"/>
      <c r="E780" s="342"/>
      <c r="F780" s="343"/>
      <c r="G780" s="341"/>
      <c r="H780" s="194"/>
    </row>
    <row r="781" spans="1:8" x14ac:dyDescent="0.25">
      <c r="A781" s="339"/>
      <c r="B781" s="340"/>
      <c r="C781" s="340"/>
      <c r="D781" s="341"/>
      <c r="E781" s="342"/>
      <c r="F781" s="343"/>
      <c r="G781" s="341"/>
      <c r="H781" s="194"/>
    </row>
    <row r="782" spans="1:8" x14ac:dyDescent="0.25">
      <c r="A782" s="339"/>
      <c r="B782" s="340"/>
      <c r="C782" s="340"/>
      <c r="D782" s="341"/>
      <c r="E782" s="342"/>
      <c r="F782" s="343"/>
      <c r="G782" s="341"/>
      <c r="H782" s="194"/>
    </row>
    <row r="783" spans="1:8" x14ac:dyDescent="0.25">
      <c r="A783" s="339"/>
      <c r="B783" s="340"/>
      <c r="C783" s="340"/>
      <c r="D783" s="341"/>
      <c r="E783" s="342"/>
      <c r="F783" s="343"/>
      <c r="G783" s="341"/>
      <c r="H783" s="194"/>
    </row>
    <row r="784" spans="1:8" x14ac:dyDescent="0.25">
      <c r="A784" s="339"/>
      <c r="B784" s="340"/>
      <c r="C784" s="340"/>
      <c r="D784" s="341"/>
      <c r="E784" s="342"/>
      <c r="F784" s="343"/>
      <c r="G784" s="341"/>
      <c r="H784" s="194"/>
    </row>
    <row r="785" spans="1:8" x14ac:dyDescent="0.25">
      <c r="A785" s="339"/>
      <c r="B785" s="340"/>
      <c r="C785" s="340"/>
      <c r="D785" s="341"/>
      <c r="E785" s="342"/>
      <c r="F785" s="343"/>
      <c r="G785" s="341"/>
      <c r="H785" s="194"/>
    </row>
    <row r="786" spans="1:8" x14ac:dyDescent="0.25">
      <c r="A786" s="339"/>
      <c r="B786" s="340"/>
      <c r="C786" s="340"/>
      <c r="D786" s="341"/>
      <c r="E786" s="342"/>
      <c r="F786" s="343"/>
      <c r="G786" s="341"/>
      <c r="H786" s="194"/>
    </row>
    <row r="787" spans="1:8" x14ac:dyDescent="0.25">
      <c r="A787" s="339"/>
      <c r="B787" s="340"/>
      <c r="C787" s="340"/>
      <c r="D787" s="341"/>
      <c r="E787" s="342"/>
      <c r="F787" s="343"/>
      <c r="G787" s="341"/>
      <c r="H787" s="194"/>
    </row>
    <row r="788" spans="1:8" x14ac:dyDescent="0.25">
      <c r="A788" s="339"/>
      <c r="B788" s="340"/>
      <c r="C788" s="340"/>
      <c r="D788" s="341"/>
      <c r="E788" s="342"/>
      <c r="F788" s="343"/>
      <c r="G788" s="341"/>
      <c r="H788" s="194"/>
    </row>
    <row r="789" spans="1:8" x14ac:dyDescent="0.25">
      <c r="A789" s="339"/>
      <c r="B789" s="340"/>
      <c r="C789" s="340"/>
      <c r="D789" s="341"/>
      <c r="E789" s="342"/>
      <c r="F789" s="343"/>
      <c r="G789" s="341"/>
      <c r="H789" s="194"/>
    </row>
  </sheetData>
  <mergeCells count="4">
    <mergeCell ref="A1:F1"/>
    <mergeCell ref="A2:F2"/>
    <mergeCell ref="A5:A6"/>
    <mergeCell ref="A344:A345"/>
  </mergeCells>
  <conditionalFormatting sqref="A491">
    <cfRule type="cellIs" dxfId="471" priority="11" operator="equal">
      <formula>"x"</formula>
    </cfRule>
  </conditionalFormatting>
  <conditionalFormatting sqref="D142:D143 D64:D65 D145:D147 D67:D102">
    <cfRule type="cellIs" dxfId="470" priority="10" operator="notEqual">
      <formula>#REF!</formula>
    </cfRule>
  </conditionalFormatting>
  <conditionalFormatting sqref="A491">
    <cfRule type="iconSet" priority="9">
      <iconSet iconSet="3Flags" showValue="0">
        <cfvo type="percent" val="0"/>
        <cfvo type="num" val="0"/>
        <cfvo type="num" val="1"/>
      </iconSet>
    </cfRule>
  </conditionalFormatting>
  <conditionalFormatting sqref="D157:D161 D163:D172">
    <cfRule type="cellIs" dxfId="469" priority="8" operator="notEqual">
      <formula>#REF!</formula>
    </cfRule>
  </conditionalFormatting>
  <conditionalFormatting sqref="H320">
    <cfRule type="cellIs" dxfId="468" priority="7" operator="notEqual">
      <formula>A320</formula>
    </cfRule>
  </conditionalFormatting>
  <conditionalFormatting sqref="D148:D150 D153">
    <cfRule type="cellIs" dxfId="467" priority="6" operator="notEqual">
      <formula>#REF!</formula>
    </cfRule>
  </conditionalFormatting>
  <conditionalFormatting sqref="D151">
    <cfRule type="cellIs" dxfId="466" priority="5" operator="notEqual">
      <formula>#REF!</formula>
    </cfRule>
  </conditionalFormatting>
  <conditionalFormatting sqref="D144">
    <cfRule type="cellIs" dxfId="465" priority="4" operator="notEqual">
      <formula>#REF!</formula>
    </cfRule>
  </conditionalFormatting>
  <conditionalFormatting sqref="D162">
    <cfRule type="cellIs" dxfId="464" priority="3" operator="notEqual">
      <formula>#REF!</formula>
    </cfRule>
  </conditionalFormatting>
  <conditionalFormatting sqref="D152">
    <cfRule type="cellIs" dxfId="463" priority="2" operator="notEqual">
      <formula>#REF!</formula>
    </cfRule>
  </conditionalFormatting>
  <conditionalFormatting sqref="D154">
    <cfRule type="cellIs" dxfId="462" priority="1" operator="notEqual">
      <formula>#REF!</formula>
    </cfRule>
  </conditionalFormatting>
  <pageMargins left="0.7" right="0.7" top="0.78740157499999996" bottom="0.78740157499999996" header="0.3" footer="0.3"/>
  <pageSetup paperSize="9" orientation="portrait"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K503"/>
  <sheetViews>
    <sheetView topLeftCell="A136" workbookViewId="0">
      <selection activeCell="I23" sqref="I23"/>
    </sheetView>
  </sheetViews>
  <sheetFormatPr defaultColWidth="9.140625" defaultRowHeight="15.75" x14ac:dyDescent="0.25"/>
  <cols>
    <col min="1" max="1" width="11.28515625" style="305" customWidth="1"/>
    <col min="2" max="2" width="90" style="45" customWidth="1"/>
    <col min="3" max="3" width="17.5703125" style="45" customWidth="1"/>
    <col min="4" max="4" width="16.7109375" style="45" bestFit="1" customWidth="1"/>
    <col min="5" max="5" width="15.28515625" style="306" bestFit="1" customWidth="1"/>
    <col min="6" max="6" width="17.140625" style="306" customWidth="1"/>
    <col min="7" max="7" width="22" style="269" customWidth="1"/>
    <col min="8" max="8" width="24.5703125" style="45" customWidth="1"/>
    <col min="9" max="9" width="25" style="45" bestFit="1" customWidth="1"/>
    <col min="10" max="10" width="17" style="45" customWidth="1"/>
    <col min="11" max="11" width="13.85546875" style="45" bestFit="1" customWidth="1"/>
    <col min="12" max="12" width="9.85546875" style="45" bestFit="1" customWidth="1"/>
    <col min="13" max="13" width="9.140625" style="45"/>
    <col min="14" max="14" width="13.85546875" style="45" bestFit="1" customWidth="1"/>
    <col min="15" max="16384" width="9.140625" style="45"/>
  </cols>
  <sheetData>
    <row r="1" spans="1:7" ht="22.5" x14ac:dyDescent="0.3">
      <c r="A1" s="689" t="s">
        <v>0</v>
      </c>
      <c r="B1" s="689"/>
      <c r="C1" s="689"/>
      <c r="D1" s="689"/>
      <c r="E1" s="689"/>
      <c r="F1" s="689"/>
    </row>
    <row r="2" spans="1:7" ht="22.5" x14ac:dyDescent="0.3">
      <c r="A2" s="689" t="s">
        <v>261</v>
      </c>
      <c r="B2" s="689"/>
      <c r="C2" s="689"/>
      <c r="D2" s="689"/>
      <c r="E2" s="689"/>
      <c r="F2" s="689"/>
    </row>
    <row r="3" spans="1:7" ht="22.5" x14ac:dyDescent="0.3">
      <c r="A3" s="354"/>
      <c r="B3" s="270"/>
      <c r="C3" s="271"/>
      <c r="D3" s="354"/>
      <c r="E3" s="354"/>
      <c r="F3" s="354"/>
    </row>
    <row r="4" spans="1:7" ht="23.25" thickBot="1" x14ac:dyDescent="0.35">
      <c r="A4" s="354"/>
      <c r="B4" s="354"/>
      <c r="C4" s="354"/>
      <c r="D4" s="354"/>
      <c r="E4" s="354"/>
      <c r="F4" s="269"/>
    </row>
    <row r="5" spans="1:7" x14ac:dyDescent="0.25">
      <c r="A5" s="690" t="s">
        <v>193</v>
      </c>
      <c r="B5" s="5"/>
      <c r="C5" s="5"/>
      <c r="D5" s="117"/>
      <c r="E5" s="266"/>
      <c r="F5" s="266"/>
      <c r="G5" s="79"/>
    </row>
    <row r="6" spans="1:7" ht="16.5" thickBot="1" x14ac:dyDescent="0.3">
      <c r="A6" s="691"/>
      <c r="B6" s="10" t="s">
        <v>2</v>
      </c>
      <c r="C6" s="10" t="s">
        <v>3</v>
      </c>
      <c r="D6" s="118" t="s">
        <v>4</v>
      </c>
      <c r="E6" s="267" t="s">
        <v>5</v>
      </c>
      <c r="F6" s="267" t="s">
        <v>6</v>
      </c>
    </row>
    <row r="7" spans="1:7" x14ac:dyDescent="0.25">
      <c r="A7" s="43"/>
      <c r="B7" s="273" t="s">
        <v>8</v>
      </c>
      <c r="C7" s="27">
        <f>+SUM(C8:C11)</f>
        <v>5902.2090000000007</v>
      </c>
      <c r="D7" s="27">
        <f>+SUM(D8:D11)</f>
        <v>2181537</v>
      </c>
      <c r="E7" s="67"/>
      <c r="F7" s="277"/>
      <c r="G7" s="45"/>
    </row>
    <row r="8" spans="1:7" x14ac:dyDescent="0.25">
      <c r="A8" s="43"/>
      <c r="B8" s="107" t="s">
        <v>9</v>
      </c>
      <c r="C8" s="21">
        <v>111.04</v>
      </c>
      <c r="D8" s="21">
        <v>55520</v>
      </c>
      <c r="E8" s="268">
        <v>92241</v>
      </c>
      <c r="F8" s="277" t="s">
        <v>10</v>
      </c>
      <c r="G8" s="45"/>
    </row>
    <row r="9" spans="1:7" x14ac:dyDescent="0.25">
      <c r="A9" s="43"/>
      <c r="B9" s="107" t="s">
        <v>11</v>
      </c>
      <c r="C9" s="21">
        <v>2001.1780000000001</v>
      </c>
      <c r="D9" s="21">
        <f>108171+109620+15221+509931+48588+64784+72882+72882</f>
        <v>1002079</v>
      </c>
      <c r="E9" s="268">
        <v>92241</v>
      </c>
      <c r="F9" s="277" t="s">
        <v>10</v>
      </c>
      <c r="G9" s="45"/>
    </row>
    <row r="10" spans="1:7" x14ac:dyDescent="0.25">
      <c r="A10" s="43"/>
      <c r="B10" s="107" t="s">
        <v>12</v>
      </c>
      <c r="C10" s="21">
        <v>1575.905</v>
      </c>
      <c r="D10" s="21">
        <v>345411</v>
      </c>
      <c r="E10" s="268">
        <v>92241</v>
      </c>
      <c r="F10" s="277" t="s">
        <v>10</v>
      </c>
      <c r="G10" s="45"/>
    </row>
    <row r="11" spans="1:7" x14ac:dyDescent="0.25">
      <c r="A11" s="43"/>
      <c r="B11" s="107" t="s">
        <v>13</v>
      </c>
      <c r="C11" s="21">
        <v>2214.0859999999998</v>
      </c>
      <c r="D11" s="21">
        <v>778527</v>
      </c>
      <c r="E11" s="268">
        <v>92241</v>
      </c>
      <c r="F11" s="277" t="s">
        <v>10</v>
      </c>
      <c r="G11" s="45"/>
    </row>
    <row r="12" spans="1:7" x14ac:dyDescent="0.25">
      <c r="A12" s="272"/>
      <c r="B12" s="107"/>
      <c r="C12" s="21"/>
      <c r="D12" s="21"/>
      <c r="E12" s="268"/>
      <c r="F12" s="277"/>
      <c r="G12" s="45"/>
    </row>
    <row r="13" spans="1:7" x14ac:dyDescent="0.25">
      <c r="A13" s="272"/>
      <c r="B13" s="273" t="s">
        <v>14</v>
      </c>
      <c r="C13" s="31">
        <f>+SUM(C14:C16)</f>
        <v>35.180390000000003</v>
      </c>
      <c r="D13" s="31">
        <f>+SUM(D14:D16)</f>
        <v>35180.39</v>
      </c>
      <c r="E13" s="268"/>
      <c r="F13" s="277"/>
      <c r="G13" s="45"/>
    </row>
    <row r="14" spans="1:7" x14ac:dyDescent="0.25">
      <c r="A14" s="272">
        <v>42117</v>
      </c>
      <c r="B14" s="276" t="s">
        <v>146</v>
      </c>
      <c r="C14" s="21">
        <v>33.306150000000002</v>
      </c>
      <c r="D14" s="21">
        <v>33306.15</v>
      </c>
      <c r="E14" s="268">
        <v>90001</v>
      </c>
      <c r="F14" s="277">
        <v>4113</v>
      </c>
      <c r="G14" s="45"/>
    </row>
    <row r="15" spans="1:7" x14ac:dyDescent="0.25">
      <c r="A15" s="272"/>
      <c r="B15" s="276" t="s">
        <v>168</v>
      </c>
      <c r="C15" s="21">
        <v>1.8742399999999999</v>
      </c>
      <c r="D15" s="21">
        <v>1874.24</v>
      </c>
      <c r="E15" s="268">
        <v>90001</v>
      </c>
      <c r="F15" s="277">
        <v>4113</v>
      </c>
      <c r="G15" s="45"/>
    </row>
    <row r="16" spans="1:7" x14ac:dyDescent="0.25">
      <c r="A16" s="272"/>
      <c r="B16" s="276"/>
      <c r="C16" s="21"/>
      <c r="D16" s="21"/>
      <c r="E16" s="268"/>
      <c r="F16" s="277">
        <v>4113</v>
      </c>
      <c r="G16" s="45"/>
    </row>
    <row r="17" spans="1:11" x14ac:dyDescent="0.25">
      <c r="A17" s="272"/>
      <c r="B17" s="273" t="s">
        <v>15</v>
      </c>
      <c r="C17" s="31">
        <f>+C18</f>
        <v>4.5358200000000002</v>
      </c>
      <c r="D17" s="31">
        <f>+D18</f>
        <v>4535.82</v>
      </c>
      <c r="E17" s="268"/>
      <c r="F17" s="277"/>
      <c r="G17" s="45"/>
    </row>
    <row r="18" spans="1:11" x14ac:dyDescent="0.25">
      <c r="A18" s="272"/>
      <c r="B18" s="107" t="s">
        <v>16</v>
      </c>
      <c r="C18" s="21">
        <v>4.5358200000000002</v>
      </c>
      <c r="D18" s="21">
        <v>4535.82</v>
      </c>
      <c r="E18" s="268">
        <v>89450</v>
      </c>
      <c r="F18" s="277">
        <v>4113</v>
      </c>
      <c r="G18" s="45"/>
    </row>
    <row r="19" spans="1:11" x14ac:dyDescent="0.25">
      <c r="A19" s="272"/>
      <c r="B19" s="278"/>
      <c r="C19" s="21"/>
      <c r="D19" s="163"/>
      <c r="E19" s="279"/>
      <c r="F19" s="268"/>
      <c r="G19" s="45"/>
    </row>
    <row r="20" spans="1:11" s="275" customFormat="1" x14ac:dyDescent="0.25">
      <c r="A20" s="272"/>
      <c r="B20" s="273" t="s">
        <v>17</v>
      </c>
      <c r="C20" s="273">
        <f>SUM(C21:C40)</f>
        <v>21355.135999999999</v>
      </c>
      <c r="D20" s="31">
        <f>SUM(D21:D40)</f>
        <v>10500875</v>
      </c>
      <c r="E20" s="280"/>
      <c r="F20" s="281"/>
      <c r="G20" s="45"/>
      <c r="H20" s="45"/>
      <c r="I20" s="45"/>
      <c r="J20" s="45"/>
    </row>
    <row r="21" spans="1:11" x14ac:dyDescent="0.25">
      <c r="A21" s="43">
        <v>42053</v>
      </c>
      <c r="B21" s="107" t="s">
        <v>37</v>
      </c>
      <c r="C21" s="282">
        <v>3744</v>
      </c>
      <c r="D21" s="20">
        <v>3744000</v>
      </c>
      <c r="E21" s="108">
        <v>13010</v>
      </c>
      <c r="F21" s="277">
        <v>4116</v>
      </c>
      <c r="G21" s="45"/>
    </row>
    <row r="22" spans="1:11" x14ac:dyDescent="0.25">
      <c r="A22" s="272">
        <v>42123</v>
      </c>
      <c r="B22" s="107" t="s">
        <v>37</v>
      </c>
      <c r="C22" s="21">
        <v>8</v>
      </c>
      <c r="D22" s="20">
        <v>8000</v>
      </c>
      <c r="E22" s="108">
        <v>13010</v>
      </c>
      <c r="F22" s="277">
        <v>4116</v>
      </c>
      <c r="G22" s="45"/>
    </row>
    <row r="23" spans="1:11" x14ac:dyDescent="0.25">
      <c r="A23" s="272">
        <v>42152</v>
      </c>
      <c r="B23" s="107" t="s">
        <v>37</v>
      </c>
      <c r="C23" s="21">
        <v>12</v>
      </c>
      <c r="D23" s="20">
        <v>12000</v>
      </c>
      <c r="E23" s="108">
        <v>13010</v>
      </c>
      <c r="F23" s="277">
        <v>4116</v>
      </c>
      <c r="G23" s="45"/>
    </row>
    <row r="24" spans="1:11" s="275" customFormat="1" x14ac:dyDescent="0.25">
      <c r="A24" s="272">
        <v>42184</v>
      </c>
      <c r="B24" s="107" t="s">
        <v>37</v>
      </c>
      <c r="C24" s="21">
        <v>0</v>
      </c>
      <c r="D24" s="20">
        <v>44000</v>
      </c>
      <c r="E24" s="108">
        <v>13010</v>
      </c>
      <c r="F24" s="277">
        <v>4116</v>
      </c>
      <c r="G24" s="45"/>
      <c r="H24" s="45"/>
      <c r="I24" s="45"/>
      <c r="J24" s="45"/>
      <c r="K24" s="45"/>
    </row>
    <row r="25" spans="1:11" x14ac:dyDescent="0.25">
      <c r="A25" s="43"/>
      <c r="B25" s="107" t="s">
        <v>97</v>
      </c>
      <c r="C25" s="21">
        <v>267</v>
      </c>
      <c r="D25" s="21">
        <v>234369</v>
      </c>
      <c r="E25" s="108">
        <v>13101</v>
      </c>
      <c r="F25" s="277">
        <v>4116</v>
      </c>
      <c r="G25" s="45"/>
    </row>
    <row r="26" spans="1:11" x14ac:dyDescent="0.25">
      <c r="A26" s="43"/>
      <c r="B26" s="107" t="s">
        <v>65</v>
      </c>
      <c r="C26" s="21">
        <f>42+22</f>
        <v>64</v>
      </c>
      <c r="D26" s="21">
        <f>40896+16866</f>
        <v>57762</v>
      </c>
      <c r="E26" s="108">
        <v>13101</v>
      </c>
      <c r="F26" s="277" t="s">
        <v>18</v>
      </c>
      <c r="G26" s="45"/>
    </row>
    <row r="27" spans="1:11" x14ac:dyDescent="0.25">
      <c r="A27" s="43"/>
      <c r="B27" s="107" t="s">
        <v>98</v>
      </c>
      <c r="C27" s="21">
        <v>305.11</v>
      </c>
      <c r="D27" s="21">
        <v>365528</v>
      </c>
      <c r="E27" s="283">
        <v>13101</v>
      </c>
      <c r="F27" s="284">
        <v>4116</v>
      </c>
      <c r="G27" s="45"/>
    </row>
    <row r="28" spans="1:11" s="275" customFormat="1" x14ac:dyDescent="0.25">
      <c r="A28" s="272"/>
      <c r="B28" s="107" t="s">
        <v>99</v>
      </c>
      <c r="C28" s="21">
        <v>22</v>
      </c>
      <c r="D28" s="21">
        <v>22000</v>
      </c>
      <c r="E28" s="283">
        <v>13101</v>
      </c>
      <c r="F28" s="284">
        <v>4116</v>
      </c>
      <c r="G28" s="45"/>
      <c r="H28" s="45"/>
      <c r="I28" s="45"/>
      <c r="J28" s="45"/>
      <c r="K28" s="45"/>
    </row>
    <row r="29" spans="1:11" s="275" customFormat="1" x14ac:dyDescent="0.25">
      <c r="A29" s="272"/>
      <c r="B29" s="107" t="s">
        <v>19</v>
      </c>
      <c r="C29" s="20">
        <v>60</v>
      </c>
      <c r="D29" s="21">
        <v>24643</v>
      </c>
      <c r="E29" s="108">
        <v>13234</v>
      </c>
      <c r="F29" s="277">
        <v>4116</v>
      </c>
      <c r="G29" s="45"/>
      <c r="H29" s="45"/>
      <c r="I29" s="45"/>
      <c r="J29" s="45"/>
      <c r="K29" s="45"/>
    </row>
    <row r="30" spans="1:11" s="275" customFormat="1" x14ac:dyDescent="0.25">
      <c r="A30" s="272"/>
      <c r="B30" s="107" t="s">
        <v>20</v>
      </c>
      <c r="C30" s="20">
        <v>290</v>
      </c>
      <c r="D30" s="21">
        <v>130975</v>
      </c>
      <c r="E30" s="108">
        <v>13234</v>
      </c>
      <c r="F30" s="277">
        <v>4116</v>
      </c>
      <c r="G30" s="45"/>
      <c r="H30" s="45"/>
      <c r="I30" s="45"/>
      <c r="J30" s="45"/>
      <c r="K30" s="45"/>
    </row>
    <row r="31" spans="1:11" s="275" customFormat="1" x14ac:dyDescent="0.25">
      <c r="A31" s="272"/>
      <c r="B31" s="107" t="s">
        <v>23</v>
      </c>
      <c r="C31" s="20">
        <v>71.3</v>
      </c>
      <c r="D31" s="21">
        <v>71094</v>
      </c>
      <c r="E31" s="108">
        <v>13234</v>
      </c>
      <c r="F31" s="277">
        <v>4116</v>
      </c>
      <c r="G31" s="45"/>
      <c r="H31" s="45"/>
      <c r="I31" s="45"/>
      <c r="J31" s="45"/>
      <c r="K31" s="45"/>
    </row>
    <row r="32" spans="1:11" s="275" customFormat="1" x14ac:dyDescent="0.25">
      <c r="A32" s="272"/>
      <c r="B32" s="107" t="s">
        <v>22</v>
      </c>
      <c r="C32" s="20">
        <v>264</v>
      </c>
      <c r="D32" s="21">
        <v>132000</v>
      </c>
      <c r="E32" s="108">
        <v>13234</v>
      </c>
      <c r="F32" s="277">
        <v>4116</v>
      </c>
      <c r="G32" s="45"/>
      <c r="H32" s="45"/>
      <c r="I32" s="45"/>
      <c r="J32" s="45"/>
      <c r="K32" s="45"/>
    </row>
    <row r="33" spans="1:11" s="275" customFormat="1" x14ac:dyDescent="0.25">
      <c r="A33" s="272"/>
      <c r="B33" s="107" t="s">
        <v>67</v>
      </c>
      <c r="C33" s="20">
        <v>171.72</v>
      </c>
      <c r="D33" s="21">
        <f>86069+44000+41655</f>
        <v>171724</v>
      </c>
      <c r="E33" s="108">
        <v>13234</v>
      </c>
      <c r="F33" s="277">
        <v>4116</v>
      </c>
      <c r="G33" s="160"/>
      <c r="H33" s="45"/>
      <c r="I33" s="45"/>
      <c r="J33" s="45"/>
      <c r="K33" s="45"/>
    </row>
    <row r="34" spans="1:11" s="275" customFormat="1" x14ac:dyDescent="0.25">
      <c r="A34" s="272"/>
      <c r="B34" s="107" t="s">
        <v>265</v>
      </c>
      <c r="C34" s="20">
        <v>1705.0060000000001</v>
      </c>
      <c r="D34" s="21">
        <v>420489</v>
      </c>
      <c r="E34" s="108">
        <v>13234</v>
      </c>
      <c r="F34" s="277">
        <v>4116</v>
      </c>
      <c r="G34" s="45"/>
      <c r="H34" s="45"/>
      <c r="I34" s="45"/>
      <c r="J34" s="45"/>
      <c r="K34" s="45"/>
    </row>
    <row r="35" spans="1:11" s="275" customFormat="1" x14ac:dyDescent="0.25">
      <c r="A35" s="272"/>
      <c r="B35" s="107" t="s">
        <v>26</v>
      </c>
      <c r="C35" s="115"/>
      <c r="D35" s="21">
        <v>211441</v>
      </c>
      <c r="E35" s="108">
        <v>13234</v>
      </c>
      <c r="F35" s="277">
        <v>4116</v>
      </c>
      <c r="G35" s="45"/>
      <c r="H35" s="45"/>
      <c r="I35" s="45"/>
      <c r="J35" s="45"/>
      <c r="K35" s="45"/>
    </row>
    <row r="36" spans="1:11" x14ac:dyDescent="0.25">
      <c r="A36" s="43"/>
      <c r="B36" s="107" t="s">
        <v>28</v>
      </c>
      <c r="C36" s="20">
        <v>5376</v>
      </c>
      <c r="D36" s="21">
        <v>1308770</v>
      </c>
      <c r="E36" s="283">
        <v>13234</v>
      </c>
      <c r="F36" s="277">
        <v>4116</v>
      </c>
      <c r="G36" s="45"/>
    </row>
    <row r="37" spans="1:11" s="275" customFormat="1" x14ac:dyDescent="0.25">
      <c r="A37" s="272"/>
      <c r="B37" s="107" t="s">
        <v>24</v>
      </c>
      <c r="C37" s="20">
        <v>8590</v>
      </c>
      <c r="D37" s="21">
        <v>3397732</v>
      </c>
      <c r="E37" s="108">
        <v>13234</v>
      </c>
      <c r="F37" s="277">
        <v>4116</v>
      </c>
      <c r="G37" s="45"/>
      <c r="H37" s="45"/>
      <c r="I37" s="45"/>
      <c r="J37" s="45"/>
      <c r="K37" s="45"/>
    </row>
    <row r="38" spans="1:11" x14ac:dyDescent="0.25">
      <c r="A38" s="43"/>
      <c r="B38" s="107" t="s">
        <v>66</v>
      </c>
      <c r="C38" s="20">
        <f>55+98</f>
        <v>153</v>
      </c>
      <c r="D38" s="21">
        <v>60133</v>
      </c>
      <c r="E38" s="283">
        <v>13234</v>
      </c>
      <c r="F38" s="284">
        <v>4116</v>
      </c>
      <c r="G38" s="45"/>
    </row>
    <row r="39" spans="1:11" x14ac:dyDescent="0.25">
      <c r="A39" s="43"/>
      <c r="B39" s="107" t="s">
        <v>31</v>
      </c>
      <c r="C39" s="20">
        <v>252</v>
      </c>
      <c r="D39" s="21">
        <v>79731</v>
      </c>
      <c r="E39" s="283">
        <v>13234</v>
      </c>
      <c r="F39" s="284">
        <v>4116</v>
      </c>
      <c r="G39" s="45"/>
    </row>
    <row r="40" spans="1:11" x14ac:dyDescent="0.25">
      <c r="A40" s="43"/>
      <c r="B40" s="107" t="s">
        <v>21</v>
      </c>
      <c r="C40" s="21"/>
      <c r="D40" s="21">
        <v>4484</v>
      </c>
      <c r="E40" s="283">
        <v>13234</v>
      </c>
      <c r="F40" s="277" t="s">
        <v>18</v>
      </c>
      <c r="G40" s="45"/>
    </row>
    <row r="41" spans="1:11" x14ac:dyDescent="0.25">
      <c r="A41" s="43"/>
      <c r="B41" s="44"/>
      <c r="C41" s="282"/>
      <c r="D41" s="21"/>
      <c r="E41" s="283"/>
      <c r="F41" s="284"/>
      <c r="G41" s="45"/>
    </row>
    <row r="42" spans="1:11" x14ac:dyDescent="0.25">
      <c r="A42" s="43"/>
      <c r="B42" s="285" t="s">
        <v>116</v>
      </c>
      <c r="C42" s="40">
        <f>+SUM(C43:C44)</f>
        <v>36.299999999999997</v>
      </c>
      <c r="D42" s="40">
        <f>+SUM(D43:D44)</f>
        <v>36300</v>
      </c>
      <c r="E42" s="277"/>
      <c r="F42" s="284"/>
      <c r="G42" s="45"/>
    </row>
    <row r="43" spans="1:11" x14ac:dyDescent="0.25">
      <c r="A43" s="43">
        <v>42066</v>
      </c>
      <c r="B43" s="107" t="s">
        <v>115</v>
      </c>
      <c r="C43" s="21">
        <v>36.299999999999997</v>
      </c>
      <c r="D43" s="20">
        <v>36300</v>
      </c>
      <c r="E43" s="286">
        <v>27003</v>
      </c>
      <c r="F43" s="284">
        <v>4116</v>
      </c>
      <c r="G43" s="45"/>
    </row>
    <row r="44" spans="1:11" x14ac:dyDescent="0.25">
      <c r="A44" s="287"/>
      <c r="B44" s="107"/>
      <c r="C44" s="21"/>
      <c r="D44" s="21"/>
      <c r="E44" s="284"/>
      <c r="F44" s="284"/>
      <c r="G44" s="45"/>
    </row>
    <row r="45" spans="1:11" x14ac:dyDescent="0.25">
      <c r="A45" s="43"/>
      <c r="B45" s="285" t="s">
        <v>33</v>
      </c>
      <c r="C45" s="40">
        <f>+SUM(C46:C67)</f>
        <v>3872</v>
      </c>
      <c r="D45" s="40">
        <f>+SUM(D46:D67)</f>
        <v>17072000</v>
      </c>
      <c r="E45" s="277"/>
      <c r="F45" s="284"/>
      <c r="G45" s="45"/>
    </row>
    <row r="46" spans="1:11" x14ac:dyDescent="0.25">
      <c r="A46" s="43">
        <v>42086</v>
      </c>
      <c r="B46" s="107" t="s">
        <v>122</v>
      </c>
      <c r="C46" s="21">
        <v>80</v>
      </c>
      <c r="D46" s="20">
        <v>80000</v>
      </c>
      <c r="E46" s="277">
        <v>34070</v>
      </c>
      <c r="F46" s="277">
        <v>4116</v>
      </c>
      <c r="G46" s="45"/>
    </row>
    <row r="47" spans="1:11" x14ac:dyDescent="0.25">
      <c r="A47" s="43">
        <v>42116</v>
      </c>
      <c r="B47" s="107" t="s">
        <v>266</v>
      </c>
      <c r="C47" s="21">
        <v>25</v>
      </c>
      <c r="D47" s="20">
        <v>25000</v>
      </c>
      <c r="E47" s="277">
        <v>34070</v>
      </c>
      <c r="F47" s="277">
        <v>4116</v>
      </c>
      <c r="G47" s="45"/>
    </row>
    <row r="48" spans="1:11" x14ac:dyDescent="0.25">
      <c r="A48" s="43">
        <v>42116</v>
      </c>
      <c r="B48" s="107" t="s">
        <v>143</v>
      </c>
      <c r="C48" s="21">
        <v>18</v>
      </c>
      <c r="D48" s="20">
        <v>18000</v>
      </c>
      <c r="E48" s="277">
        <v>34070</v>
      </c>
      <c r="F48" s="277">
        <v>4116</v>
      </c>
      <c r="G48" s="45"/>
    </row>
    <row r="49" spans="1:7" x14ac:dyDescent="0.25">
      <c r="A49" s="43">
        <v>42116</v>
      </c>
      <c r="B49" s="107" t="s">
        <v>173</v>
      </c>
      <c r="C49" s="21">
        <v>20</v>
      </c>
      <c r="D49" s="20">
        <v>20000</v>
      </c>
      <c r="E49" s="277">
        <v>34070</v>
      </c>
      <c r="F49" s="277">
        <v>4116</v>
      </c>
      <c r="G49" s="45"/>
    </row>
    <row r="50" spans="1:7" x14ac:dyDescent="0.25">
      <c r="A50" s="43">
        <v>42128</v>
      </c>
      <c r="B50" s="107" t="s">
        <v>172</v>
      </c>
      <c r="C50" s="21">
        <v>45</v>
      </c>
      <c r="D50" s="20">
        <v>45000</v>
      </c>
      <c r="E50" s="277">
        <v>34053</v>
      </c>
      <c r="F50" s="277">
        <v>4116</v>
      </c>
      <c r="G50" s="45"/>
    </row>
    <row r="51" spans="1:7" x14ac:dyDescent="0.25">
      <c r="A51" s="43">
        <v>42135</v>
      </c>
      <c r="B51" s="107" t="s">
        <v>175</v>
      </c>
      <c r="C51" s="21">
        <v>600</v>
      </c>
      <c r="D51" s="20">
        <v>600000</v>
      </c>
      <c r="E51" s="277">
        <v>34070</v>
      </c>
      <c r="F51" s="277">
        <v>4116</v>
      </c>
      <c r="G51" s="45"/>
    </row>
    <row r="52" spans="1:7" x14ac:dyDescent="0.25">
      <c r="A52" s="43">
        <v>42135</v>
      </c>
      <c r="B52" s="107" t="s">
        <v>176</v>
      </c>
      <c r="C52" s="21">
        <v>70</v>
      </c>
      <c r="D52" s="20">
        <v>70000</v>
      </c>
      <c r="E52" s="277">
        <v>34070</v>
      </c>
      <c r="F52" s="277">
        <v>4116</v>
      </c>
      <c r="G52" s="45"/>
    </row>
    <row r="53" spans="1:7" x14ac:dyDescent="0.25">
      <c r="A53" s="43">
        <v>42136</v>
      </c>
      <c r="B53" s="107" t="s">
        <v>177</v>
      </c>
      <c r="C53" s="21">
        <v>120</v>
      </c>
      <c r="D53" s="20">
        <v>120000</v>
      </c>
      <c r="E53" s="277">
        <v>34070</v>
      </c>
      <c r="F53" s="277">
        <v>4116</v>
      </c>
      <c r="G53" s="45"/>
    </row>
    <row r="54" spans="1:7" x14ac:dyDescent="0.25">
      <c r="A54" s="43">
        <v>42136</v>
      </c>
      <c r="B54" s="107" t="s">
        <v>178</v>
      </c>
      <c r="C54" s="21">
        <v>340</v>
      </c>
      <c r="D54" s="20">
        <v>340000</v>
      </c>
      <c r="E54" s="277">
        <v>34070</v>
      </c>
      <c r="F54" s="277">
        <v>4116</v>
      </c>
      <c r="G54" s="45"/>
    </row>
    <row r="55" spans="1:7" x14ac:dyDescent="0.25">
      <c r="A55" s="43">
        <v>42136</v>
      </c>
      <c r="B55" s="107" t="s">
        <v>179</v>
      </c>
      <c r="C55" s="21">
        <v>320</v>
      </c>
      <c r="D55" s="20">
        <v>320000</v>
      </c>
      <c r="E55" s="277">
        <v>34070</v>
      </c>
      <c r="F55" s="277">
        <v>4116</v>
      </c>
      <c r="G55" s="45"/>
    </row>
    <row r="56" spans="1:7" x14ac:dyDescent="0.25">
      <c r="A56" s="43">
        <v>42143</v>
      </c>
      <c r="B56" s="107" t="s">
        <v>194</v>
      </c>
      <c r="C56" s="21">
        <v>95</v>
      </c>
      <c r="D56" s="20">
        <v>95000</v>
      </c>
      <c r="E56" s="277">
        <v>34070</v>
      </c>
      <c r="F56" s="277">
        <v>4116</v>
      </c>
      <c r="G56" s="45"/>
    </row>
    <row r="57" spans="1:7" x14ac:dyDescent="0.25">
      <c r="A57" s="43">
        <v>42143</v>
      </c>
      <c r="B57" s="107" t="s">
        <v>195</v>
      </c>
      <c r="C57" s="21">
        <v>30</v>
      </c>
      <c r="D57" s="20">
        <v>30000</v>
      </c>
      <c r="E57" s="277">
        <v>34194</v>
      </c>
      <c r="F57" s="277">
        <v>4116</v>
      </c>
      <c r="G57" s="45"/>
    </row>
    <row r="58" spans="1:7" x14ac:dyDescent="0.25">
      <c r="A58" s="43">
        <v>42143</v>
      </c>
      <c r="B58" s="107" t="s">
        <v>197</v>
      </c>
      <c r="C58" s="21">
        <v>750</v>
      </c>
      <c r="D58" s="20">
        <v>750000</v>
      </c>
      <c r="E58" s="277">
        <v>34070</v>
      </c>
      <c r="F58" s="277">
        <v>4116</v>
      </c>
      <c r="G58" s="45"/>
    </row>
    <row r="59" spans="1:7" x14ac:dyDescent="0.25">
      <c r="A59" s="43">
        <v>42144</v>
      </c>
      <c r="B59" s="107" t="s">
        <v>199</v>
      </c>
      <c r="C59" s="21">
        <v>64</v>
      </c>
      <c r="D59" s="20">
        <v>64000</v>
      </c>
      <c r="E59" s="277">
        <v>34053</v>
      </c>
      <c r="F59" s="277">
        <v>4116</v>
      </c>
      <c r="G59" s="45"/>
    </row>
    <row r="60" spans="1:7" x14ac:dyDescent="0.25">
      <c r="A60" s="43">
        <v>42144</v>
      </c>
      <c r="B60" s="107" t="s">
        <v>198</v>
      </c>
      <c r="C60" s="21">
        <v>45</v>
      </c>
      <c r="D60" s="20">
        <v>45000</v>
      </c>
      <c r="E60" s="277">
        <v>34053</v>
      </c>
      <c r="F60" s="277">
        <v>4116</v>
      </c>
      <c r="G60" s="45"/>
    </row>
    <row r="61" spans="1:7" x14ac:dyDescent="0.25">
      <c r="A61" s="43">
        <v>42164</v>
      </c>
      <c r="B61" s="107" t="s">
        <v>241</v>
      </c>
      <c r="C61" s="21">
        <v>1200</v>
      </c>
      <c r="D61" s="20">
        <v>1200000</v>
      </c>
      <c r="E61" s="277">
        <v>34352</v>
      </c>
      <c r="F61" s="277">
        <v>4116</v>
      </c>
      <c r="G61" s="45"/>
    </row>
    <row r="62" spans="1:7" x14ac:dyDescent="0.25">
      <c r="A62" s="43">
        <v>42172</v>
      </c>
      <c r="B62" s="107" t="s">
        <v>270</v>
      </c>
      <c r="C62" s="21">
        <v>0</v>
      </c>
      <c r="D62" s="20">
        <v>740000</v>
      </c>
      <c r="E62" s="277">
        <v>34352</v>
      </c>
      <c r="F62" s="277">
        <v>4116</v>
      </c>
      <c r="G62" s="45"/>
    </row>
    <row r="63" spans="1:7" x14ac:dyDescent="0.25">
      <c r="A63" s="43">
        <v>42172</v>
      </c>
      <c r="B63" s="107" t="s">
        <v>269</v>
      </c>
      <c r="C63" s="21">
        <v>0</v>
      </c>
      <c r="D63" s="20">
        <v>2745000</v>
      </c>
      <c r="E63" s="277">
        <v>34352</v>
      </c>
      <c r="F63" s="277">
        <v>4116</v>
      </c>
      <c r="G63" s="45"/>
    </row>
    <row r="64" spans="1:7" x14ac:dyDescent="0.25">
      <c r="A64" s="43">
        <v>42172</v>
      </c>
      <c r="B64" s="107" t="s">
        <v>268</v>
      </c>
      <c r="C64" s="21">
        <v>0</v>
      </c>
      <c r="D64" s="20">
        <v>2580000</v>
      </c>
      <c r="E64" s="277">
        <v>34352</v>
      </c>
      <c r="F64" s="277">
        <v>4116</v>
      </c>
      <c r="G64" s="45"/>
    </row>
    <row r="65" spans="1:7" x14ac:dyDescent="0.25">
      <c r="A65" s="43">
        <v>42178</v>
      </c>
      <c r="B65" s="107" t="s">
        <v>242</v>
      </c>
      <c r="C65" s="21">
        <v>0</v>
      </c>
      <c r="D65" s="20">
        <v>7135000</v>
      </c>
      <c r="E65" s="277">
        <v>34352</v>
      </c>
      <c r="F65" s="277">
        <v>4116</v>
      </c>
      <c r="G65" s="45"/>
    </row>
    <row r="66" spans="1:7" x14ac:dyDescent="0.25">
      <c r="A66" s="43"/>
      <c r="B66" s="107" t="s">
        <v>267</v>
      </c>
      <c r="C66" s="21">
        <v>50</v>
      </c>
      <c r="D66" s="21">
        <v>50000</v>
      </c>
      <c r="E66" s="277">
        <v>34273</v>
      </c>
      <c r="F66" s="277">
        <v>4116</v>
      </c>
      <c r="G66" s="45"/>
    </row>
    <row r="67" spans="1:7" x14ac:dyDescent="0.25">
      <c r="A67" s="43"/>
      <c r="B67" s="107"/>
      <c r="C67" s="21"/>
      <c r="D67" s="21"/>
      <c r="E67" s="277"/>
      <c r="F67" s="277"/>
      <c r="G67" s="45"/>
    </row>
    <row r="68" spans="1:7" x14ac:dyDescent="0.25">
      <c r="A68" s="43"/>
      <c r="B68" s="285" t="s">
        <v>34</v>
      </c>
      <c r="C68" s="40">
        <f>SUM(C69:C76)</f>
        <v>13937.582200000001</v>
      </c>
      <c r="D68" s="39">
        <f>SUM(D69:D76)</f>
        <v>14619513.619999999</v>
      </c>
      <c r="E68" s="277"/>
      <c r="F68" s="284"/>
      <c r="G68" s="45"/>
    </row>
    <row r="69" spans="1:7" x14ac:dyDescent="0.25">
      <c r="A69" s="43">
        <v>42054</v>
      </c>
      <c r="B69" s="107" t="s">
        <v>68</v>
      </c>
      <c r="C69" s="53">
        <v>972.54641000000004</v>
      </c>
      <c r="D69" s="52">
        <v>972546.41</v>
      </c>
      <c r="E69" s="277">
        <v>33019</v>
      </c>
      <c r="F69" s="284" t="s">
        <v>18</v>
      </c>
      <c r="G69" s="45"/>
    </row>
    <row r="70" spans="1:7" x14ac:dyDescent="0.25">
      <c r="A70" s="43">
        <v>42081</v>
      </c>
      <c r="B70" s="107" t="s">
        <v>117</v>
      </c>
      <c r="C70" s="53">
        <v>192</v>
      </c>
      <c r="D70" s="350">
        <v>192000</v>
      </c>
      <c r="E70" s="277">
        <v>33339</v>
      </c>
      <c r="F70" s="284">
        <v>4116</v>
      </c>
      <c r="G70" s="45"/>
    </row>
    <row r="71" spans="1:7" x14ac:dyDescent="0.25">
      <c r="A71" s="43">
        <v>42116</v>
      </c>
      <c r="B71" s="107" t="s">
        <v>145</v>
      </c>
      <c r="C71" s="53">
        <v>417.25607000000002</v>
      </c>
      <c r="D71" s="350">
        <f>354667.65+62588.42</f>
        <v>417256.07</v>
      </c>
      <c r="E71" s="277">
        <v>33019</v>
      </c>
      <c r="F71" s="284">
        <v>4116</v>
      </c>
      <c r="G71" s="45"/>
    </row>
    <row r="72" spans="1:7" x14ac:dyDescent="0.25">
      <c r="A72" s="43">
        <v>42117</v>
      </c>
      <c r="B72" s="107" t="s">
        <v>148</v>
      </c>
      <c r="C72" s="53">
        <v>6858.8674300000002</v>
      </c>
      <c r="D72" s="351">
        <v>6858867.4299999997</v>
      </c>
      <c r="E72" s="277">
        <v>33019</v>
      </c>
      <c r="F72" s="284">
        <v>4116</v>
      </c>
      <c r="G72" s="45"/>
    </row>
    <row r="73" spans="1:7" x14ac:dyDescent="0.25">
      <c r="A73" s="43">
        <v>42131</v>
      </c>
      <c r="B73" s="107" t="s">
        <v>174</v>
      </c>
      <c r="C73" s="53">
        <v>592.21028999999999</v>
      </c>
      <c r="D73" s="350">
        <v>592210.29</v>
      </c>
      <c r="E73" s="67">
        <v>33019</v>
      </c>
      <c r="F73" s="284">
        <v>4116</v>
      </c>
      <c r="G73" s="45"/>
    </row>
    <row r="74" spans="1:7" x14ac:dyDescent="0.25">
      <c r="A74" s="43">
        <v>42138</v>
      </c>
      <c r="B74" s="107" t="s">
        <v>148</v>
      </c>
      <c r="C74" s="53">
        <v>4904.7020000000002</v>
      </c>
      <c r="D74" s="350">
        <v>4904702</v>
      </c>
      <c r="E74" s="67">
        <v>33019</v>
      </c>
      <c r="F74" s="284">
        <v>4116</v>
      </c>
      <c r="G74" s="45"/>
    </row>
    <row r="75" spans="1:7" x14ac:dyDescent="0.25">
      <c r="A75" s="43">
        <v>42184</v>
      </c>
      <c r="B75" s="107" t="s">
        <v>145</v>
      </c>
      <c r="C75" s="53">
        <v>0</v>
      </c>
      <c r="D75" s="350">
        <v>681931.42</v>
      </c>
      <c r="E75" s="67">
        <v>33019</v>
      </c>
      <c r="F75" s="284">
        <v>4116</v>
      </c>
      <c r="G75" s="45"/>
    </row>
    <row r="76" spans="1:7" x14ac:dyDescent="0.25">
      <c r="A76" s="43"/>
      <c r="B76" s="288"/>
      <c r="C76" s="47"/>
      <c r="D76" s="55"/>
      <c r="E76" s="67"/>
      <c r="F76" s="284"/>
      <c r="G76" s="45"/>
    </row>
    <row r="77" spans="1:7" x14ac:dyDescent="0.25">
      <c r="A77" s="43"/>
      <c r="B77" s="273" t="s">
        <v>35</v>
      </c>
      <c r="C77" s="31">
        <f>+SUM(C78:C81)</f>
        <v>2908.0978700000001</v>
      </c>
      <c r="D77" s="30">
        <f>+SUM(D78:D81)</f>
        <v>2908097.87</v>
      </c>
      <c r="E77" s="67"/>
      <c r="F77" s="277"/>
      <c r="G77" s="45"/>
    </row>
    <row r="78" spans="1:7" x14ac:dyDescent="0.25">
      <c r="A78" s="43">
        <v>42040</v>
      </c>
      <c r="B78" s="107" t="s">
        <v>60</v>
      </c>
      <c r="C78" s="53">
        <v>2686.6678700000002</v>
      </c>
      <c r="D78" s="52">
        <v>2686667.87</v>
      </c>
      <c r="E78" s="67">
        <v>17003</v>
      </c>
      <c r="F78" s="277" t="s">
        <v>18</v>
      </c>
      <c r="G78" s="45"/>
    </row>
    <row r="79" spans="1:7" x14ac:dyDescent="0.25">
      <c r="A79" s="43">
        <v>42059</v>
      </c>
      <c r="B79" s="107" t="s">
        <v>105</v>
      </c>
      <c r="C79" s="53">
        <v>188.21549999999999</v>
      </c>
      <c r="D79" s="52">
        <v>188215.5</v>
      </c>
      <c r="E79" s="67">
        <v>17003</v>
      </c>
      <c r="F79" s="277">
        <v>4116</v>
      </c>
      <c r="G79" s="45"/>
    </row>
    <row r="80" spans="1:7" x14ac:dyDescent="0.25">
      <c r="A80" s="43">
        <v>42059</v>
      </c>
      <c r="B80" s="107" t="s">
        <v>105</v>
      </c>
      <c r="C80" s="53">
        <v>33.214500000000001</v>
      </c>
      <c r="D80" s="52">
        <v>33214.5</v>
      </c>
      <c r="E80" s="67">
        <v>17002</v>
      </c>
      <c r="F80" s="277">
        <v>4116</v>
      </c>
      <c r="G80" s="45"/>
    </row>
    <row r="81" spans="1:8" x14ac:dyDescent="0.25">
      <c r="A81" s="43"/>
      <c r="B81" s="289"/>
      <c r="C81" s="53"/>
      <c r="D81" s="53"/>
      <c r="E81" s="67"/>
      <c r="F81" s="277"/>
      <c r="G81" s="45"/>
    </row>
    <row r="82" spans="1:8" x14ac:dyDescent="0.25">
      <c r="A82" s="43"/>
      <c r="B82" s="31" t="s">
        <v>36</v>
      </c>
      <c r="C82" s="31">
        <f>+SUM(C83:C86)</f>
        <v>37917.936510000007</v>
      </c>
      <c r="D82" s="31">
        <f>+SUM(D83:D86)</f>
        <v>47811788.509999998</v>
      </c>
      <c r="E82" s="67"/>
      <c r="F82" s="277"/>
      <c r="G82" s="45"/>
    </row>
    <row r="83" spans="1:8" x14ac:dyDescent="0.25">
      <c r="A83" s="43">
        <v>42163</v>
      </c>
      <c r="B83" s="107" t="s">
        <v>237</v>
      </c>
      <c r="C83" s="21">
        <f>37408.91-505.566</f>
        <v>36903.344000000005</v>
      </c>
      <c r="D83" s="53">
        <v>46797196</v>
      </c>
      <c r="E83" s="67">
        <v>13011</v>
      </c>
      <c r="F83" s="277">
        <v>4116</v>
      </c>
      <c r="G83" s="45"/>
      <c r="H83" s="2"/>
    </row>
    <row r="84" spans="1:8" x14ac:dyDescent="0.25">
      <c r="A84" s="43">
        <v>42163</v>
      </c>
      <c r="B84" s="107" t="s">
        <v>238</v>
      </c>
      <c r="C84" s="21">
        <v>505.56599999999997</v>
      </c>
      <c r="D84" s="52">
        <v>505566</v>
      </c>
      <c r="E84" s="67">
        <v>13011</v>
      </c>
      <c r="F84" s="277">
        <v>4116</v>
      </c>
      <c r="G84" s="45"/>
    </row>
    <row r="85" spans="1:8" x14ac:dyDescent="0.25">
      <c r="A85" s="43"/>
      <c r="B85" s="44" t="s">
        <v>196</v>
      </c>
      <c r="C85" s="53">
        <v>181.30393000000001</v>
      </c>
      <c r="D85" s="53">
        <v>181303.93</v>
      </c>
      <c r="E85" s="67">
        <v>13233</v>
      </c>
      <c r="F85" s="277">
        <v>4116</v>
      </c>
      <c r="G85" s="45"/>
    </row>
    <row r="86" spans="1:8" x14ac:dyDescent="0.25">
      <c r="A86" s="43"/>
      <c r="B86" s="44" t="s">
        <v>203</v>
      </c>
      <c r="C86" s="53">
        <v>327.72257999999999</v>
      </c>
      <c r="D86" s="53">
        <v>327722.58</v>
      </c>
      <c r="E86" s="67">
        <v>13233</v>
      </c>
      <c r="F86" s="277">
        <v>4116</v>
      </c>
      <c r="G86" s="45"/>
    </row>
    <row r="87" spans="1:8" x14ac:dyDescent="0.25">
      <c r="A87" s="43"/>
      <c r="B87" s="58"/>
      <c r="C87" s="47"/>
      <c r="D87" s="56"/>
      <c r="E87" s="67"/>
      <c r="F87" s="277"/>
      <c r="G87" s="45"/>
    </row>
    <row r="88" spans="1:8" x14ac:dyDescent="0.25">
      <c r="A88" s="43"/>
      <c r="B88" s="273" t="s">
        <v>38</v>
      </c>
      <c r="C88" s="31">
        <f>+C89</f>
        <v>600</v>
      </c>
      <c r="D88" s="30">
        <f>+D89</f>
        <v>600000</v>
      </c>
      <c r="E88" s="67"/>
      <c r="F88" s="277"/>
      <c r="G88" s="45"/>
    </row>
    <row r="89" spans="1:8" x14ac:dyDescent="0.25">
      <c r="A89" s="43">
        <v>42051</v>
      </c>
      <c r="B89" s="107" t="s">
        <v>39</v>
      </c>
      <c r="C89" s="47">
        <v>600</v>
      </c>
      <c r="D89" s="46">
        <v>600000</v>
      </c>
      <c r="E89" s="67">
        <v>22005</v>
      </c>
      <c r="F89" s="277" t="s">
        <v>18</v>
      </c>
      <c r="G89" s="45"/>
    </row>
    <row r="90" spans="1:8" x14ac:dyDescent="0.25">
      <c r="A90" s="43"/>
      <c r="B90" s="107"/>
      <c r="C90" s="47"/>
      <c r="D90" s="56"/>
      <c r="E90" s="67"/>
      <c r="F90" s="277"/>
      <c r="G90" s="45"/>
    </row>
    <row r="91" spans="1:8" x14ac:dyDescent="0.25">
      <c r="A91" s="43"/>
      <c r="B91" s="273" t="s">
        <v>40</v>
      </c>
      <c r="C91" s="31">
        <f>SUM(C92:C104)</f>
        <v>640.81799999999998</v>
      </c>
      <c r="D91" s="31">
        <f>SUM(D92:D104)</f>
        <v>1582503.67</v>
      </c>
      <c r="E91" s="67"/>
      <c r="F91" s="277"/>
      <c r="G91" s="45"/>
    </row>
    <row r="92" spans="1:8" x14ac:dyDescent="0.25">
      <c r="A92" s="43">
        <v>42081</v>
      </c>
      <c r="B92" s="276" t="s">
        <v>118</v>
      </c>
      <c r="C92" s="47">
        <v>134.988</v>
      </c>
      <c r="D92" s="46">
        <v>134988</v>
      </c>
      <c r="E92" s="67">
        <v>14023</v>
      </c>
      <c r="F92" s="277">
        <v>4116</v>
      </c>
      <c r="G92" s="45"/>
    </row>
    <row r="93" spans="1:8" x14ac:dyDescent="0.25">
      <c r="A93" s="43">
        <v>42082</v>
      </c>
      <c r="B93" s="276" t="s">
        <v>119</v>
      </c>
      <c r="C93" s="47">
        <v>72</v>
      </c>
      <c r="D93" s="46">
        <v>72000</v>
      </c>
      <c r="E93" s="67">
        <v>14336</v>
      </c>
      <c r="F93" s="277">
        <v>4116</v>
      </c>
      <c r="G93" s="45"/>
    </row>
    <row r="94" spans="1:8" x14ac:dyDescent="0.25">
      <c r="A94" s="43">
        <v>42087</v>
      </c>
      <c r="B94" s="276" t="s">
        <v>118</v>
      </c>
      <c r="C94" s="47">
        <v>0.8</v>
      </c>
      <c r="D94" s="46">
        <v>800</v>
      </c>
      <c r="E94" s="67">
        <v>14023</v>
      </c>
      <c r="F94" s="277">
        <v>4116</v>
      </c>
      <c r="G94" s="45"/>
    </row>
    <row r="95" spans="1:8" x14ac:dyDescent="0.25">
      <c r="A95" s="43">
        <v>42090</v>
      </c>
      <c r="B95" s="276" t="s">
        <v>118</v>
      </c>
      <c r="C95" s="47">
        <v>66.06</v>
      </c>
      <c r="D95" s="46">
        <v>66060</v>
      </c>
      <c r="E95" s="67">
        <v>14023</v>
      </c>
      <c r="F95" s="277">
        <v>4116</v>
      </c>
      <c r="G95" s="45"/>
    </row>
    <row r="96" spans="1:8" x14ac:dyDescent="0.25">
      <c r="A96" s="43">
        <v>42096</v>
      </c>
      <c r="B96" s="276" t="s">
        <v>136</v>
      </c>
      <c r="C96" s="47">
        <v>72</v>
      </c>
      <c r="D96" s="46">
        <v>72000</v>
      </c>
      <c r="E96" s="67">
        <v>14336</v>
      </c>
      <c r="F96" s="277">
        <v>4116</v>
      </c>
      <c r="G96" s="45"/>
    </row>
    <row r="97" spans="1:8" x14ac:dyDescent="0.25">
      <c r="A97" s="43">
        <v>42096</v>
      </c>
      <c r="B97" s="276" t="s">
        <v>137</v>
      </c>
      <c r="C97" s="47">
        <v>72</v>
      </c>
      <c r="D97" s="46">
        <v>72000</v>
      </c>
      <c r="E97" s="67">
        <v>14336</v>
      </c>
      <c r="F97" s="277">
        <v>4116</v>
      </c>
      <c r="G97" s="45"/>
    </row>
    <row r="98" spans="1:8" x14ac:dyDescent="0.25">
      <c r="A98" s="43">
        <v>42123</v>
      </c>
      <c r="B98" s="276" t="s">
        <v>153</v>
      </c>
      <c r="C98" s="47">
        <v>72</v>
      </c>
      <c r="D98" s="46">
        <v>72000</v>
      </c>
      <c r="E98" s="67">
        <v>14336</v>
      </c>
      <c r="F98" s="277">
        <v>4116</v>
      </c>
      <c r="G98" s="45"/>
    </row>
    <row r="99" spans="1:8" x14ac:dyDescent="0.25">
      <c r="A99" s="43">
        <v>42128</v>
      </c>
      <c r="B99" s="276" t="s">
        <v>118</v>
      </c>
      <c r="C99" s="47">
        <v>65.341999999999999</v>
      </c>
      <c r="D99" s="46">
        <v>65342</v>
      </c>
      <c r="E99" s="67">
        <v>14023</v>
      </c>
      <c r="F99" s="277">
        <v>4116</v>
      </c>
      <c r="G99" s="45"/>
    </row>
    <row r="100" spans="1:8" x14ac:dyDescent="0.25">
      <c r="A100" s="43">
        <v>42152</v>
      </c>
      <c r="B100" s="276" t="s">
        <v>118</v>
      </c>
      <c r="C100" s="47">
        <v>69.66</v>
      </c>
      <c r="D100" s="46">
        <v>69660</v>
      </c>
      <c r="E100" s="67">
        <v>14023</v>
      </c>
      <c r="F100" s="277">
        <v>4116</v>
      </c>
      <c r="G100" s="45"/>
    </row>
    <row r="101" spans="1:8" x14ac:dyDescent="0.25">
      <c r="A101" s="43">
        <v>42166</v>
      </c>
      <c r="B101" s="276" t="s">
        <v>229</v>
      </c>
      <c r="C101" s="47">
        <v>0</v>
      </c>
      <c r="D101" s="46">
        <v>757000</v>
      </c>
      <c r="E101" s="67">
        <v>14018</v>
      </c>
      <c r="F101" s="277">
        <v>4116</v>
      </c>
      <c r="G101" s="45"/>
    </row>
    <row r="102" spans="1:8" x14ac:dyDescent="0.25">
      <c r="A102" s="43">
        <v>42181</v>
      </c>
      <c r="B102" s="276" t="s">
        <v>247</v>
      </c>
      <c r="C102" s="47">
        <v>0</v>
      </c>
      <c r="D102" s="46">
        <v>102749.67</v>
      </c>
      <c r="E102" s="67">
        <v>14013</v>
      </c>
      <c r="F102" s="277">
        <v>4116</v>
      </c>
      <c r="G102" s="45"/>
    </row>
    <row r="103" spans="1:8" x14ac:dyDescent="0.25">
      <c r="A103" s="43">
        <v>42184</v>
      </c>
      <c r="B103" s="276" t="s">
        <v>118</v>
      </c>
      <c r="C103" s="47">
        <v>0</v>
      </c>
      <c r="D103" s="46">
        <v>81936</v>
      </c>
      <c r="E103" s="67">
        <v>14023</v>
      </c>
      <c r="F103" s="277">
        <v>4116</v>
      </c>
      <c r="G103" s="45"/>
    </row>
    <row r="104" spans="1:8" x14ac:dyDescent="0.25">
      <c r="A104" s="43"/>
      <c r="B104" s="276" t="s">
        <v>113</v>
      </c>
      <c r="C104" s="47">
        <v>15.968</v>
      </c>
      <c r="D104" s="47">
        <f>7480+8488</f>
        <v>15968</v>
      </c>
      <c r="E104" s="67">
        <v>14137</v>
      </c>
      <c r="F104" s="277">
        <v>4116</v>
      </c>
      <c r="G104" s="45"/>
      <c r="H104" s="2"/>
    </row>
    <row r="105" spans="1:8" x14ac:dyDescent="0.25">
      <c r="A105" s="43"/>
      <c r="B105" s="107"/>
      <c r="C105" s="47"/>
      <c r="D105" s="47"/>
      <c r="E105" s="67"/>
      <c r="F105" s="68"/>
      <c r="G105" s="45"/>
    </row>
    <row r="106" spans="1:8" x14ac:dyDescent="0.25">
      <c r="A106" s="43"/>
      <c r="B106" s="273" t="s">
        <v>41</v>
      </c>
      <c r="C106" s="31">
        <f>+SUM(C107:C112)</f>
        <v>185.374</v>
      </c>
      <c r="D106" s="30">
        <f>+SUM(D107:D112)</f>
        <v>325374</v>
      </c>
      <c r="E106" s="67"/>
      <c r="F106" s="68"/>
      <c r="G106" s="45"/>
    </row>
    <row r="107" spans="1:8" x14ac:dyDescent="0.25">
      <c r="A107" s="43">
        <v>42118</v>
      </c>
      <c r="B107" s="276" t="s">
        <v>93</v>
      </c>
      <c r="C107" s="47">
        <v>18.0625</v>
      </c>
      <c r="D107" s="46">
        <v>18062.5</v>
      </c>
      <c r="E107" s="67">
        <v>35019</v>
      </c>
      <c r="F107" s="68">
        <v>4116</v>
      </c>
      <c r="G107" s="45"/>
    </row>
    <row r="108" spans="1:8" x14ac:dyDescent="0.25">
      <c r="A108" s="43">
        <v>42118</v>
      </c>
      <c r="B108" s="276" t="s">
        <v>94</v>
      </c>
      <c r="C108" s="47">
        <v>17.977499999999999</v>
      </c>
      <c r="D108" s="46">
        <v>17977.5</v>
      </c>
      <c r="E108" s="67">
        <v>35019</v>
      </c>
      <c r="F108" s="68">
        <v>4116</v>
      </c>
      <c r="G108" s="45"/>
    </row>
    <row r="109" spans="1:8" x14ac:dyDescent="0.25">
      <c r="A109" s="43">
        <v>42118</v>
      </c>
      <c r="B109" s="276" t="s">
        <v>95</v>
      </c>
      <c r="C109" s="47">
        <v>32.084000000000003</v>
      </c>
      <c r="D109" s="46">
        <v>32084</v>
      </c>
      <c r="E109" s="67">
        <v>35019</v>
      </c>
      <c r="F109" s="68">
        <v>4116</v>
      </c>
      <c r="G109" s="45"/>
    </row>
    <row r="110" spans="1:8" x14ac:dyDescent="0.25">
      <c r="A110" s="43">
        <v>42118</v>
      </c>
      <c r="B110" s="276" t="s">
        <v>95</v>
      </c>
      <c r="C110" s="47">
        <v>77</v>
      </c>
      <c r="D110" s="46">
        <v>77000</v>
      </c>
      <c r="E110" s="67">
        <v>35019</v>
      </c>
      <c r="F110" s="68">
        <v>4116</v>
      </c>
      <c r="G110" s="45"/>
    </row>
    <row r="111" spans="1:8" x14ac:dyDescent="0.25">
      <c r="A111" s="43">
        <v>42118</v>
      </c>
      <c r="B111" s="276" t="s">
        <v>92</v>
      </c>
      <c r="C111" s="47">
        <v>40.25</v>
      </c>
      <c r="D111" s="46">
        <v>40250</v>
      </c>
      <c r="E111" s="67">
        <v>35019</v>
      </c>
      <c r="F111" s="68">
        <v>4116</v>
      </c>
      <c r="G111" s="45"/>
    </row>
    <row r="112" spans="1:8" x14ac:dyDescent="0.25">
      <c r="A112" s="43">
        <v>42172</v>
      </c>
      <c r="B112" s="276" t="s">
        <v>100</v>
      </c>
      <c r="C112" s="47">
        <v>0</v>
      </c>
      <c r="D112" s="46">
        <v>140000</v>
      </c>
      <c r="E112" s="67">
        <v>35015</v>
      </c>
      <c r="F112" s="68">
        <v>4116</v>
      </c>
      <c r="G112" s="45"/>
    </row>
    <row r="113" spans="1:7" x14ac:dyDescent="0.25">
      <c r="A113" s="43"/>
      <c r="B113" s="276"/>
      <c r="C113" s="47"/>
      <c r="D113" s="47"/>
      <c r="E113" s="67"/>
      <c r="F113" s="68"/>
      <c r="G113" s="45"/>
    </row>
    <row r="114" spans="1:7" x14ac:dyDescent="0.25">
      <c r="A114" s="43"/>
      <c r="B114" s="273" t="s">
        <v>42</v>
      </c>
      <c r="C114" s="31">
        <f>+SUM(C115:C118)</f>
        <v>180.94400000000002</v>
      </c>
      <c r="D114" s="30">
        <f>+SUM(D115:D118)</f>
        <v>180944</v>
      </c>
      <c r="E114" s="67"/>
      <c r="F114" s="68"/>
      <c r="G114" s="45"/>
    </row>
    <row r="115" spans="1:7" x14ac:dyDescent="0.25">
      <c r="A115" s="43">
        <v>42142</v>
      </c>
      <c r="B115" s="276" t="s">
        <v>43</v>
      </c>
      <c r="C115" s="47">
        <v>86.159000000000006</v>
      </c>
      <c r="D115" s="46">
        <v>86159</v>
      </c>
      <c r="E115" s="67">
        <v>29008</v>
      </c>
      <c r="F115" s="68">
        <v>4116</v>
      </c>
      <c r="G115" s="45"/>
    </row>
    <row r="116" spans="1:7" x14ac:dyDescent="0.25">
      <c r="A116" s="43">
        <v>42157</v>
      </c>
      <c r="B116" s="276" t="s">
        <v>44</v>
      </c>
      <c r="C116" s="47">
        <v>10.5</v>
      </c>
      <c r="D116" s="46">
        <v>10500</v>
      </c>
      <c r="E116" s="67">
        <v>29004</v>
      </c>
      <c r="F116" s="68">
        <v>4116</v>
      </c>
      <c r="G116" s="45"/>
    </row>
    <row r="117" spans="1:7" x14ac:dyDescent="0.25">
      <c r="A117" s="43">
        <v>42163</v>
      </c>
      <c r="B117" s="276" t="s">
        <v>43</v>
      </c>
      <c r="C117" s="47">
        <v>84.284999999999997</v>
      </c>
      <c r="D117" s="46">
        <v>84285</v>
      </c>
      <c r="E117" s="67">
        <v>29008</v>
      </c>
      <c r="F117" s="68">
        <v>4116</v>
      </c>
      <c r="G117" s="45"/>
    </row>
    <row r="118" spans="1:7" x14ac:dyDescent="0.25">
      <c r="A118" s="43"/>
      <c r="B118" s="276"/>
      <c r="C118" s="47"/>
      <c r="D118" s="47"/>
      <c r="E118" s="67"/>
      <c r="F118" s="68"/>
      <c r="G118" s="45"/>
    </row>
    <row r="119" spans="1:7" x14ac:dyDescent="0.25">
      <c r="A119" s="43"/>
      <c r="B119" s="273" t="s">
        <v>45</v>
      </c>
      <c r="C119" s="31">
        <f>+SUM(C120:C121)</f>
        <v>492.5256</v>
      </c>
      <c r="D119" s="31">
        <f>+SUM(D120:D121)</f>
        <v>492525.6</v>
      </c>
      <c r="E119" s="67"/>
      <c r="F119" s="68"/>
      <c r="G119" s="45"/>
    </row>
    <row r="120" spans="1:7" x14ac:dyDescent="0.25">
      <c r="A120" s="43">
        <v>42057</v>
      </c>
      <c r="B120" s="276" t="s">
        <v>146</v>
      </c>
      <c r="C120" s="47">
        <v>466.28609999999998</v>
      </c>
      <c r="D120" s="46">
        <v>466286.1</v>
      </c>
      <c r="E120" s="67">
        <v>15319</v>
      </c>
      <c r="F120" s="68">
        <v>4116</v>
      </c>
      <c r="G120" s="45"/>
    </row>
    <row r="121" spans="1:7" x14ac:dyDescent="0.25">
      <c r="A121" s="43"/>
      <c r="B121" s="276" t="s">
        <v>168</v>
      </c>
      <c r="C121" s="47">
        <v>26.2395</v>
      </c>
      <c r="D121" s="47">
        <v>26239.5</v>
      </c>
      <c r="E121" s="67">
        <v>15319</v>
      </c>
      <c r="F121" s="68">
        <v>4116</v>
      </c>
      <c r="G121" s="45"/>
    </row>
    <row r="122" spans="1:7" x14ac:dyDescent="0.25">
      <c r="A122" s="43"/>
      <c r="B122" s="44"/>
      <c r="C122" s="47"/>
      <c r="D122" s="47"/>
      <c r="E122" s="67"/>
      <c r="F122" s="68"/>
      <c r="G122" s="45"/>
    </row>
    <row r="123" spans="1:7" x14ac:dyDescent="0.25">
      <c r="A123" s="43"/>
      <c r="B123" s="273" t="s">
        <v>48</v>
      </c>
      <c r="C123" s="27">
        <f>SUM(C124:C149)</f>
        <v>106315.94968000002</v>
      </c>
      <c r="D123" s="27">
        <f>SUM(D124:D149)</f>
        <v>67714425.560000002</v>
      </c>
      <c r="E123" s="67"/>
      <c r="F123" s="268"/>
      <c r="G123" s="45"/>
    </row>
    <row r="124" spans="1:7" x14ac:dyDescent="0.25">
      <c r="A124" s="43">
        <v>42046</v>
      </c>
      <c r="B124" s="276" t="s">
        <v>104</v>
      </c>
      <c r="C124" s="53">
        <v>345.49686000000003</v>
      </c>
      <c r="D124" s="55">
        <v>345496.86</v>
      </c>
      <c r="E124" s="67">
        <v>33030</v>
      </c>
      <c r="F124" s="68" t="s">
        <v>49</v>
      </c>
      <c r="G124" s="45"/>
    </row>
    <row r="125" spans="1:7" x14ac:dyDescent="0.25">
      <c r="A125" s="43">
        <v>42096</v>
      </c>
      <c r="B125" s="276" t="s">
        <v>140</v>
      </c>
      <c r="C125" s="53">
        <v>90.980059999999995</v>
      </c>
      <c r="D125" s="55">
        <v>90980.06</v>
      </c>
      <c r="E125" s="67">
        <v>33030</v>
      </c>
      <c r="F125" s="68" t="s">
        <v>49</v>
      </c>
      <c r="G125" s="45"/>
    </row>
    <row r="126" spans="1:7" x14ac:dyDescent="0.25">
      <c r="A126" s="43">
        <v>42118</v>
      </c>
      <c r="B126" s="276" t="s">
        <v>223</v>
      </c>
      <c r="C126" s="53">
        <f>100577.6</f>
        <v>100577.60000000001</v>
      </c>
      <c r="D126" s="55">
        <v>60346560</v>
      </c>
      <c r="E126" s="67">
        <v>13305</v>
      </c>
      <c r="F126" s="68">
        <v>4122</v>
      </c>
      <c r="G126" s="45"/>
    </row>
    <row r="127" spans="1:7" x14ac:dyDescent="0.25">
      <c r="A127" s="43">
        <v>42122</v>
      </c>
      <c r="B127" s="276" t="s">
        <v>150</v>
      </c>
      <c r="C127" s="55">
        <v>341.41081000000003</v>
      </c>
      <c r="D127" s="55">
        <v>341410.81</v>
      </c>
      <c r="E127" s="67">
        <v>33030</v>
      </c>
      <c r="F127" s="68">
        <v>4122</v>
      </c>
      <c r="G127" s="45"/>
    </row>
    <row r="128" spans="1:7" x14ac:dyDescent="0.25">
      <c r="A128" s="43">
        <v>42138</v>
      </c>
      <c r="B128" s="276" t="s">
        <v>181</v>
      </c>
      <c r="C128" s="55">
        <v>41.08</v>
      </c>
      <c r="D128" s="55">
        <v>41080</v>
      </c>
      <c r="E128" s="67">
        <v>14011</v>
      </c>
      <c r="F128" s="68">
        <v>4122</v>
      </c>
      <c r="G128" s="45"/>
    </row>
    <row r="129" spans="1:7" x14ac:dyDescent="0.25">
      <c r="A129" s="43">
        <v>42145</v>
      </c>
      <c r="B129" s="276" t="s">
        <v>200</v>
      </c>
      <c r="C129" s="53">
        <v>8.3298000000000005</v>
      </c>
      <c r="D129" s="55">
        <f>7080.33+1249.47</f>
        <v>8329.7999999999993</v>
      </c>
      <c r="E129" s="67">
        <v>33030</v>
      </c>
      <c r="F129" s="68">
        <v>4122</v>
      </c>
      <c r="G129" s="45"/>
    </row>
    <row r="130" spans="1:7" x14ac:dyDescent="0.25">
      <c r="A130" s="43">
        <v>42145</v>
      </c>
      <c r="B130" s="276" t="s">
        <v>271</v>
      </c>
      <c r="C130" s="53">
        <v>1476.0851600000001</v>
      </c>
      <c r="D130" s="55">
        <f>1254672.38+221412.78</f>
        <v>1476085.16</v>
      </c>
      <c r="E130" s="67">
        <v>33030</v>
      </c>
      <c r="F130" s="68">
        <v>4122</v>
      </c>
      <c r="G130" s="45"/>
    </row>
    <row r="131" spans="1:7" x14ac:dyDescent="0.25">
      <c r="A131" s="43">
        <v>42145</v>
      </c>
      <c r="B131" s="276" t="s">
        <v>202</v>
      </c>
      <c r="C131" s="53">
        <v>452.84152</v>
      </c>
      <c r="D131" s="55">
        <f>384915.29+67926.23</f>
        <v>452841.51999999996</v>
      </c>
      <c r="E131" s="67">
        <v>33030</v>
      </c>
      <c r="F131" s="68">
        <v>4122</v>
      </c>
      <c r="G131" s="45"/>
    </row>
    <row r="132" spans="1:7" x14ac:dyDescent="0.25">
      <c r="A132" s="43">
        <v>42152</v>
      </c>
      <c r="B132" s="276" t="s">
        <v>181</v>
      </c>
      <c r="C132" s="53">
        <v>29.64</v>
      </c>
      <c r="D132" s="55">
        <v>29640</v>
      </c>
      <c r="E132" s="67">
        <v>14011</v>
      </c>
      <c r="F132" s="68">
        <v>4122</v>
      </c>
      <c r="G132" s="45"/>
    </row>
    <row r="133" spans="1:7" x14ac:dyDescent="0.25">
      <c r="A133" s="43">
        <v>42160</v>
      </c>
      <c r="B133" s="276" t="s">
        <v>239</v>
      </c>
      <c r="C133" s="53">
        <v>100</v>
      </c>
      <c r="D133" s="55">
        <v>100000</v>
      </c>
      <c r="E133" s="67">
        <v>539</v>
      </c>
      <c r="F133" s="68">
        <v>4122</v>
      </c>
      <c r="G133" s="45"/>
    </row>
    <row r="134" spans="1:7" x14ac:dyDescent="0.25">
      <c r="A134" s="43">
        <v>42160</v>
      </c>
      <c r="B134" s="276" t="s">
        <v>240</v>
      </c>
      <c r="C134" s="53">
        <v>98</v>
      </c>
      <c r="D134" s="55">
        <v>98000</v>
      </c>
      <c r="E134" s="67">
        <v>539</v>
      </c>
      <c r="F134" s="68">
        <v>4122</v>
      </c>
      <c r="G134" s="45"/>
    </row>
    <row r="135" spans="1:7" x14ac:dyDescent="0.25">
      <c r="A135" s="43">
        <v>42173</v>
      </c>
      <c r="B135" s="276" t="s">
        <v>236</v>
      </c>
      <c r="C135" s="53">
        <v>0</v>
      </c>
      <c r="D135" s="55">
        <v>100000</v>
      </c>
      <c r="E135" s="67">
        <v>539</v>
      </c>
      <c r="F135" s="68">
        <v>4122</v>
      </c>
      <c r="G135" s="45"/>
    </row>
    <row r="136" spans="1:7" x14ac:dyDescent="0.25">
      <c r="A136" s="43">
        <v>42178</v>
      </c>
      <c r="B136" s="276" t="s">
        <v>243</v>
      </c>
      <c r="C136" s="53">
        <v>0</v>
      </c>
      <c r="D136" s="55">
        <f>69527.72+12269.6</f>
        <v>81797.320000000007</v>
      </c>
      <c r="E136" s="67">
        <v>33030</v>
      </c>
      <c r="F136" s="68">
        <v>4122</v>
      </c>
      <c r="G136" s="45"/>
    </row>
    <row r="137" spans="1:7" x14ac:dyDescent="0.25">
      <c r="A137" s="43">
        <v>42181</v>
      </c>
      <c r="B137" s="276" t="s">
        <v>250</v>
      </c>
      <c r="C137" s="53">
        <v>0</v>
      </c>
      <c r="D137" s="55">
        <v>200000</v>
      </c>
      <c r="E137" s="67">
        <v>539</v>
      </c>
      <c r="F137" s="68">
        <v>4122</v>
      </c>
      <c r="G137" s="45"/>
    </row>
    <row r="138" spans="1:7" x14ac:dyDescent="0.25">
      <c r="A138" s="43">
        <v>42181</v>
      </c>
      <c r="B138" s="276" t="s">
        <v>252</v>
      </c>
      <c r="C138" s="53">
        <v>0</v>
      </c>
      <c r="D138" s="55">
        <v>701624.08</v>
      </c>
      <c r="E138" s="67">
        <v>33030</v>
      </c>
      <c r="F138" s="68">
        <v>4122</v>
      </c>
      <c r="G138" s="45"/>
    </row>
    <row r="139" spans="1:7" x14ac:dyDescent="0.25">
      <c r="A139" s="43">
        <v>42181</v>
      </c>
      <c r="B139" s="276" t="s">
        <v>251</v>
      </c>
      <c r="C139" s="53">
        <v>0</v>
      </c>
      <c r="D139" s="55">
        <v>93395.69</v>
      </c>
      <c r="E139" s="67">
        <v>33030</v>
      </c>
      <c r="F139" s="68">
        <v>4122</v>
      </c>
      <c r="G139" s="45"/>
    </row>
    <row r="140" spans="1:7" x14ac:dyDescent="0.25">
      <c r="A140" s="43">
        <v>42181</v>
      </c>
      <c r="B140" s="276" t="s">
        <v>253</v>
      </c>
      <c r="C140" s="53">
        <v>0</v>
      </c>
      <c r="D140" s="55">
        <v>137194.74</v>
      </c>
      <c r="E140" s="67">
        <v>33030</v>
      </c>
      <c r="F140" s="68">
        <v>4122</v>
      </c>
      <c r="G140" s="45"/>
    </row>
    <row r="141" spans="1:7" x14ac:dyDescent="0.25">
      <c r="A141" s="43">
        <v>42184</v>
      </c>
      <c r="B141" s="276" t="s">
        <v>254</v>
      </c>
      <c r="C141" s="53">
        <v>0</v>
      </c>
      <c r="D141" s="55">
        <v>276288.06</v>
      </c>
      <c r="E141" s="67">
        <v>33030</v>
      </c>
      <c r="F141" s="68">
        <v>4122</v>
      </c>
      <c r="G141" s="45"/>
    </row>
    <row r="142" spans="1:7" x14ac:dyDescent="0.25">
      <c r="A142" s="43">
        <v>42184</v>
      </c>
      <c r="B142" s="276" t="s">
        <v>150</v>
      </c>
      <c r="C142" s="53">
        <v>0</v>
      </c>
      <c r="D142" s="55">
        <v>371087.57</v>
      </c>
      <c r="E142" s="67">
        <v>33030</v>
      </c>
      <c r="F142" s="68">
        <v>4122</v>
      </c>
      <c r="G142" s="45"/>
    </row>
    <row r="143" spans="1:7" x14ac:dyDescent="0.25">
      <c r="A143" s="43">
        <v>42184</v>
      </c>
      <c r="B143" s="276" t="s">
        <v>256</v>
      </c>
      <c r="C143" s="53">
        <v>0</v>
      </c>
      <c r="D143" s="55">
        <v>120000</v>
      </c>
      <c r="E143" s="67">
        <v>311</v>
      </c>
      <c r="F143" s="68">
        <v>4122</v>
      </c>
      <c r="G143" s="45"/>
    </row>
    <row r="144" spans="1:7" x14ac:dyDescent="0.25">
      <c r="A144" s="43">
        <v>42184</v>
      </c>
      <c r="B144" s="276" t="s">
        <v>255</v>
      </c>
      <c r="C144" s="53">
        <v>0</v>
      </c>
      <c r="D144" s="55">
        <v>60000</v>
      </c>
      <c r="E144" s="67">
        <v>311</v>
      </c>
      <c r="F144" s="68">
        <v>4122</v>
      </c>
      <c r="G144" s="45"/>
    </row>
    <row r="145" spans="1:7" x14ac:dyDescent="0.25">
      <c r="A145" s="43"/>
      <c r="B145" s="276" t="s">
        <v>249</v>
      </c>
      <c r="C145" s="53">
        <v>0</v>
      </c>
      <c r="D145" s="55">
        <v>60000</v>
      </c>
      <c r="E145" s="67">
        <v>539</v>
      </c>
      <c r="F145" s="68">
        <v>4122</v>
      </c>
      <c r="G145" s="45"/>
    </row>
    <row r="146" spans="1:7" x14ac:dyDescent="0.25">
      <c r="A146" s="43"/>
      <c r="B146" s="276" t="s">
        <v>259</v>
      </c>
      <c r="C146" s="53">
        <v>0</v>
      </c>
      <c r="D146" s="55">
        <v>35000</v>
      </c>
      <c r="E146" s="268">
        <v>539</v>
      </c>
      <c r="F146" s="68">
        <v>4122</v>
      </c>
      <c r="G146" s="45"/>
    </row>
    <row r="147" spans="1:7" x14ac:dyDescent="0.25">
      <c r="A147" s="43"/>
      <c r="B147" s="276" t="s">
        <v>69</v>
      </c>
      <c r="C147" s="53">
        <v>674.88547000000005</v>
      </c>
      <c r="D147" s="55">
        <f>674885.47+224968.42</f>
        <v>899853.89</v>
      </c>
      <c r="E147" s="268">
        <v>33030</v>
      </c>
      <c r="F147" s="68">
        <v>4122</v>
      </c>
      <c r="G147" s="45"/>
    </row>
    <row r="148" spans="1:7" x14ac:dyDescent="0.25">
      <c r="A148" s="43"/>
      <c r="B148" s="276" t="s">
        <v>139</v>
      </c>
      <c r="C148" s="53">
        <f>669.36+446.24</f>
        <v>1115.5999999999999</v>
      </c>
      <c r="D148" s="55">
        <v>669360</v>
      </c>
      <c r="E148" s="268">
        <v>13305</v>
      </c>
      <c r="F148" s="68">
        <v>4122</v>
      </c>
      <c r="G148" s="45"/>
    </row>
    <row r="149" spans="1:7" x14ac:dyDescent="0.25">
      <c r="A149" s="43"/>
      <c r="B149" s="276" t="s">
        <v>272</v>
      </c>
      <c r="C149" s="53">
        <v>964</v>
      </c>
      <c r="D149" s="55">
        <v>578400</v>
      </c>
      <c r="E149" s="268">
        <v>13305</v>
      </c>
      <c r="F149" s="68">
        <v>4122</v>
      </c>
      <c r="G149" s="45"/>
    </row>
    <row r="150" spans="1:7" x14ac:dyDescent="0.25">
      <c r="A150" s="43"/>
      <c r="B150" s="276"/>
      <c r="C150" s="55"/>
      <c r="D150" s="55"/>
      <c r="E150" s="67"/>
      <c r="F150" s="277"/>
      <c r="G150" s="45"/>
    </row>
    <row r="151" spans="1:7" x14ac:dyDescent="0.25">
      <c r="A151" s="43"/>
      <c r="B151" s="31" t="s">
        <v>50</v>
      </c>
      <c r="C151" s="27">
        <f>SUM(C152:C154)</f>
        <v>984.7969700000001</v>
      </c>
      <c r="D151" s="27">
        <f>+SUM(D152:D154)</f>
        <v>1808652.21</v>
      </c>
      <c r="E151" s="67"/>
      <c r="F151" s="277"/>
      <c r="G151" s="45"/>
    </row>
    <row r="152" spans="1:7" x14ac:dyDescent="0.25">
      <c r="A152" s="272">
        <v>42101</v>
      </c>
      <c r="B152" s="276" t="s">
        <v>138</v>
      </c>
      <c r="C152" s="53">
        <v>131.06369000000001</v>
      </c>
      <c r="D152" s="55">
        <v>131063.69</v>
      </c>
      <c r="E152" s="268">
        <v>86005</v>
      </c>
      <c r="F152" s="68">
        <v>4123</v>
      </c>
      <c r="G152" s="45"/>
    </row>
    <row r="153" spans="1:7" x14ac:dyDescent="0.25">
      <c r="A153" s="287">
        <v>42131</v>
      </c>
      <c r="B153" s="276" t="s">
        <v>180</v>
      </c>
      <c r="C153" s="53">
        <v>853.73328000000004</v>
      </c>
      <c r="D153" s="55">
        <v>853733.28</v>
      </c>
      <c r="E153" s="290">
        <v>86005</v>
      </c>
      <c r="F153" s="68">
        <v>4123</v>
      </c>
      <c r="G153" s="45"/>
    </row>
    <row r="154" spans="1:7" x14ac:dyDescent="0.25">
      <c r="A154" s="287">
        <v>42178</v>
      </c>
      <c r="B154" s="276" t="s">
        <v>245</v>
      </c>
      <c r="C154" s="53">
        <v>0</v>
      </c>
      <c r="D154" s="55">
        <v>823855.24</v>
      </c>
      <c r="E154" s="290">
        <v>86005</v>
      </c>
      <c r="F154" s="68">
        <v>4123</v>
      </c>
      <c r="G154" s="45"/>
    </row>
    <row r="155" spans="1:7" x14ac:dyDescent="0.25">
      <c r="A155" s="43"/>
      <c r="B155" s="44"/>
      <c r="C155" s="47"/>
      <c r="D155" s="47"/>
      <c r="E155" s="67"/>
      <c r="F155" s="68"/>
      <c r="G155" s="45"/>
    </row>
    <row r="156" spans="1:7" x14ac:dyDescent="0.25">
      <c r="A156" s="43"/>
      <c r="B156" s="293" t="s">
        <v>52</v>
      </c>
      <c r="C156" s="31">
        <f>+SUM(C157:C158)</f>
        <v>582</v>
      </c>
      <c r="D156" s="31">
        <f>+SUM(D157:D158)</f>
        <v>2376443.1100000003</v>
      </c>
      <c r="E156" s="67"/>
      <c r="F156" s="68"/>
      <c r="G156" s="45"/>
    </row>
    <row r="157" spans="1:7" x14ac:dyDescent="0.25">
      <c r="A157" s="43">
        <v>42075</v>
      </c>
      <c r="B157" s="276" t="s">
        <v>124</v>
      </c>
      <c r="C157" s="53">
        <v>582</v>
      </c>
      <c r="D157" s="55">
        <v>581714.24</v>
      </c>
      <c r="E157" s="67"/>
      <c r="F157" s="68">
        <v>4152</v>
      </c>
      <c r="G157" s="45"/>
    </row>
    <row r="158" spans="1:7" x14ac:dyDescent="0.25">
      <c r="A158" s="43">
        <v>42174</v>
      </c>
      <c r="B158" s="276" t="s">
        <v>244</v>
      </c>
      <c r="C158" s="53">
        <v>0</v>
      </c>
      <c r="D158" s="55">
        <v>1794728.87</v>
      </c>
      <c r="E158" s="67"/>
      <c r="F158" s="68">
        <v>4152</v>
      </c>
      <c r="G158" s="45"/>
    </row>
    <row r="159" spans="1:7" x14ac:dyDescent="0.25">
      <c r="A159" s="43"/>
      <c r="B159" s="276"/>
      <c r="C159" s="47"/>
      <c r="D159" s="55"/>
      <c r="E159" s="67"/>
      <c r="F159" s="68"/>
      <c r="G159" s="45"/>
    </row>
    <row r="160" spans="1:7" x14ac:dyDescent="0.25">
      <c r="A160" s="43"/>
      <c r="B160" s="294" t="s">
        <v>53</v>
      </c>
      <c r="C160" s="27">
        <f>+C156+C123+C91+C88+C77+C68+C20+C7+C82+C151+C42+C106+C119+C13+C114+C17+C45</f>
        <v>195951.38603999998</v>
      </c>
      <c r="D160" s="27">
        <f>+D156+D123+D91+D88+D77+D68+D20+D7+D82+D151+D42+D106+D119+D13+D114+D17+D45</f>
        <v>170250696.35999998</v>
      </c>
      <c r="E160" s="295"/>
      <c r="F160" s="268"/>
      <c r="G160" s="45"/>
    </row>
    <row r="161" spans="1:7" ht="16.5" thickBot="1" x14ac:dyDescent="0.3">
      <c r="A161" s="296"/>
      <c r="B161" s="297"/>
      <c r="C161" s="75"/>
      <c r="D161" s="75"/>
      <c r="E161" s="298"/>
      <c r="F161" s="299"/>
      <c r="G161" s="45"/>
    </row>
    <row r="162" spans="1:7" x14ac:dyDescent="0.25">
      <c r="A162" s="300"/>
      <c r="B162" s="79"/>
      <c r="C162" s="79"/>
      <c r="D162" s="79"/>
      <c r="E162" s="301"/>
      <c r="F162" s="301"/>
      <c r="G162" s="45"/>
    </row>
    <row r="163" spans="1:7" ht="16.5" thickBot="1" x14ac:dyDescent="0.3">
      <c r="A163" s="300"/>
      <c r="B163" s="79"/>
      <c r="C163" s="79"/>
      <c r="D163" s="79"/>
      <c r="E163" s="301"/>
      <c r="F163" s="301"/>
      <c r="G163" s="45"/>
    </row>
    <row r="164" spans="1:7" x14ac:dyDescent="0.25">
      <c r="A164" s="690" t="s">
        <v>141</v>
      </c>
      <c r="B164" s="5"/>
      <c r="C164" s="5"/>
      <c r="D164" s="5"/>
      <c r="E164" s="302"/>
      <c r="F164" s="302"/>
      <c r="G164" s="45"/>
    </row>
    <row r="165" spans="1:7" ht="16.5" thickBot="1" x14ac:dyDescent="0.3">
      <c r="A165" s="691"/>
      <c r="B165" s="10" t="s">
        <v>54</v>
      </c>
      <c r="C165" s="10" t="s">
        <v>3</v>
      </c>
      <c r="D165" s="10" t="s">
        <v>4</v>
      </c>
      <c r="E165" s="303" t="s">
        <v>5</v>
      </c>
      <c r="F165" s="303" t="s">
        <v>6</v>
      </c>
      <c r="G165" s="45"/>
    </row>
    <row r="166" spans="1:7" x14ac:dyDescent="0.25">
      <c r="A166" s="43"/>
      <c r="B166" s="273" t="s">
        <v>14</v>
      </c>
      <c r="C166" s="40">
        <f>+SUM(C167:C176)</f>
        <v>656.31754000000001</v>
      </c>
      <c r="D166" s="40">
        <f>+SUM(D167:D176)</f>
        <v>690589.29</v>
      </c>
      <c r="E166" s="68"/>
      <c r="F166" s="68"/>
      <c r="G166" s="45"/>
    </row>
    <row r="167" spans="1:7" x14ac:dyDescent="0.25">
      <c r="A167" s="43">
        <v>42069</v>
      </c>
      <c r="B167" s="44" t="s">
        <v>114</v>
      </c>
      <c r="C167" s="53">
        <v>141.55572000000001</v>
      </c>
      <c r="D167" s="21">
        <v>141555.72</v>
      </c>
      <c r="E167" s="68">
        <v>90877</v>
      </c>
      <c r="F167" s="68">
        <v>4213</v>
      </c>
      <c r="G167" s="45"/>
    </row>
    <row r="168" spans="1:7" x14ac:dyDescent="0.25">
      <c r="A168" s="43">
        <v>42114</v>
      </c>
      <c r="B168" s="44" t="s">
        <v>156</v>
      </c>
      <c r="C168" s="53">
        <v>47.117789999999999</v>
      </c>
      <c r="D168" s="21">
        <v>47117.79</v>
      </c>
      <c r="E168" s="68">
        <v>90877</v>
      </c>
      <c r="F168" s="68">
        <v>4213</v>
      </c>
      <c r="G168" s="45"/>
    </row>
    <row r="169" spans="1:7" x14ac:dyDescent="0.25">
      <c r="A169" s="43">
        <v>42142</v>
      </c>
      <c r="B169" s="44" t="s">
        <v>169</v>
      </c>
      <c r="C169" s="53">
        <v>21.145890000000001</v>
      </c>
      <c r="D169" s="21">
        <v>21145.89</v>
      </c>
      <c r="E169" s="68">
        <v>90877</v>
      </c>
      <c r="F169" s="68">
        <v>4213</v>
      </c>
      <c r="G169" s="45"/>
    </row>
    <row r="170" spans="1:7" x14ac:dyDescent="0.25">
      <c r="A170" s="43">
        <v>42150</v>
      </c>
      <c r="B170" s="44" t="s">
        <v>218</v>
      </c>
      <c r="C170" s="53">
        <v>32.193080000000002</v>
      </c>
      <c r="D170" s="21">
        <v>32193.08</v>
      </c>
      <c r="E170" s="68">
        <v>90877</v>
      </c>
      <c r="F170" s="68">
        <v>4213</v>
      </c>
      <c r="G170" s="45"/>
    </row>
    <row r="171" spans="1:7" x14ac:dyDescent="0.25">
      <c r="A171" s="43">
        <v>42150</v>
      </c>
      <c r="B171" s="44" t="s">
        <v>219</v>
      </c>
      <c r="C171" s="53">
        <v>21.296060000000001</v>
      </c>
      <c r="D171" s="21">
        <v>21296.06</v>
      </c>
      <c r="E171" s="68">
        <v>90877</v>
      </c>
      <c r="F171" s="68">
        <v>4213</v>
      </c>
      <c r="G171" s="45"/>
    </row>
    <row r="172" spans="1:7" x14ac:dyDescent="0.25">
      <c r="A172" s="43">
        <v>42167</v>
      </c>
      <c r="B172" s="44" t="s">
        <v>232</v>
      </c>
      <c r="C172" s="53">
        <v>0</v>
      </c>
      <c r="D172" s="21">
        <v>28646.77</v>
      </c>
      <c r="E172" s="68">
        <v>90877</v>
      </c>
      <c r="F172" s="68">
        <v>4213</v>
      </c>
      <c r="G172" s="45"/>
    </row>
    <row r="173" spans="1:7" x14ac:dyDescent="0.25">
      <c r="A173" s="43"/>
      <c r="B173" s="44" t="s">
        <v>121</v>
      </c>
      <c r="C173" s="21">
        <v>0.97499999999999998</v>
      </c>
      <c r="D173" s="21">
        <v>975</v>
      </c>
      <c r="E173" s="68">
        <v>90877</v>
      </c>
      <c r="F173" s="68">
        <v>4213</v>
      </c>
      <c r="G173" s="45"/>
    </row>
    <row r="174" spans="1:7" x14ac:dyDescent="0.25">
      <c r="A174" s="43"/>
      <c r="B174" s="44" t="s">
        <v>110</v>
      </c>
      <c r="C174" s="21">
        <v>392.03399999999999</v>
      </c>
      <c r="D174" s="21">
        <v>392034</v>
      </c>
      <c r="E174" s="68">
        <v>90909</v>
      </c>
      <c r="F174" s="68">
        <v>4213</v>
      </c>
      <c r="G174" s="45"/>
    </row>
    <row r="175" spans="1:7" x14ac:dyDescent="0.25">
      <c r="A175" s="43"/>
      <c r="B175" s="44" t="s">
        <v>228</v>
      </c>
      <c r="C175" s="21">
        <v>0</v>
      </c>
      <c r="D175" s="21">
        <v>2125</v>
      </c>
      <c r="E175" s="68">
        <v>90877</v>
      </c>
      <c r="F175" s="68">
        <v>4213</v>
      </c>
      <c r="G175" s="45"/>
    </row>
    <row r="176" spans="1:7" x14ac:dyDescent="0.25">
      <c r="A176" s="43"/>
      <c r="B176" s="44" t="s">
        <v>231</v>
      </c>
      <c r="C176" s="21">
        <v>0</v>
      </c>
      <c r="D176" s="21">
        <v>3499.98</v>
      </c>
      <c r="E176" s="68">
        <v>90877</v>
      </c>
      <c r="F176" s="68">
        <v>4213</v>
      </c>
      <c r="G176" s="45"/>
    </row>
    <row r="177" spans="1:7" x14ac:dyDescent="0.25">
      <c r="A177" s="43"/>
      <c r="B177" s="44"/>
      <c r="C177" s="21"/>
      <c r="D177" s="40"/>
      <c r="E177" s="68"/>
      <c r="F177" s="68"/>
      <c r="G177" s="45"/>
    </row>
    <row r="178" spans="1:7" x14ac:dyDescent="0.25">
      <c r="A178" s="43"/>
      <c r="B178" s="273" t="s">
        <v>45</v>
      </c>
      <c r="C178" s="40">
        <f>+SUM(C179:C186)</f>
        <v>2086.3731499999999</v>
      </c>
      <c r="D178" s="40">
        <f>+SUM(D179:D186)</f>
        <v>2668993.33</v>
      </c>
      <c r="E178" s="68"/>
      <c r="F178" s="68"/>
      <c r="G178" s="45"/>
    </row>
    <row r="179" spans="1:7" x14ac:dyDescent="0.25">
      <c r="A179" s="43">
        <v>42114</v>
      </c>
      <c r="B179" s="44" t="s">
        <v>156</v>
      </c>
      <c r="C179" s="53">
        <v>801.00243</v>
      </c>
      <c r="D179" s="20">
        <v>801002.43</v>
      </c>
      <c r="E179" s="68">
        <v>15827</v>
      </c>
      <c r="F179" s="68">
        <v>4216</v>
      </c>
      <c r="G179" s="45"/>
    </row>
    <row r="180" spans="1:7" x14ac:dyDescent="0.25">
      <c r="A180" s="43">
        <v>42139</v>
      </c>
      <c r="B180" s="44" t="s">
        <v>169</v>
      </c>
      <c r="C180" s="53">
        <v>359.48018999999999</v>
      </c>
      <c r="D180" s="20">
        <v>359480.19</v>
      </c>
      <c r="E180" s="68">
        <v>15835</v>
      </c>
      <c r="F180" s="68">
        <v>4216</v>
      </c>
      <c r="G180" s="45"/>
    </row>
    <row r="181" spans="1:7" x14ac:dyDescent="0.25">
      <c r="A181" s="43">
        <v>42150</v>
      </c>
      <c r="B181" s="44" t="s">
        <v>218</v>
      </c>
      <c r="C181" s="53">
        <v>547.28240000000005</v>
      </c>
      <c r="D181" s="20">
        <v>547282.4</v>
      </c>
      <c r="E181" s="68">
        <v>15835</v>
      </c>
      <c r="F181" s="68">
        <v>4216</v>
      </c>
      <c r="G181" s="45"/>
    </row>
    <row r="182" spans="1:7" x14ac:dyDescent="0.25">
      <c r="A182" s="43">
        <v>42150</v>
      </c>
      <c r="B182" s="44" t="s">
        <v>219</v>
      </c>
      <c r="C182" s="53">
        <v>362.03313000000003</v>
      </c>
      <c r="D182" s="20">
        <v>362033.13</v>
      </c>
      <c r="E182" s="68">
        <v>15835</v>
      </c>
      <c r="F182" s="68">
        <v>4216</v>
      </c>
      <c r="G182" s="45"/>
    </row>
    <row r="183" spans="1:7" x14ac:dyDescent="0.25">
      <c r="A183" s="43">
        <v>42167</v>
      </c>
      <c r="B183" s="44" t="s">
        <v>232</v>
      </c>
      <c r="C183" s="53">
        <v>0</v>
      </c>
      <c r="D183" s="20">
        <v>486995.20000000001</v>
      </c>
      <c r="E183" s="68">
        <v>15835</v>
      </c>
      <c r="F183" s="68">
        <v>4216</v>
      </c>
      <c r="G183" s="45"/>
    </row>
    <row r="184" spans="1:7" x14ac:dyDescent="0.25">
      <c r="A184" s="43"/>
      <c r="B184" s="44" t="s">
        <v>121</v>
      </c>
      <c r="C184" s="21">
        <v>16.574999999999999</v>
      </c>
      <c r="D184" s="21">
        <v>16575</v>
      </c>
      <c r="E184" s="68">
        <v>15835</v>
      </c>
      <c r="F184" s="68">
        <v>4216</v>
      </c>
      <c r="G184" s="45"/>
    </row>
    <row r="185" spans="1:7" x14ac:dyDescent="0.25">
      <c r="A185" s="43"/>
      <c r="B185" s="44" t="s">
        <v>228</v>
      </c>
      <c r="C185" s="21">
        <v>0</v>
      </c>
      <c r="D185" s="20">
        <v>36125</v>
      </c>
      <c r="E185" s="68">
        <v>15835</v>
      </c>
      <c r="F185" s="68">
        <v>4216</v>
      </c>
      <c r="G185" s="45"/>
    </row>
    <row r="186" spans="1:7" x14ac:dyDescent="0.25">
      <c r="A186" s="43"/>
      <c r="B186" s="276" t="s">
        <v>230</v>
      </c>
      <c r="C186" s="21">
        <v>0</v>
      </c>
      <c r="D186" s="46">
        <v>59499.98</v>
      </c>
      <c r="E186" s="68">
        <v>15835</v>
      </c>
      <c r="F186" s="68">
        <v>4216</v>
      </c>
      <c r="G186" s="45"/>
    </row>
    <row r="187" spans="1:7" x14ac:dyDescent="0.25">
      <c r="A187" s="43"/>
      <c r="B187" s="276"/>
      <c r="C187" s="21"/>
      <c r="D187" s="21"/>
      <c r="E187" s="68"/>
      <c r="F187" s="68"/>
      <c r="G187" s="45"/>
    </row>
    <row r="188" spans="1:7" x14ac:dyDescent="0.25">
      <c r="A188" s="43"/>
      <c r="B188" s="285" t="s">
        <v>91</v>
      </c>
      <c r="C188" s="40">
        <f>+C190+C189+C191</f>
        <v>27949.130580000001</v>
      </c>
      <c r="D188" s="39">
        <f>+D190+D189+D191</f>
        <v>27949130.579999998</v>
      </c>
      <c r="E188" s="68"/>
      <c r="F188" s="68"/>
      <c r="G188" s="45"/>
    </row>
    <row r="189" spans="1:7" x14ac:dyDescent="0.25">
      <c r="A189" s="43">
        <v>42034</v>
      </c>
      <c r="B189" s="276" t="s">
        <v>103</v>
      </c>
      <c r="C189" s="21">
        <v>4395.5924400000004</v>
      </c>
      <c r="D189" s="20">
        <v>4395592.4400000004</v>
      </c>
      <c r="E189" s="68">
        <v>17871</v>
      </c>
      <c r="F189" s="68">
        <v>4216</v>
      </c>
      <c r="G189" s="45"/>
    </row>
    <row r="190" spans="1:7" x14ac:dyDescent="0.25">
      <c r="A190" s="43">
        <v>42034</v>
      </c>
      <c r="B190" s="276" t="s">
        <v>103</v>
      </c>
      <c r="C190" s="21">
        <v>775.69277999999997</v>
      </c>
      <c r="D190" s="20">
        <v>775692.78</v>
      </c>
      <c r="E190" s="68">
        <v>17870</v>
      </c>
      <c r="F190" s="68">
        <v>4216</v>
      </c>
      <c r="G190" s="45"/>
    </row>
    <row r="191" spans="1:7" x14ac:dyDescent="0.25">
      <c r="A191" s="43">
        <v>42151</v>
      </c>
      <c r="B191" s="276" t="s">
        <v>220</v>
      </c>
      <c r="C191" s="21">
        <v>22777.845359999999</v>
      </c>
      <c r="D191" s="20">
        <v>22777845.359999999</v>
      </c>
      <c r="E191" s="68">
        <v>17871</v>
      </c>
      <c r="F191" s="68">
        <v>4216</v>
      </c>
      <c r="G191" s="45"/>
    </row>
    <row r="192" spans="1:7" x14ac:dyDescent="0.25">
      <c r="A192" s="43"/>
      <c r="B192" s="276"/>
      <c r="C192" s="21"/>
      <c r="D192" s="20"/>
      <c r="E192" s="68"/>
      <c r="F192" s="68"/>
      <c r="G192" s="45"/>
    </row>
    <row r="193" spans="1:7" x14ac:dyDescent="0.25">
      <c r="A193" s="43"/>
      <c r="B193" s="31" t="s">
        <v>149</v>
      </c>
      <c r="C193" s="40">
        <f>+C194</f>
        <v>450</v>
      </c>
      <c r="D193" s="39">
        <f>+D194</f>
        <v>450000</v>
      </c>
      <c r="E193" s="68"/>
      <c r="F193" s="68"/>
      <c r="G193" s="45"/>
    </row>
    <row r="194" spans="1:7" x14ac:dyDescent="0.25">
      <c r="A194" s="43">
        <v>42121</v>
      </c>
      <c r="B194" s="276" t="s">
        <v>273</v>
      </c>
      <c r="C194" s="21">
        <v>450</v>
      </c>
      <c r="D194" s="20">
        <v>450000</v>
      </c>
      <c r="E194" s="68">
        <v>35621</v>
      </c>
      <c r="F194" s="68">
        <v>4216</v>
      </c>
      <c r="G194" s="45"/>
    </row>
    <row r="195" spans="1:7" x14ac:dyDescent="0.25">
      <c r="A195" s="43"/>
      <c r="B195" s="273"/>
      <c r="C195" s="40"/>
      <c r="D195" s="40"/>
      <c r="E195" s="68"/>
      <c r="F195" s="68"/>
      <c r="G195" s="45"/>
    </row>
    <row r="196" spans="1:7" x14ac:dyDescent="0.25">
      <c r="A196" s="43"/>
      <c r="B196" s="31" t="s">
        <v>50</v>
      </c>
      <c r="C196" s="31">
        <f>+SUM(C197:C205)</f>
        <v>76925.824830000012</v>
      </c>
      <c r="D196" s="31">
        <f>+SUM(D197:D205)</f>
        <v>87703473.75</v>
      </c>
      <c r="E196" s="68"/>
      <c r="F196" s="68"/>
      <c r="G196" s="45"/>
    </row>
    <row r="197" spans="1:7" x14ac:dyDescent="0.25">
      <c r="A197" s="43">
        <v>42073</v>
      </c>
      <c r="B197" s="276" t="s">
        <v>112</v>
      </c>
      <c r="C197" s="21">
        <v>24568.326000000001</v>
      </c>
      <c r="D197" s="20">
        <v>24568326</v>
      </c>
      <c r="E197" s="68">
        <v>86505</v>
      </c>
      <c r="F197" s="68">
        <v>4223</v>
      </c>
      <c r="G197" s="45"/>
    </row>
    <row r="198" spans="1:7" x14ac:dyDescent="0.25">
      <c r="A198" s="43">
        <v>42073</v>
      </c>
      <c r="B198" s="276" t="s">
        <v>112</v>
      </c>
      <c r="C198" s="21">
        <v>2167.7934799999998</v>
      </c>
      <c r="D198" s="20">
        <v>2167793.48</v>
      </c>
      <c r="E198" s="68">
        <v>86501</v>
      </c>
      <c r="F198" s="68">
        <v>4223</v>
      </c>
      <c r="G198" s="45"/>
    </row>
    <row r="199" spans="1:7" x14ac:dyDescent="0.25">
      <c r="A199" s="43">
        <v>42087</v>
      </c>
      <c r="B199" s="44" t="s">
        <v>123</v>
      </c>
      <c r="C199" s="47">
        <v>17507.565600000002</v>
      </c>
      <c r="D199" s="46">
        <v>17507565.600000001</v>
      </c>
      <c r="E199" s="268">
        <v>86505</v>
      </c>
      <c r="F199" s="68">
        <v>4223</v>
      </c>
      <c r="G199" s="45"/>
    </row>
    <row r="200" spans="1:7" x14ac:dyDescent="0.25">
      <c r="A200" s="43">
        <v>42101</v>
      </c>
      <c r="B200" s="44" t="s">
        <v>138</v>
      </c>
      <c r="C200" s="47">
        <v>3893.92481</v>
      </c>
      <c r="D200" s="46">
        <v>3893924.81</v>
      </c>
      <c r="E200" s="268">
        <v>86505</v>
      </c>
      <c r="F200" s="68">
        <v>4223</v>
      </c>
      <c r="G200" s="45"/>
    </row>
    <row r="201" spans="1:7" x14ac:dyDescent="0.25">
      <c r="A201" s="43">
        <v>42122</v>
      </c>
      <c r="B201" s="44" t="s">
        <v>152</v>
      </c>
      <c r="C201" s="47">
        <v>4191.1944100000001</v>
      </c>
      <c r="D201" s="46">
        <v>4191194.41</v>
      </c>
      <c r="E201" s="268">
        <v>86505</v>
      </c>
      <c r="F201" s="68">
        <v>4223</v>
      </c>
      <c r="G201" s="45"/>
    </row>
    <row r="202" spans="1:7" x14ac:dyDescent="0.25">
      <c r="A202" s="43">
        <v>42143</v>
      </c>
      <c r="B202" s="44" t="s">
        <v>171</v>
      </c>
      <c r="C202" s="47">
        <v>18985.09273</v>
      </c>
      <c r="D202" s="20">
        <v>18985092.73</v>
      </c>
      <c r="E202" s="268">
        <v>86505</v>
      </c>
      <c r="F202" s="68">
        <v>4223</v>
      </c>
      <c r="G202" s="45"/>
    </row>
    <row r="203" spans="1:7" x14ac:dyDescent="0.25">
      <c r="A203" s="43">
        <v>42178</v>
      </c>
      <c r="B203" s="44" t="s">
        <v>246</v>
      </c>
      <c r="C203" s="47">
        <v>0</v>
      </c>
      <c r="D203" s="20">
        <v>10777648.92</v>
      </c>
      <c r="E203" s="268">
        <v>86505</v>
      </c>
      <c r="F203" s="68">
        <v>4223</v>
      </c>
      <c r="G203" s="45"/>
    </row>
    <row r="204" spans="1:7" x14ac:dyDescent="0.25">
      <c r="A204" s="43"/>
      <c r="B204" s="44" t="s">
        <v>262</v>
      </c>
      <c r="C204" s="47">
        <v>5611.9278000000004</v>
      </c>
      <c r="D204" s="21">
        <v>5611927.7999999998</v>
      </c>
      <c r="E204" s="268">
        <v>86505</v>
      </c>
      <c r="F204" s="68">
        <v>4223</v>
      </c>
      <c r="G204" s="45"/>
    </row>
    <row r="205" spans="1:7" x14ac:dyDescent="0.25">
      <c r="A205" s="43"/>
      <c r="B205" s="44"/>
      <c r="C205" s="47"/>
      <c r="D205" s="21"/>
      <c r="E205" s="268"/>
      <c r="F205" s="68"/>
      <c r="G205" s="45"/>
    </row>
    <row r="206" spans="1:7" x14ac:dyDescent="0.25">
      <c r="A206" s="43"/>
      <c r="B206" s="293" t="s">
        <v>52</v>
      </c>
      <c r="C206" s="31">
        <v>0</v>
      </c>
      <c r="D206" s="40">
        <f>+D207</f>
        <v>876199.86</v>
      </c>
      <c r="E206" s="268"/>
      <c r="F206" s="68"/>
      <c r="G206" s="45"/>
    </row>
    <row r="207" spans="1:7" x14ac:dyDescent="0.25">
      <c r="A207" s="43">
        <v>42174</v>
      </c>
      <c r="B207" s="44" t="s">
        <v>244</v>
      </c>
      <c r="C207" s="47">
        <v>0</v>
      </c>
      <c r="D207" s="21">
        <v>876199.86</v>
      </c>
      <c r="E207" s="268"/>
      <c r="F207" s="68">
        <v>4232</v>
      </c>
      <c r="G207" s="45"/>
    </row>
    <row r="208" spans="1:7" x14ac:dyDescent="0.25">
      <c r="A208" s="43"/>
      <c r="B208" s="44"/>
      <c r="C208" s="47"/>
      <c r="D208" s="21"/>
      <c r="E208" s="268"/>
      <c r="F208" s="68"/>
    </row>
    <row r="209" spans="1:11" x14ac:dyDescent="0.25">
      <c r="A209" s="43"/>
      <c r="B209" s="276"/>
      <c r="C209" s="47"/>
      <c r="D209" s="86"/>
      <c r="E209" s="68"/>
      <c r="F209" s="68"/>
    </row>
    <row r="210" spans="1:11" x14ac:dyDescent="0.25">
      <c r="A210" s="43"/>
      <c r="B210" s="294" t="s">
        <v>55</v>
      </c>
      <c r="C210" s="27">
        <f>+C196+C166+C178+C188+C193+C206</f>
        <v>108067.64610000001</v>
      </c>
      <c r="D210" s="27">
        <f>+D196+D166+D178+D188+D193+D206</f>
        <v>120338386.81</v>
      </c>
      <c r="E210" s="295"/>
      <c r="F210" s="67"/>
    </row>
    <row r="211" spans="1:11" ht="16.5" thickBot="1" x14ac:dyDescent="0.3">
      <c r="A211" s="296"/>
      <c r="B211" s="297"/>
      <c r="C211" s="75"/>
      <c r="D211" s="75"/>
      <c r="E211" s="298"/>
      <c r="F211" s="298"/>
    </row>
    <row r="213" spans="1:11" ht="16.5" thickBot="1" x14ac:dyDescent="0.3">
      <c r="A213" s="307"/>
      <c r="B213" s="91"/>
      <c r="C213" s="91"/>
      <c r="D213" s="91"/>
      <c r="E213" s="308"/>
      <c r="F213" s="308"/>
    </row>
    <row r="214" spans="1:11" x14ac:dyDescent="0.25">
      <c r="A214" s="309"/>
      <c r="B214" s="310"/>
      <c r="C214" s="310"/>
      <c r="D214" s="5"/>
      <c r="E214" s="311"/>
      <c r="F214" s="312"/>
      <c r="G214" s="306"/>
      <c r="H214" s="269"/>
    </row>
    <row r="215" spans="1:11" ht="16.5" thickBot="1" x14ac:dyDescent="0.3">
      <c r="A215" s="309"/>
      <c r="B215" s="10" t="s">
        <v>56</v>
      </c>
      <c r="C215" s="10" t="s">
        <v>3</v>
      </c>
      <c r="D215" s="10" t="s">
        <v>4</v>
      </c>
      <c r="E215" s="311"/>
      <c r="F215" s="312"/>
      <c r="G215" s="306"/>
      <c r="H215" s="269"/>
    </row>
    <row r="216" spans="1:11" x14ac:dyDescent="0.25">
      <c r="A216" s="309"/>
      <c r="B216" s="313"/>
      <c r="C216" s="313"/>
      <c r="D216" s="97"/>
      <c r="E216" s="311"/>
      <c r="F216" s="312"/>
      <c r="G216" s="306"/>
      <c r="H216" s="269"/>
    </row>
    <row r="217" spans="1:11" x14ac:dyDescent="0.25">
      <c r="A217" s="314"/>
      <c r="B217" s="122" t="s">
        <v>57</v>
      </c>
      <c r="C217" s="122">
        <f>+C160</f>
        <v>195951.38603999998</v>
      </c>
      <c r="D217" s="56">
        <f>+D160</f>
        <v>170250696.35999998</v>
      </c>
      <c r="E217" s="315"/>
      <c r="F217" s="301"/>
      <c r="G217" s="306"/>
      <c r="H217" s="269"/>
      <c r="K217" s="319"/>
    </row>
    <row r="218" spans="1:11" x14ac:dyDescent="0.25">
      <c r="A218" s="314"/>
      <c r="B218" s="122" t="s">
        <v>58</v>
      </c>
      <c r="C218" s="122">
        <f>+C210</f>
        <v>108067.64610000001</v>
      </c>
      <c r="D218" s="122">
        <f>+D210</f>
        <v>120338386.81</v>
      </c>
      <c r="E218" s="316"/>
      <c r="F218" s="308"/>
      <c r="G218" s="306"/>
      <c r="H218" s="269"/>
    </row>
    <row r="219" spans="1:11" x14ac:dyDescent="0.25">
      <c r="A219" s="314"/>
      <c r="B219" s="122"/>
      <c r="C219" s="122"/>
      <c r="D219" s="56"/>
      <c r="E219" s="316"/>
      <c r="F219" s="308"/>
      <c r="G219" s="306"/>
      <c r="H219" s="269"/>
    </row>
    <row r="220" spans="1:11" x14ac:dyDescent="0.25">
      <c r="A220" s="314"/>
      <c r="B220" s="317" t="s">
        <v>59</v>
      </c>
      <c r="C220" s="317">
        <f>+C217+C218</f>
        <v>304019.03214000002</v>
      </c>
      <c r="D220" s="27">
        <f>SUM(D217:D218)</f>
        <v>290589083.16999996</v>
      </c>
      <c r="E220" s="316"/>
      <c r="F220" s="308"/>
      <c r="G220" s="45"/>
      <c r="H220" s="269"/>
    </row>
    <row r="221" spans="1:11" ht="16.5" thickBot="1" x14ac:dyDescent="0.3">
      <c r="A221" s="314"/>
      <c r="B221" s="318"/>
      <c r="C221" s="318"/>
      <c r="D221" s="75"/>
      <c r="E221" s="315"/>
      <c r="F221" s="301"/>
      <c r="G221" s="45"/>
      <c r="H221" s="269"/>
      <c r="I221" s="319"/>
    </row>
    <row r="222" spans="1:11" x14ac:dyDescent="0.25">
      <c r="E222" s="269"/>
      <c r="F222" s="45"/>
      <c r="H222" s="269"/>
      <c r="I222" s="320"/>
    </row>
    <row r="223" spans="1:11" x14ac:dyDescent="0.25">
      <c r="B223" s="337"/>
      <c r="C223" s="337"/>
      <c r="D223" s="344"/>
      <c r="E223" s="338"/>
      <c r="F223" s="338"/>
      <c r="G223" s="338"/>
      <c r="H223" s="337"/>
    </row>
    <row r="224" spans="1:11" x14ac:dyDescent="0.25">
      <c r="B224" s="337"/>
      <c r="C224" s="337"/>
      <c r="D224" s="338"/>
      <c r="E224" s="338"/>
      <c r="F224" s="338"/>
      <c r="G224" s="338"/>
      <c r="H224" s="337"/>
    </row>
    <row r="225" spans="2:8" x14ac:dyDescent="0.25">
      <c r="B225" s="337"/>
      <c r="C225" s="337"/>
      <c r="D225" s="337"/>
      <c r="E225" s="338"/>
      <c r="F225" s="338"/>
      <c r="G225" s="338"/>
      <c r="H225" s="337"/>
    </row>
    <row r="226" spans="2:8" x14ac:dyDescent="0.25">
      <c r="B226" s="337"/>
      <c r="C226" s="337"/>
      <c r="D226" s="338"/>
      <c r="E226" s="338"/>
      <c r="F226" s="338"/>
      <c r="G226" s="338"/>
      <c r="H226" s="337"/>
    </row>
    <row r="227" spans="2:8" x14ac:dyDescent="0.25">
      <c r="B227" s="337"/>
      <c r="D227" s="337"/>
      <c r="E227" s="338"/>
      <c r="F227" s="338"/>
      <c r="G227" s="337"/>
      <c r="H227" s="337"/>
    </row>
    <row r="228" spans="2:8" x14ac:dyDescent="0.25">
      <c r="B228" s="337"/>
      <c r="D228" s="337"/>
      <c r="E228" s="338"/>
      <c r="F228" s="338"/>
      <c r="G228" s="338"/>
    </row>
    <row r="229" spans="2:8" x14ac:dyDescent="0.25">
      <c r="B229" s="337"/>
      <c r="C229" s="337"/>
      <c r="D229" s="337"/>
      <c r="E229" s="338"/>
      <c r="F229" s="338"/>
      <c r="G229" s="338"/>
    </row>
    <row r="230" spans="2:8" x14ac:dyDescent="0.25">
      <c r="B230" s="337"/>
      <c r="C230" s="337"/>
      <c r="D230" s="337"/>
      <c r="E230" s="338"/>
      <c r="F230" s="338"/>
      <c r="G230" s="338"/>
      <c r="H230" s="337"/>
    </row>
    <row r="231" spans="2:8" x14ac:dyDescent="0.25">
      <c r="B231" s="337"/>
      <c r="C231" s="337"/>
      <c r="D231" s="337"/>
      <c r="E231" s="338"/>
      <c r="F231" s="338"/>
      <c r="G231" s="337"/>
      <c r="H231" s="337"/>
    </row>
    <row r="232" spans="2:8" x14ac:dyDescent="0.25">
      <c r="B232" s="337"/>
      <c r="C232" s="337"/>
      <c r="D232" s="337"/>
      <c r="E232" s="338"/>
      <c r="F232" s="338"/>
      <c r="G232" s="338"/>
      <c r="H232" s="337"/>
    </row>
    <row r="233" spans="2:8" x14ac:dyDescent="0.25">
      <c r="B233" s="337"/>
      <c r="C233" s="337"/>
      <c r="D233" s="337"/>
      <c r="E233" s="338"/>
      <c r="F233" s="338"/>
      <c r="G233" s="338"/>
      <c r="H233" s="337"/>
    </row>
    <row r="234" spans="2:8" x14ac:dyDescent="0.25">
      <c r="B234" s="337"/>
      <c r="C234" s="337"/>
      <c r="D234" s="337"/>
      <c r="E234" s="338"/>
      <c r="F234" s="338"/>
      <c r="G234" s="338"/>
      <c r="H234" s="337"/>
    </row>
    <row r="235" spans="2:8" x14ac:dyDescent="0.25">
      <c r="B235" s="337"/>
      <c r="C235" s="337"/>
      <c r="D235" s="337"/>
      <c r="E235" s="338"/>
      <c r="F235" s="338"/>
      <c r="G235" s="338"/>
      <c r="H235" s="337"/>
    </row>
    <row r="236" spans="2:8" x14ac:dyDescent="0.25">
      <c r="B236" s="337"/>
      <c r="C236" s="337"/>
      <c r="D236" s="337"/>
      <c r="E236" s="338"/>
      <c r="F236" s="338"/>
      <c r="G236" s="338"/>
      <c r="H236" s="337"/>
    </row>
    <row r="237" spans="2:8" x14ac:dyDescent="0.25">
      <c r="B237" s="337"/>
      <c r="C237" s="337"/>
      <c r="D237" s="337"/>
      <c r="E237" s="337"/>
      <c r="F237" s="337"/>
      <c r="G237" s="338"/>
      <c r="H237" s="337"/>
    </row>
    <row r="238" spans="2:8" x14ac:dyDescent="0.25">
      <c r="B238" s="337"/>
      <c r="C238" s="337"/>
      <c r="D238" s="337"/>
      <c r="E238" s="338"/>
      <c r="F238" s="338"/>
      <c r="G238" s="338"/>
      <c r="H238" s="337"/>
    </row>
    <row r="239" spans="2:8" x14ac:dyDescent="0.25">
      <c r="B239" s="337"/>
      <c r="C239" s="337"/>
      <c r="D239" s="337"/>
      <c r="E239" s="338"/>
      <c r="F239" s="338"/>
      <c r="G239" s="338"/>
      <c r="H239" s="337"/>
    </row>
    <row r="240" spans="2:8" x14ac:dyDescent="0.25">
      <c r="B240" s="337"/>
      <c r="C240" s="337"/>
      <c r="D240" s="337"/>
      <c r="E240" s="338"/>
      <c r="F240" s="338"/>
      <c r="G240" s="338"/>
      <c r="H240" s="337"/>
    </row>
    <row r="241" spans="2:8" x14ac:dyDescent="0.25">
      <c r="B241" s="337"/>
      <c r="C241" s="337"/>
      <c r="D241" s="337"/>
      <c r="E241" s="337"/>
      <c r="F241" s="337"/>
      <c r="G241" s="337"/>
      <c r="H241" s="337"/>
    </row>
    <row r="242" spans="2:8" x14ac:dyDescent="0.25">
      <c r="B242" s="337"/>
      <c r="C242" s="337"/>
      <c r="D242" s="337"/>
      <c r="E242" s="338"/>
      <c r="F242" s="338"/>
      <c r="G242" s="337"/>
      <c r="H242" s="337"/>
    </row>
    <row r="243" spans="2:8" x14ac:dyDescent="0.25">
      <c r="B243" s="337"/>
      <c r="C243" s="337"/>
      <c r="D243" s="337"/>
      <c r="E243" s="338"/>
      <c r="F243" s="338"/>
      <c r="G243" s="338"/>
      <c r="H243" s="337"/>
    </row>
    <row r="244" spans="2:8" x14ac:dyDescent="0.25">
      <c r="B244" s="337"/>
      <c r="C244" s="337"/>
      <c r="D244" s="337"/>
      <c r="E244" s="338"/>
      <c r="F244" s="338"/>
      <c r="G244" s="338"/>
      <c r="H244" s="337"/>
    </row>
    <row r="245" spans="2:8" x14ac:dyDescent="0.25">
      <c r="B245" s="337"/>
      <c r="C245" s="337"/>
      <c r="D245" s="337"/>
      <c r="E245" s="337"/>
      <c r="F245" s="337"/>
      <c r="G245" s="338"/>
      <c r="H245" s="337"/>
    </row>
    <row r="246" spans="2:8" x14ac:dyDescent="0.25">
      <c r="B246" s="337"/>
      <c r="C246" s="337"/>
      <c r="D246" s="337"/>
      <c r="E246" s="337"/>
      <c r="F246" s="337"/>
      <c r="G246" s="338"/>
      <c r="H246" s="337"/>
    </row>
    <row r="247" spans="2:8" x14ac:dyDescent="0.25">
      <c r="B247" s="337"/>
      <c r="C247" s="337"/>
      <c r="D247" s="337"/>
      <c r="E247" s="338"/>
      <c r="F247" s="338"/>
      <c r="G247" s="338"/>
      <c r="H247" s="337"/>
    </row>
    <row r="248" spans="2:8" x14ac:dyDescent="0.25">
      <c r="B248" s="337"/>
      <c r="C248" s="337"/>
      <c r="D248" s="337"/>
      <c r="E248" s="337"/>
      <c r="F248" s="337"/>
      <c r="G248" s="338"/>
      <c r="H248" s="337"/>
    </row>
    <row r="249" spans="2:8" x14ac:dyDescent="0.25">
      <c r="B249" s="337"/>
      <c r="C249" s="337"/>
      <c r="D249" s="337"/>
      <c r="E249" s="337"/>
      <c r="F249" s="337"/>
      <c r="G249" s="337"/>
      <c r="H249" s="337"/>
    </row>
    <row r="250" spans="2:8" x14ac:dyDescent="0.25">
      <c r="B250" s="337"/>
      <c r="C250" s="337"/>
      <c r="D250" s="337"/>
      <c r="E250" s="337"/>
      <c r="F250" s="337"/>
      <c r="G250" s="337"/>
      <c r="H250" s="337"/>
    </row>
    <row r="251" spans="2:8" x14ac:dyDescent="0.25">
      <c r="B251" s="337"/>
      <c r="C251" s="337"/>
      <c r="D251" s="337"/>
      <c r="E251" s="337"/>
      <c r="F251" s="337"/>
      <c r="G251" s="338"/>
      <c r="H251" s="337"/>
    </row>
    <row r="252" spans="2:8" x14ac:dyDescent="0.25">
      <c r="B252" s="337"/>
      <c r="C252" s="337"/>
      <c r="D252" s="337"/>
      <c r="E252" s="337"/>
      <c r="F252" s="337"/>
      <c r="G252" s="337"/>
      <c r="H252" s="337"/>
    </row>
    <row r="253" spans="2:8" x14ac:dyDescent="0.25">
      <c r="B253" s="337"/>
      <c r="C253" s="337"/>
      <c r="D253" s="337"/>
      <c r="E253" s="337"/>
      <c r="F253" s="337"/>
      <c r="G253" s="337"/>
      <c r="H253" s="337"/>
    </row>
    <row r="290" spans="1:8" x14ac:dyDescent="0.25">
      <c r="A290" s="339"/>
      <c r="B290" s="340"/>
      <c r="C290" s="340"/>
      <c r="D290" s="341"/>
      <c r="E290" s="342"/>
      <c r="F290" s="343"/>
      <c r="G290" s="341"/>
      <c r="H290" s="194"/>
    </row>
    <row r="291" spans="1:8" x14ac:dyDescent="0.25">
      <c r="A291" s="339"/>
      <c r="B291" s="340"/>
      <c r="C291" s="340"/>
      <c r="D291" s="341"/>
      <c r="E291" s="342"/>
      <c r="F291" s="343"/>
      <c r="G291" s="341"/>
      <c r="H291" s="194"/>
    </row>
    <row r="292" spans="1:8" x14ac:dyDescent="0.25">
      <c r="A292" s="339"/>
      <c r="B292" s="340"/>
      <c r="C292" s="340"/>
      <c r="D292" s="341"/>
      <c r="E292" s="342"/>
      <c r="F292" s="343"/>
      <c r="G292" s="341"/>
      <c r="H292" s="194"/>
    </row>
    <row r="293" spans="1:8" x14ac:dyDescent="0.25">
      <c r="A293" s="339"/>
      <c r="B293" s="340"/>
      <c r="C293" s="340"/>
      <c r="D293" s="341"/>
      <c r="E293" s="342"/>
      <c r="F293" s="343"/>
      <c r="G293" s="341"/>
      <c r="H293" s="194"/>
    </row>
    <row r="294" spans="1:8" x14ac:dyDescent="0.25">
      <c r="A294" s="339"/>
      <c r="B294" s="340"/>
      <c r="C294" s="340"/>
      <c r="D294" s="341"/>
      <c r="E294" s="342"/>
      <c r="F294" s="343"/>
      <c r="G294" s="341"/>
      <c r="H294" s="194"/>
    </row>
    <row r="295" spans="1:8" x14ac:dyDescent="0.25">
      <c r="A295" s="339"/>
      <c r="B295" s="340"/>
      <c r="C295" s="340"/>
      <c r="D295" s="341"/>
      <c r="E295" s="342"/>
      <c r="F295" s="343"/>
      <c r="G295" s="341"/>
      <c r="H295" s="194"/>
    </row>
    <row r="296" spans="1:8" x14ac:dyDescent="0.25">
      <c r="A296" s="339"/>
      <c r="B296" s="340"/>
      <c r="C296" s="340"/>
      <c r="D296" s="341"/>
      <c r="E296" s="342"/>
      <c r="F296" s="343"/>
      <c r="G296" s="341"/>
      <c r="H296" s="194"/>
    </row>
    <row r="297" spans="1:8" x14ac:dyDescent="0.25">
      <c r="A297" s="339"/>
      <c r="B297" s="340"/>
      <c r="C297" s="340"/>
      <c r="D297" s="341"/>
      <c r="E297" s="342"/>
      <c r="F297" s="343"/>
      <c r="G297" s="341"/>
      <c r="H297" s="194"/>
    </row>
    <row r="298" spans="1:8" x14ac:dyDescent="0.25">
      <c r="A298" s="339"/>
      <c r="B298" s="340"/>
      <c r="C298" s="340"/>
      <c r="D298" s="341"/>
      <c r="E298" s="342"/>
      <c r="F298" s="343"/>
      <c r="G298" s="341"/>
      <c r="H298" s="194"/>
    </row>
    <row r="299" spans="1:8" x14ac:dyDescent="0.25">
      <c r="A299" s="339"/>
      <c r="B299" s="340"/>
      <c r="C299" s="340"/>
      <c r="D299" s="341"/>
      <c r="E299" s="342"/>
      <c r="F299" s="343"/>
      <c r="G299" s="341"/>
      <c r="H299" s="194"/>
    </row>
    <row r="300" spans="1:8" x14ac:dyDescent="0.25">
      <c r="A300" s="339"/>
      <c r="B300" s="340"/>
      <c r="C300" s="340"/>
      <c r="D300" s="341"/>
      <c r="E300" s="342"/>
      <c r="F300" s="343"/>
      <c r="G300" s="341"/>
      <c r="H300" s="194"/>
    </row>
    <row r="301" spans="1:8" x14ac:dyDescent="0.25">
      <c r="A301" s="339"/>
      <c r="B301" s="340"/>
      <c r="C301" s="340"/>
      <c r="D301" s="341"/>
      <c r="E301" s="342"/>
      <c r="F301" s="343"/>
      <c r="G301" s="341"/>
      <c r="H301" s="194"/>
    </row>
    <row r="302" spans="1:8" x14ac:dyDescent="0.25">
      <c r="A302" s="339"/>
      <c r="B302" s="340"/>
      <c r="C302" s="340"/>
      <c r="D302" s="341"/>
      <c r="E302" s="342"/>
      <c r="F302" s="343"/>
      <c r="G302" s="341"/>
      <c r="H302" s="194"/>
    </row>
    <row r="303" spans="1:8" x14ac:dyDescent="0.25">
      <c r="A303" s="339"/>
      <c r="B303" s="340"/>
      <c r="C303" s="340"/>
      <c r="D303" s="341"/>
      <c r="E303" s="342"/>
      <c r="F303" s="343"/>
      <c r="G303" s="341"/>
      <c r="H303" s="194"/>
    </row>
    <row r="304" spans="1:8" x14ac:dyDescent="0.25">
      <c r="A304" s="339"/>
      <c r="B304" s="340"/>
      <c r="C304" s="340"/>
      <c r="D304" s="341"/>
      <c r="E304" s="342"/>
      <c r="F304" s="343"/>
      <c r="G304" s="341"/>
      <c r="H304" s="194"/>
    </row>
    <row r="305" spans="1:8" x14ac:dyDescent="0.25">
      <c r="A305" s="339"/>
      <c r="B305" s="340"/>
      <c r="C305" s="340"/>
      <c r="D305" s="341"/>
      <c r="E305" s="342"/>
      <c r="F305" s="343"/>
      <c r="G305" s="341"/>
      <c r="H305" s="194"/>
    </row>
    <row r="306" spans="1:8" x14ac:dyDescent="0.25">
      <c r="A306" s="339"/>
      <c r="B306" s="340"/>
      <c r="C306" s="340"/>
      <c r="D306" s="341"/>
      <c r="E306" s="342"/>
      <c r="F306" s="343"/>
      <c r="G306" s="341"/>
      <c r="H306" s="194"/>
    </row>
    <row r="307" spans="1:8" x14ac:dyDescent="0.25">
      <c r="A307" s="339"/>
      <c r="B307" s="340"/>
      <c r="C307" s="340"/>
      <c r="D307" s="341"/>
      <c r="E307" s="342"/>
      <c r="F307" s="343"/>
      <c r="G307" s="341"/>
      <c r="H307" s="194"/>
    </row>
    <row r="308" spans="1:8" x14ac:dyDescent="0.25">
      <c r="A308" s="339"/>
      <c r="B308" s="340"/>
      <c r="C308" s="340"/>
      <c r="D308" s="341"/>
      <c r="E308" s="342"/>
      <c r="F308" s="343"/>
      <c r="G308" s="341"/>
      <c r="H308" s="194"/>
    </row>
    <row r="309" spans="1:8" x14ac:dyDescent="0.25">
      <c r="A309" s="339"/>
      <c r="B309" s="340"/>
      <c r="C309" s="340"/>
      <c r="D309" s="341"/>
      <c r="E309" s="342"/>
      <c r="F309" s="343"/>
      <c r="G309" s="341"/>
      <c r="H309" s="194"/>
    </row>
    <row r="310" spans="1:8" x14ac:dyDescent="0.25">
      <c r="A310" s="339"/>
      <c r="B310" s="340"/>
      <c r="C310" s="340"/>
      <c r="D310" s="341"/>
      <c r="E310" s="342"/>
      <c r="F310" s="343"/>
      <c r="G310" s="341"/>
      <c r="H310" s="194"/>
    </row>
    <row r="311" spans="1:8" x14ac:dyDescent="0.25">
      <c r="A311" s="339"/>
      <c r="B311" s="340"/>
      <c r="C311" s="340"/>
      <c r="D311" s="341"/>
      <c r="E311" s="342"/>
      <c r="F311" s="343"/>
      <c r="G311" s="341"/>
      <c r="H311" s="194"/>
    </row>
    <row r="312" spans="1:8" x14ac:dyDescent="0.25">
      <c r="A312" s="339"/>
      <c r="B312" s="340"/>
      <c r="C312" s="340"/>
      <c r="D312" s="341"/>
      <c r="E312" s="342"/>
      <c r="F312" s="343"/>
      <c r="G312" s="341"/>
      <c r="H312" s="194"/>
    </row>
    <row r="313" spans="1:8" x14ac:dyDescent="0.25">
      <c r="A313" s="339"/>
      <c r="B313" s="340"/>
      <c r="C313" s="340"/>
      <c r="D313" s="341"/>
      <c r="E313" s="342"/>
      <c r="F313" s="343"/>
      <c r="G313" s="341"/>
      <c r="H313" s="194"/>
    </row>
    <row r="314" spans="1:8" x14ac:dyDescent="0.25">
      <c r="A314" s="339"/>
      <c r="B314" s="340"/>
      <c r="C314" s="340"/>
      <c r="D314" s="341"/>
      <c r="E314" s="342"/>
      <c r="F314" s="343"/>
      <c r="G314" s="341"/>
      <c r="H314" s="194"/>
    </row>
    <row r="315" spans="1:8" x14ac:dyDescent="0.25">
      <c r="A315" s="339"/>
      <c r="B315" s="340"/>
      <c r="C315" s="340"/>
      <c r="D315" s="341"/>
      <c r="E315" s="342"/>
      <c r="F315" s="343"/>
      <c r="G315" s="341"/>
      <c r="H315" s="194"/>
    </row>
    <row r="316" spans="1:8" x14ac:dyDescent="0.25">
      <c r="A316" s="339"/>
      <c r="B316" s="340"/>
      <c r="C316" s="340"/>
      <c r="D316" s="341"/>
      <c r="E316" s="342"/>
      <c r="F316" s="343"/>
      <c r="G316" s="341"/>
      <c r="H316" s="194"/>
    </row>
    <row r="317" spans="1:8" x14ac:dyDescent="0.25">
      <c r="A317" s="339"/>
      <c r="B317" s="340"/>
      <c r="C317" s="340"/>
      <c r="D317" s="341"/>
      <c r="E317" s="342"/>
      <c r="F317" s="343"/>
      <c r="G317" s="341"/>
      <c r="H317" s="194"/>
    </row>
    <row r="318" spans="1:8" x14ac:dyDescent="0.25">
      <c r="A318" s="339"/>
      <c r="B318" s="340"/>
      <c r="C318" s="340"/>
      <c r="D318" s="341"/>
      <c r="E318" s="342"/>
      <c r="F318" s="343"/>
      <c r="G318" s="341"/>
      <c r="H318" s="194"/>
    </row>
    <row r="319" spans="1:8" x14ac:dyDescent="0.25">
      <c r="A319" s="339"/>
      <c r="B319" s="340"/>
      <c r="C319" s="340"/>
      <c r="D319" s="341"/>
      <c r="E319" s="342"/>
      <c r="F319" s="343"/>
      <c r="G319" s="341"/>
      <c r="H319" s="194"/>
    </row>
    <row r="320" spans="1:8" x14ac:dyDescent="0.25">
      <c r="A320" s="339"/>
      <c r="B320" s="340"/>
      <c r="C320" s="340"/>
      <c r="D320" s="341"/>
      <c r="E320" s="342"/>
      <c r="F320" s="343"/>
      <c r="G320" s="341"/>
      <c r="H320" s="194"/>
    </row>
    <row r="321" spans="1:8" x14ac:dyDescent="0.25">
      <c r="A321" s="339"/>
      <c r="B321" s="340"/>
      <c r="C321" s="340"/>
      <c r="D321" s="341"/>
      <c r="E321" s="342"/>
      <c r="F321" s="343"/>
      <c r="G321" s="341"/>
      <c r="H321" s="194"/>
    </row>
    <row r="322" spans="1:8" x14ac:dyDescent="0.25">
      <c r="A322" s="339"/>
      <c r="B322" s="340"/>
      <c r="C322" s="340"/>
      <c r="D322" s="341"/>
      <c r="E322" s="342"/>
      <c r="F322" s="343"/>
      <c r="G322" s="341"/>
      <c r="H322" s="194"/>
    </row>
    <row r="323" spans="1:8" x14ac:dyDescent="0.25">
      <c r="A323" s="339"/>
      <c r="B323" s="340"/>
      <c r="C323" s="340"/>
      <c r="D323" s="341"/>
      <c r="E323" s="342"/>
      <c r="F323" s="343"/>
      <c r="G323" s="341"/>
      <c r="H323" s="194"/>
    </row>
    <row r="324" spans="1:8" x14ac:dyDescent="0.25">
      <c r="A324" s="339"/>
      <c r="B324" s="340"/>
      <c r="C324" s="340"/>
      <c r="D324" s="341"/>
      <c r="E324" s="342"/>
      <c r="F324" s="343"/>
      <c r="G324" s="341"/>
      <c r="H324" s="194"/>
    </row>
    <row r="325" spans="1:8" x14ac:dyDescent="0.25">
      <c r="A325" s="339"/>
      <c r="B325" s="340"/>
      <c r="C325" s="340"/>
      <c r="D325" s="341"/>
      <c r="E325" s="342"/>
      <c r="F325" s="343"/>
      <c r="G325" s="341"/>
      <c r="H325" s="194"/>
    </row>
    <row r="326" spans="1:8" x14ac:dyDescent="0.25">
      <c r="A326" s="339"/>
      <c r="B326" s="340"/>
      <c r="C326" s="340"/>
      <c r="D326" s="341"/>
      <c r="E326" s="342"/>
      <c r="F326" s="343"/>
      <c r="G326" s="341"/>
      <c r="H326" s="194"/>
    </row>
    <row r="327" spans="1:8" x14ac:dyDescent="0.25">
      <c r="A327" s="339"/>
      <c r="B327" s="340"/>
      <c r="C327" s="340"/>
      <c r="D327" s="341"/>
      <c r="E327" s="342"/>
      <c r="F327" s="343"/>
      <c r="G327" s="341"/>
      <c r="H327" s="194"/>
    </row>
    <row r="328" spans="1:8" x14ac:dyDescent="0.25">
      <c r="A328" s="339"/>
      <c r="B328" s="340"/>
      <c r="C328" s="340"/>
      <c r="D328" s="341"/>
      <c r="E328" s="342"/>
      <c r="F328" s="343"/>
      <c r="G328" s="341"/>
      <c r="H328" s="194"/>
    </row>
    <row r="329" spans="1:8" x14ac:dyDescent="0.25">
      <c r="A329" s="339"/>
      <c r="B329" s="340"/>
      <c r="C329" s="340"/>
      <c r="D329" s="341"/>
      <c r="E329" s="342"/>
      <c r="F329" s="343"/>
      <c r="G329" s="341"/>
      <c r="H329" s="194"/>
    </row>
    <row r="330" spans="1:8" x14ac:dyDescent="0.25">
      <c r="A330" s="339"/>
      <c r="B330" s="340"/>
      <c r="C330" s="340"/>
      <c r="D330" s="341"/>
      <c r="E330" s="342"/>
      <c r="F330" s="343"/>
      <c r="G330" s="341"/>
      <c r="H330" s="194"/>
    </row>
    <row r="331" spans="1:8" x14ac:dyDescent="0.25">
      <c r="A331" s="339"/>
      <c r="B331" s="340"/>
      <c r="C331" s="340"/>
      <c r="D331" s="341"/>
      <c r="E331" s="342"/>
      <c r="F331" s="343"/>
      <c r="G331" s="341"/>
      <c r="H331" s="194"/>
    </row>
    <row r="332" spans="1:8" x14ac:dyDescent="0.25">
      <c r="A332" s="339"/>
      <c r="B332" s="340"/>
      <c r="C332" s="340"/>
      <c r="D332" s="341"/>
      <c r="E332" s="342"/>
      <c r="F332" s="343"/>
      <c r="G332" s="341"/>
      <c r="H332" s="194"/>
    </row>
    <row r="333" spans="1:8" x14ac:dyDescent="0.25">
      <c r="A333" s="339"/>
      <c r="B333" s="340"/>
      <c r="C333" s="340"/>
      <c r="D333" s="341"/>
      <c r="E333" s="342"/>
      <c r="F333" s="343"/>
      <c r="G333" s="341"/>
      <c r="H333" s="194"/>
    </row>
    <row r="334" spans="1:8" x14ac:dyDescent="0.25">
      <c r="A334" s="339"/>
      <c r="B334" s="340"/>
      <c r="C334" s="340"/>
      <c r="D334" s="341"/>
      <c r="E334" s="342"/>
      <c r="F334" s="343"/>
      <c r="G334" s="341"/>
      <c r="H334" s="194"/>
    </row>
    <row r="335" spans="1:8" x14ac:dyDescent="0.25">
      <c r="A335" s="339"/>
      <c r="B335" s="340"/>
      <c r="C335" s="340"/>
      <c r="D335" s="341"/>
      <c r="E335" s="342"/>
      <c r="F335" s="343"/>
      <c r="G335" s="341"/>
      <c r="H335" s="194"/>
    </row>
    <row r="336" spans="1:8" x14ac:dyDescent="0.25">
      <c r="A336" s="339"/>
      <c r="B336" s="340"/>
      <c r="C336" s="340"/>
      <c r="D336" s="341"/>
      <c r="E336" s="342"/>
      <c r="F336" s="343"/>
      <c r="G336" s="341"/>
      <c r="H336" s="194"/>
    </row>
    <row r="337" spans="1:8" x14ac:dyDescent="0.25">
      <c r="A337" s="339"/>
      <c r="B337" s="340"/>
      <c r="C337" s="340"/>
      <c r="D337" s="341"/>
      <c r="E337" s="342"/>
      <c r="F337" s="343"/>
      <c r="G337" s="341"/>
      <c r="H337" s="194"/>
    </row>
    <row r="338" spans="1:8" x14ac:dyDescent="0.25">
      <c r="A338" s="339"/>
      <c r="B338" s="340"/>
      <c r="C338" s="340"/>
      <c r="D338" s="341"/>
      <c r="E338" s="342"/>
      <c r="F338" s="343"/>
      <c r="G338" s="341"/>
      <c r="H338" s="194"/>
    </row>
    <row r="339" spans="1:8" x14ac:dyDescent="0.25">
      <c r="A339" s="339"/>
      <c r="B339" s="340"/>
      <c r="C339" s="340"/>
      <c r="D339" s="341"/>
      <c r="E339" s="342"/>
      <c r="F339" s="343"/>
      <c r="G339" s="341"/>
      <c r="H339" s="194"/>
    </row>
    <row r="340" spans="1:8" x14ac:dyDescent="0.25">
      <c r="A340" s="339"/>
      <c r="B340" s="340"/>
      <c r="C340" s="340"/>
      <c r="D340" s="341"/>
      <c r="E340" s="342"/>
      <c r="F340" s="343"/>
      <c r="G340" s="341"/>
      <c r="H340" s="194"/>
    </row>
    <row r="341" spans="1:8" x14ac:dyDescent="0.25">
      <c r="A341" s="339"/>
      <c r="B341" s="340"/>
      <c r="C341" s="340"/>
      <c r="D341" s="341"/>
      <c r="E341" s="342"/>
      <c r="F341" s="343"/>
      <c r="G341" s="341"/>
      <c r="H341" s="194"/>
    </row>
    <row r="342" spans="1:8" x14ac:dyDescent="0.25">
      <c r="A342" s="339"/>
      <c r="B342" s="340"/>
      <c r="C342" s="340"/>
      <c r="D342" s="341"/>
      <c r="E342" s="342"/>
      <c r="F342" s="343"/>
      <c r="G342" s="341"/>
      <c r="H342" s="194"/>
    </row>
    <row r="343" spans="1:8" x14ac:dyDescent="0.25">
      <c r="A343" s="339"/>
      <c r="B343" s="340"/>
      <c r="C343" s="340"/>
      <c r="D343" s="341"/>
      <c r="E343" s="342"/>
      <c r="F343" s="343"/>
      <c r="G343" s="341"/>
      <c r="H343" s="194"/>
    </row>
    <row r="344" spans="1:8" x14ac:dyDescent="0.25">
      <c r="A344" s="339"/>
      <c r="B344" s="340"/>
      <c r="C344" s="340"/>
      <c r="D344" s="341"/>
      <c r="E344" s="342"/>
      <c r="F344" s="343"/>
      <c r="G344" s="341"/>
      <c r="H344" s="194"/>
    </row>
    <row r="345" spans="1:8" x14ac:dyDescent="0.25">
      <c r="A345" s="339"/>
      <c r="B345" s="340"/>
      <c r="C345" s="340"/>
      <c r="D345" s="341"/>
      <c r="E345" s="342"/>
      <c r="F345" s="343"/>
      <c r="G345" s="341"/>
      <c r="H345" s="194"/>
    </row>
    <row r="346" spans="1:8" x14ac:dyDescent="0.25">
      <c r="A346" s="339"/>
      <c r="B346" s="340"/>
      <c r="C346" s="340"/>
      <c r="D346" s="341"/>
      <c r="E346" s="342"/>
      <c r="F346" s="343"/>
      <c r="G346" s="341"/>
      <c r="H346" s="194"/>
    </row>
    <row r="347" spans="1:8" x14ac:dyDescent="0.25">
      <c r="A347" s="339"/>
      <c r="B347" s="340"/>
      <c r="C347" s="340"/>
      <c r="D347" s="341"/>
      <c r="E347" s="342"/>
      <c r="F347" s="343"/>
      <c r="G347" s="341"/>
      <c r="H347" s="194"/>
    </row>
    <row r="348" spans="1:8" x14ac:dyDescent="0.25">
      <c r="A348" s="339"/>
      <c r="B348" s="340"/>
      <c r="C348" s="340"/>
      <c r="D348" s="341"/>
      <c r="E348" s="342"/>
      <c r="F348" s="343"/>
      <c r="G348" s="341"/>
      <c r="H348" s="194"/>
    </row>
    <row r="349" spans="1:8" x14ac:dyDescent="0.25">
      <c r="A349" s="339"/>
      <c r="B349" s="340"/>
      <c r="C349" s="340"/>
      <c r="D349" s="341"/>
      <c r="E349" s="342"/>
      <c r="F349" s="343"/>
      <c r="G349" s="341"/>
      <c r="H349" s="194"/>
    </row>
    <row r="350" spans="1:8" x14ac:dyDescent="0.25">
      <c r="A350" s="339"/>
      <c r="B350" s="340"/>
      <c r="C350" s="340"/>
      <c r="D350" s="341"/>
      <c r="E350" s="342"/>
      <c r="F350" s="343"/>
      <c r="G350" s="341"/>
      <c r="H350" s="194"/>
    </row>
    <row r="351" spans="1:8" x14ac:dyDescent="0.25">
      <c r="A351" s="339"/>
      <c r="B351" s="340"/>
      <c r="C351" s="340"/>
      <c r="D351" s="341"/>
      <c r="E351" s="342"/>
      <c r="F351" s="343"/>
      <c r="G351" s="341"/>
      <c r="H351" s="194"/>
    </row>
    <row r="352" spans="1:8" x14ac:dyDescent="0.25">
      <c r="A352" s="339"/>
      <c r="B352" s="340"/>
      <c r="C352" s="340"/>
      <c r="D352" s="341"/>
      <c r="E352" s="342"/>
      <c r="F352" s="343"/>
      <c r="G352" s="341"/>
      <c r="H352" s="194"/>
    </row>
    <row r="353" spans="1:8" x14ac:dyDescent="0.25">
      <c r="A353" s="339"/>
      <c r="B353" s="340"/>
      <c r="C353" s="340"/>
      <c r="D353" s="341"/>
      <c r="E353" s="342"/>
      <c r="F353" s="343"/>
      <c r="G353" s="341"/>
      <c r="H353" s="194"/>
    </row>
    <row r="354" spans="1:8" x14ac:dyDescent="0.25">
      <c r="A354" s="339"/>
      <c r="B354" s="340"/>
      <c r="C354" s="340"/>
      <c r="D354" s="341"/>
      <c r="E354" s="342"/>
      <c r="F354" s="343"/>
      <c r="G354" s="341"/>
      <c r="H354" s="194"/>
    </row>
    <row r="355" spans="1:8" x14ac:dyDescent="0.25">
      <c r="A355" s="339"/>
      <c r="B355" s="340"/>
      <c r="C355" s="340"/>
      <c r="D355" s="341"/>
      <c r="E355" s="342"/>
      <c r="F355" s="343"/>
      <c r="G355" s="341"/>
      <c r="H355" s="194"/>
    </row>
    <row r="356" spans="1:8" x14ac:dyDescent="0.25">
      <c r="A356" s="339"/>
      <c r="B356" s="340"/>
      <c r="C356" s="340"/>
      <c r="D356" s="341"/>
      <c r="E356" s="342"/>
      <c r="F356" s="343"/>
      <c r="G356" s="341"/>
      <c r="H356" s="194"/>
    </row>
    <row r="357" spans="1:8" x14ac:dyDescent="0.25">
      <c r="A357" s="339"/>
      <c r="B357" s="340"/>
      <c r="C357" s="340"/>
      <c r="D357" s="341"/>
      <c r="E357" s="342"/>
      <c r="F357" s="343"/>
      <c r="G357" s="341"/>
      <c r="H357" s="194"/>
    </row>
    <row r="358" spans="1:8" x14ac:dyDescent="0.25">
      <c r="A358" s="339"/>
      <c r="B358" s="340"/>
      <c r="C358" s="340"/>
      <c r="D358" s="341"/>
      <c r="E358" s="342"/>
      <c r="F358" s="343"/>
      <c r="G358" s="341"/>
      <c r="H358" s="194"/>
    </row>
    <row r="359" spans="1:8" x14ac:dyDescent="0.25">
      <c r="A359" s="339"/>
      <c r="B359" s="340"/>
      <c r="C359" s="340"/>
      <c r="D359" s="341"/>
      <c r="E359" s="342"/>
      <c r="F359" s="343"/>
      <c r="G359" s="341"/>
      <c r="H359" s="194"/>
    </row>
    <row r="360" spans="1:8" x14ac:dyDescent="0.25">
      <c r="A360" s="339"/>
      <c r="B360" s="340"/>
      <c r="C360" s="340"/>
      <c r="D360" s="341"/>
      <c r="E360" s="342"/>
      <c r="F360" s="343"/>
      <c r="G360" s="341"/>
      <c r="H360" s="194"/>
    </row>
    <row r="361" spans="1:8" x14ac:dyDescent="0.25">
      <c r="A361" s="339"/>
      <c r="B361" s="340"/>
      <c r="C361" s="340"/>
      <c r="D361" s="341"/>
      <c r="E361" s="342"/>
      <c r="F361" s="343"/>
      <c r="G361" s="341"/>
      <c r="H361" s="194"/>
    </row>
    <row r="362" spans="1:8" x14ac:dyDescent="0.25">
      <c r="A362" s="339"/>
      <c r="B362" s="340"/>
      <c r="C362" s="340"/>
      <c r="D362" s="341"/>
      <c r="E362" s="342"/>
      <c r="F362" s="343"/>
      <c r="G362" s="341"/>
      <c r="H362" s="194"/>
    </row>
    <row r="363" spans="1:8" x14ac:dyDescent="0.25">
      <c r="A363" s="339"/>
      <c r="B363" s="340"/>
      <c r="C363" s="340"/>
      <c r="D363" s="341"/>
      <c r="E363" s="342"/>
      <c r="F363" s="343"/>
      <c r="G363" s="341"/>
      <c r="H363" s="194"/>
    </row>
    <row r="364" spans="1:8" x14ac:dyDescent="0.25">
      <c r="A364" s="339"/>
      <c r="B364" s="340"/>
      <c r="C364" s="340"/>
      <c r="D364" s="341"/>
      <c r="E364" s="342"/>
      <c r="F364" s="343"/>
      <c r="G364" s="341"/>
      <c r="H364" s="194"/>
    </row>
    <row r="365" spans="1:8" x14ac:dyDescent="0.25">
      <c r="A365" s="339"/>
      <c r="B365" s="340"/>
      <c r="C365" s="340"/>
      <c r="D365" s="341"/>
      <c r="E365" s="342"/>
      <c r="F365" s="343"/>
      <c r="G365" s="341"/>
      <c r="H365" s="194"/>
    </row>
    <row r="366" spans="1:8" x14ac:dyDescent="0.25">
      <c r="A366" s="339"/>
      <c r="B366" s="340"/>
      <c r="C366" s="340"/>
      <c r="D366" s="341"/>
      <c r="E366" s="342"/>
      <c r="F366" s="343"/>
      <c r="G366" s="341"/>
      <c r="H366" s="194"/>
    </row>
    <row r="367" spans="1:8" x14ac:dyDescent="0.25">
      <c r="A367" s="339"/>
      <c r="B367" s="340"/>
      <c r="C367" s="340"/>
      <c r="D367" s="341"/>
      <c r="E367" s="342"/>
      <c r="F367" s="343"/>
      <c r="G367" s="341"/>
      <c r="H367" s="194"/>
    </row>
    <row r="368" spans="1:8" x14ac:dyDescent="0.25">
      <c r="A368" s="339"/>
      <c r="B368" s="340"/>
      <c r="C368" s="340"/>
      <c r="D368" s="341"/>
      <c r="E368" s="342"/>
      <c r="F368" s="343"/>
      <c r="G368" s="341"/>
      <c r="H368" s="194"/>
    </row>
    <row r="369" spans="1:8" x14ac:dyDescent="0.25">
      <c r="A369" s="339"/>
      <c r="B369" s="340"/>
      <c r="C369" s="340"/>
      <c r="D369" s="341"/>
      <c r="E369" s="342"/>
      <c r="F369" s="343"/>
      <c r="G369" s="341"/>
      <c r="H369" s="194"/>
    </row>
    <row r="370" spans="1:8" x14ac:dyDescent="0.25">
      <c r="A370" s="339"/>
      <c r="B370" s="340"/>
      <c r="C370" s="340"/>
      <c r="D370" s="341"/>
      <c r="E370" s="342"/>
      <c r="F370" s="343"/>
      <c r="G370" s="341"/>
      <c r="H370" s="194"/>
    </row>
    <row r="371" spans="1:8" x14ac:dyDescent="0.25">
      <c r="A371" s="339"/>
      <c r="B371" s="340"/>
      <c r="C371" s="340"/>
      <c r="D371" s="341"/>
      <c r="E371" s="342"/>
      <c r="F371" s="343"/>
      <c r="G371" s="341"/>
      <c r="H371" s="194"/>
    </row>
    <row r="372" spans="1:8" x14ac:dyDescent="0.25">
      <c r="A372" s="339"/>
      <c r="B372" s="340"/>
      <c r="C372" s="340"/>
      <c r="D372" s="341"/>
      <c r="E372" s="342"/>
      <c r="F372" s="343"/>
      <c r="G372" s="341"/>
      <c r="H372" s="194"/>
    </row>
    <row r="373" spans="1:8" x14ac:dyDescent="0.25">
      <c r="A373" s="339"/>
      <c r="B373" s="340"/>
      <c r="C373" s="340"/>
      <c r="D373" s="341"/>
      <c r="E373" s="342"/>
      <c r="F373" s="343"/>
      <c r="G373" s="341"/>
      <c r="H373" s="194"/>
    </row>
    <row r="374" spans="1:8" x14ac:dyDescent="0.25">
      <c r="A374" s="339"/>
      <c r="B374" s="340"/>
      <c r="C374" s="340"/>
      <c r="D374" s="341"/>
      <c r="E374" s="342"/>
      <c r="F374" s="343"/>
      <c r="G374" s="341"/>
      <c r="H374" s="194"/>
    </row>
    <row r="375" spans="1:8" x14ac:dyDescent="0.25">
      <c r="A375" s="339"/>
      <c r="B375" s="340"/>
      <c r="C375" s="340"/>
      <c r="D375" s="341"/>
      <c r="E375" s="342"/>
      <c r="F375" s="343"/>
      <c r="G375" s="341"/>
      <c r="H375" s="194"/>
    </row>
    <row r="376" spans="1:8" x14ac:dyDescent="0.25">
      <c r="A376" s="339"/>
      <c r="B376" s="340"/>
      <c r="C376" s="340"/>
      <c r="D376" s="341"/>
      <c r="E376" s="342"/>
      <c r="F376" s="343"/>
      <c r="G376" s="341"/>
      <c r="H376" s="194"/>
    </row>
    <row r="377" spans="1:8" x14ac:dyDescent="0.25">
      <c r="A377" s="339"/>
      <c r="B377" s="340"/>
      <c r="C377" s="340"/>
      <c r="D377" s="341"/>
      <c r="E377" s="342"/>
      <c r="F377" s="343"/>
      <c r="G377" s="341"/>
      <c r="H377" s="194"/>
    </row>
    <row r="378" spans="1:8" x14ac:dyDescent="0.25">
      <c r="A378" s="339"/>
      <c r="B378" s="340"/>
      <c r="C378" s="340"/>
      <c r="D378" s="341"/>
      <c r="E378" s="342"/>
      <c r="F378" s="343"/>
      <c r="G378" s="341"/>
      <c r="H378" s="194"/>
    </row>
    <row r="379" spans="1:8" x14ac:dyDescent="0.25">
      <c r="A379" s="339"/>
      <c r="B379" s="340"/>
      <c r="C379" s="340"/>
      <c r="D379" s="341"/>
      <c r="E379" s="342"/>
      <c r="F379" s="343"/>
      <c r="G379" s="341"/>
      <c r="H379" s="194"/>
    </row>
    <row r="380" spans="1:8" x14ac:dyDescent="0.25">
      <c r="A380" s="339"/>
      <c r="B380" s="340"/>
      <c r="C380" s="340"/>
      <c r="D380" s="341"/>
      <c r="E380" s="342"/>
      <c r="F380" s="343"/>
      <c r="G380" s="341"/>
      <c r="H380" s="194"/>
    </row>
    <row r="381" spans="1:8" x14ac:dyDescent="0.25">
      <c r="A381" s="339"/>
      <c r="B381" s="340"/>
      <c r="C381" s="340"/>
      <c r="D381" s="341"/>
      <c r="E381" s="342"/>
      <c r="F381" s="343"/>
      <c r="G381" s="341"/>
      <c r="H381" s="194"/>
    </row>
    <row r="382" spans="1:8" x14ac:dyDescent="0.25">
      <c r="A382" s="339"/>
      <c r="B382" s="340"/>
      <c r="C382" s="340"/>
      <c r="D382" s="341"/>
      <c r="E382" s="342"/>
      <c r="F382" s="343"/>
      <c r="G382" s="341"/>
      <c r="H382" s="194"/>
    </row>
    <row r="383" spans="1:8" x14ac:dyDescent="0.25">
      <c r="A383" s="339"/>
      <c r="B383" s="340"/>
      <c r="C383" s="340"/>
      <c r="D383" s="341"/>
      <c r="E383" s="342"/>
      <c r="F383" s="343"/>
      <c r="G383" s="341"/>
      <c r="H383" s="194"/>
    </row>
    <row r="384" spans="1:8" x14ac:dyDescent="0.25">
      <c r="A384" s="339"/>
      <c r="B384" s="340"/>
      <c r="C384" s="340"/>
      <c r="D384" s="341"/>
      <c r="E384" s="342"/>
      <c r="F384" s="343"/>
      <c r="G384" s="341"/>
      <c r="H384" s="194"/>
    </row>
    <row r="385" spans="1:8" x14ac:dyDescent="0.25">
      <c r="A385" s="339"/>
      <c r="B385" s="340"/>
      <c r="C385" s="340"/>
      <c r="D385" s="341"/>
      <c r="E385" s="342"/>
      <c r="F385" s="343"/>
      <c r="G385" s="341"/>
      <c r="H385" s="194"/>
    </row>
    <row r="386" spans="1:8" x14ac:dyDescent="0.25">
      <c r="A386" s="339"/>
      <c r="B386" s="340"/>
      <c r="C386" s="340"/>
      <c r="D386" s="341"/>
      <c r="E386" s="342"/>
      <c r="F386" s="343"/>
      <c r="G386" s="341"/>
      <c r="H386" s="194"/>
    </row>
    <row r="387" spans="1:8" x14ac:dyDescent="0.25">
      <c r="A387" s="339"/>
      <c r="B387" s="340"/>
      <c r="C387" s="340"/>
      <c r="D387" s="341"/>
      <c r="E387" s="342"/>
      <c r="F387" s="343"/>
      <c r="G387" s="341"/>
      <c r="H387" s="194"/>
    </row>
    <row r="388" spans="1:8" x14ac:dyDescent="0.25">
      <c r="A388" s="339"/>
      <c r="B388" s="340"/>
      <c r="C388" s="340"/>
      <c r="D388" s="341"/>
      <c r="E388" s="342"/>
      <c r="F388" s="343"/>
      <c r="G388" s="341"/>
      <c r="H388" s="194"/>
    </row>
    <row r="389" spans="1:8" x14ac:dyDescent="0.25">
      <c r="A389" s="339"/>
      <c r="B389" s="340"/>
      <c r="C389" s="340"/>
      <c r="D389" s="341"/>
      <c r="E389" s="342"/>
      <c r="F389" s="343"/>
      <c r="G389" s="341"/>
      <c r="H389" s="194"/>
    </row>
    <row r="390" spans="1:8" x14ac:dyDescent="0.25">
      <c r="A390" s="339"/>
      <c r="B390" s="340"/>
      <c r="C390" s="340"/>
      <c r="D390" s="341"/>
      <c r="E390" s="342"/>
      <c r="F390" s="343"/>
      <c r="G390" s="341"/>
      <c r="H390" s="194"/>
    </row>
    <row r="391" spans="1:8" x14ac:dyDescent="0.25">
      <c r="A391" s="339"/>
      <c r="B391" s="340"/>
      <c r="C391" s="340"/>
      <c r="D391" s="341"/>
      <c r="E391" s="342"/>
      <c r="F391" s="343"/>
      <c r="G391" s="341"/>
      <c r="H391" s="194"/>
    </row>
    <row r="392" spans="1:8" x14ac:dyDescent="0.25">
      <c r="A392" s="339"/>
      <c r="B392" s="340"/>
      <c r="C392" s="340"/>
      <c r="D392" s="341"/>
      <c r="E392" s="342"/>
      <c r="F392" s="343"/>
      <c r="G392" s="341"/>
      <c r="H392" s="194"/>
    </row>
    <row r="393" spans="1:8" x14ac:dyDescent="0.25">
      <c r="A393" s="339"/>
      <c r="B393" s="340"/>
      <c r="C393" s="340"/>
      <c r="D393" s="341"/>
      <c r="E393" s="342"/>
      <c r="F393" s="343"/>
      <c r="G393" s="341"/>
      <c r="H393" s="194"/>
    </row>
    <row r="394" spans="1:8" x14ac:dyDescent="0.25">
      <c r="A394" s="339"/>
      <c r="B394" s="340"/>
      <c r="C394" s="340"/>
      <c r="D394" s="341"/>
      <c r="E394" s="342"/>
      <c r="F394" s="343"/>
      <c r="G394" s="341"/>
      <c r="H394" s="194"/>
    </row>
    <row r="395" spans="1:8" x14ac:dyDescent="0.25">
      <c r="A395" s="339"/>
      <c r="B395" s="340"/>
      <c r="C395" s="340"/>
      <c r="D395" s="341"/>
      <c r="E395" s="342"/>
      <c r="F395" s="343"/>
      <c r="G395" s="341"/>
      <c r="H395" s="194"/>
    </row>
    <row r="396" spans="1:8" x14ac:dyDescent="0.25">
      <c r="A396" s="339"/>
      <c r="B396" s="340"/>
      <c r="C396" s="340"/>
      <c r="D396" s="341"/>
      <c r="E396" s="342"/>
      <c r="F396" s="343"/>
      <c r="G396" s="341"/>
      <c r="H396" s="194"/>
    </row>
    <row r="397" spans="1:8" x14ac:dyDescent="0.25">
      <c r="A397" s="339"/>
      <c r="B397" s="340"/>
      <c r="C397" s="340"/>
      <c r="D397" s="341"/>
      <c r="E397" s="342"/>
      <c r="F397" s="343"/>
      <c r="G397" s="341"/>
      <c r="H397" s="194"/>
    </row>
    <row r="398" spans="1:8" x14ac:dyDescent="0.25">
      <c r="A398" s="339"/>
      <c r="B398" s="340"/>
      <c r="C398" s="340"/>
      <c r="D398" s="341"/>
      <c r="E398" s="342"/>
      <c r="F398" s="343"/>
      <c r="G398" s="341"/>
      <c r="H398" s="194"/>
    </row>
    <row r="399" spans="1:8" x14ac:dyDescent="0.25">
      <c r="A399" s="339"/>
      <c r="B399" s="340"/>
      <c r="C399" s="340"/>
      <c r="D399" s="341"/>
      <c r="E399" s="342"/>
      <c r="F399" s="343"/>
      <c r="G399" s="341"/>
      <c r="H399" s="194"/>
    </row>
    <row r="400" spans="1:8" x14ac:dyDescent="0.25">
      <c r="A400" s="339"/>
      <c r="B400" s="340"/>
      <c r="C400" s="340"/>
      <c r="D400" s="341"/>
      <c r="E400" s="342"/>
      <c r="F400" s="343"/>
      <c r="G400" s="341"/>
      <c r="H400" s="194"/>
    </row>
    <row r="401" spans="1:8" x14ac:dyDescent="0.25">
      <c r="A401" s="339"/>
      <c r="B401" s="340"/>
      <c r="C401" s="340"/>
      <c r="D401" s="341"/>
      <c r="E401" s="342"/>
      <c r="F401" s="343"/>
      <c r="G401" s="341"/>
      <c r="H401" s="194"/>
    </row>
    <row r="402" spans="1:8" x14ac:dyDescent="0.25">
      <c r="A402" s="339"/>
      <c r="B402" s="340"/>
      <c r="C402" s="340"/>
      <c r="D402" s="341"/>
      <c r="E402" s="342"/>
      <c r="F402" s="343"/>
      <c r="G402" s="341"/>
      <c r="H402" s="194"/>
    </row>
    <row r="403" spans="1:8" x14ac:dyDescent="0.25">
      <c r="A403" s="339"/>
      <c r="B403" s="340"/>
      <c r="C403" s="340"/>
      <c r="D403" s="341"/>
      <c r="E403" s="342"/>
      <c r="F403" s="343"/>
      <c r="G403" s="341"/>
      <c r="H403" s="194"/>
    </row>
    <row r="404" spans="1:8" x14ac:dyDescent="0.25">
      <c r="A404" s="339"/>
      <c r="B404" s="340"/>
      <c r="C404" s="340"/>
      <c r="D404" s="341"/>
      <c r="E404" s="342"/>
      <c r="F404" s="343"/>
      <c r="G404" s="341"/>
      <c r="H404" s="194"/>
    </row>
    <row r="405" spans="1:8" x14ac:dyDescent="0.25">
      <c r="A405" s="339"/>
      <c r="B405" s="340"/>
      <c r="C405" s="340"/>
      <c r="D405" s="341"/>
      <c r="E405" s="342"/>
      <c r="F405" s="343"/>
      <c r="G405" s="341"/>
      <c r="H405" s="194"/>
    </row>
    <row r="406" spans="1:8" x14ac:dyDescent="0.25">
      <c r="A406" s="339"/>
      <c r="B406" s="340"/>
      <c r="C406" s="340"/>
      <c r="D406" s="341"/>
      <c r="E406" s="342"/>
      <c r="F406" s="343"/>
      <c r="G406" s="341"/>
      <c r="H406" s="194"/>
    </row>
    <row r="407" spans="1:8" x14ac:dyDescent="0.25">
      <c r="A407" s="339"/>
      <c r="B407" s="340"/>
      <c r="C407" s="340"/>
      <c r="D407" s="341"/>
      <c r="E407" s="342"/>
      <c r="F407" s="343"/>
      <c r="G407" s="341"/>
      <c r="H407" s="194"/>
    </row>
    <row r="408" spans="1:8" x14ac:dyDescent="0.25">
      <c r="A408" s="339"/>
      <c r="B408" s="340"/>
      <c r="C408" s="340"/>
      <c r="D408" s="341"/>
      <c r="E408" s="342"/>
      <c r="F408" s="343"/>
      <c r="G408" s="341"/>
      <c r="H408" s="194"/>
    </row>
    <row r="409" spans="1:8" x14ac:dyDescent="0.25">
      <c r="A409" s="339"/>
      <c r="B409" s="340"/>
      <c r="C409" s="340"/>
      <c r="D409" s="341"/>
      <c r="E409" s="342"/>
      <c r="F409" s="343"/>
      <c r="G409" s="341"/>
      <c r="H409" s="194"/>
    </row>
    <row r="410" spans="1:8" x14ac:dyDescent="0.25">
      <c r="A410" s="339"/>
      <c r="B410" s="340"/>
      <c r="C410" s="340"/>
      <c r="D410" s="341"/>
      <c r="E410" s="342"/>
      <c r="F410" s="343"/>
      <c r="G410" s="341"/>
      <c r="H410" s="194"/>
    </row>
    <row r="411" spans="1:8" x14ac:dyDescent="0.25">
      <c r="A411" s="339"/>
      <c r="B411" s="340"/>
      <c r="C411" s="340"/>
      <c r="D411" s="341"/>
      <c r="E411" s="342"/>
      <c r="F411" s="343"/>
      <c r="G411" s="341"/>
      <c r="H411" s="194"/>
    </row>
    <row r="412" spans="1:8" x14ac:dyDescent="0.25">
      <c r="A412" s="339"/>
      <c r="B412" s="340"/>
      <c r="C412" s="340"/>
      <c r="D412" s="341"/>
      <c r="E412" s="342"/>
      <c r="F412" s="343"/>
      <c r="G412" s="341"/>
      <c r="H412" s="194"/>
    </row>
    <row r="413" spans="1:8" x14ac:dyDescent="0.25">
      <c r="A413" s="339"/>
      <c r="B413" s="340"/>
      <c r="C413" s="340"/>
      <c r="D413" s="341"/>
      <c r="E413" s="342"/>
      <c r="F413" s="343"/>
      <c r="G413" s="341"/>
      <c r="H413" s="194"/>
    </row>
    <row r="414" spans="1:8" x14ac:dyDescent="0.25">
      <c r="A414" s="339"/>
      <c r="B414" s="340"/>
      <c r="C414" s="340"/>
      <c r="D414" s="341"/>
      <c r="E414" s="342"/>
      <c r="F414" s="343"/>
      <c r="G414" s="341"/>
      <c r="H414" s="194"/>
    </row>
    <row r="415" spans="1:8" x14ac:dyDescent="0.25">
      <c r="A415" s="339"/>
      <c r="B415" s="340"/>
      <c r="C415" s="340"/>
      <c r="D415" s="341"/>
      <c r="E415" s="342"/>
      <c r="F415" s="343"/>
      <c r="G415" s="341"/>
      <c r="H415" s="194"/>
    </row>
    <row r="416" spans="1:8" x14ac:dyDescent="0.25">
      <c r="A416" s="339"/>
      <c r="B416" s="340"/>
      <c r="C416" s="340"/>
      <c r="D416" s="341"/>
      <c r="E416" s="342"/>
      <c r="F416" s="343"/>
      <c r="G416" s="341"/>
      <c r="H416" s="194"/>
    </row>
    <row r="417" spans="1:8" x14ac:dyDescent="0.25">
      <c r="A417" s="339"/>
      <c r="B417" s="340"/>
      <c r="C417" s="340"/>
      <c r="D417" s="341"/>
      <c r="E417" s="342"/>
      <c r="F417" s="343"/>
      <c r="G417" s="341"/>
      <c r="H417" s="194"/>
    </row>
    <row r="418" spans="1:8" x14ac:dyDescent="0.25">
      <c r="A418" s="339"/>
      <c r="B418" s="340"/>
      <c r="C418" s="340"/>
      <c r="D418" s="341"/>
      <c r="E418" s="342"/>
      <c r="F418" s="343"/>
      <c r="G418" s="341"/>
      <c r="H418" s="194"/>
    </row>
    <row r="419" spans="1:8" x14ac:dyDescent="0.25">
      <c r="A419" s="339"/>
      <c r="B419" s="340"/>
      <c r="C419" s="340"/>
      <c r="D419" s="341"/>
      <c r="E419" s="342"/>
      <c r="F419" s="343"/>
      <c r="G419" s="341"/>
      <c r="H419" s="194"/>
    </row>
    <row r="420" spans="1:8" x14ac:dyDescent="0.25">
      <c r="A420" s="339"/>
      <c r="B420" s="340"/>
      <c r="C420" s="340"/>
      <c r="D420" s="341"/>
      <c r="E420" s="342"/>
      <c r="F420" s="343"/>
      <c r="G420" s="341"/>
      <c r="H420" s="194"/>
    </row>
    <row r="421" spans="1:8" x14ac:dyDescent="0.25">
      <c r="A421" s="339"/>
      <c r="B421" s="340"/>
      <c r="C421" s="340"/>
      <c r="D421" s="341"/>
      <c r="E421" s="342"/>
      <c r="F421" s="343"/>
      <c r="G421" s="341"/>
      <c r="H421" s="194"/>
    </row>
    <row r="422" spans="1:8" x14ac:dyDescent="0.25">
      <c r="A422" s="339"/>
      <c r="B422" s="340"/>
      <c r="C422" s="340"/>
      <c r="D422" s="341"/>
      <c r="E422" s="342"/>
      <c r="F422" s="343"/>
      <c r="G422" s="341"/>
      <c r="H422" s="194"/>
    </row>
    <row r="423" spans="1:8" x14ac:dyDescent="0.25">
      <c r="A423" s="339"/>
      <c r="B423" s="340"/>
      <c r="C423" s="340"/>
      <c r="D423" s="341"/>
      <c r="E423" s="342"/>
      <c r="F423" s="343"/>
      <c r="G423" s="341"/>
      <c r="H423" s="194"/>
    </row>
    <row r="424" spans="1:8" x14ac:dyDescent="0.25">
      <c r="A424" s="339"/>
      <c r="B424" s="340"/>
      <c r="C424" s="340"/>
      <c r="D424" s="341"/>
      <c r="E424" s="342"/>
      <c r="F424" s="343"/>
      <c r="G424" s="341"/>
      <c r="H424" s="194"/>
    </row>
    <row r="425" spans="1:8" x14ac:dyDescent="0.25">
      <c r="A425" s="339"/>
      <c r="B425" s="340"/>
      <c r="C425" s="340"/>
      <c r="D425" s="341"/>
      <c r="E425" s="342"/>
      <c r="F425" s="343"/>
      <c r="G425" s="341"/>
      <c r="H425" s="194"/>
    </row>
    <row r="426" spans="1:8" x14ac:dyDescent="0.25">
      <c r="A426" s="339"/>
      <c r="B426" s="340"/>
      <c r="C426" s="340"/>
      <c r="D426" s="341"/>
      <c r="E426" s="342"/>
      <c r="F426" s="343"/>
      <c r="G426" s="341"/>
      <c r="H426" s="194"/>
    </row>
    <row r="427" spans="1:8" x14ac:dyDescent="0.25">
      <c r="A427" s="339"/>
      <c r="B427" s="340"/>
      <c r="C427" s="340"/>
      <c r="D427" s="341"/>
      <c r="E427" s="342"/>
      <c r="F427" s="343"/>
      <c r="G427" s="341"/>
      <c r="H427" s="194"/>
    </row>
    <row r="428" spans="1:8" x14ac:dyDescent="0.25">
      <c r="A428" s="339"/>
      <c r="B428" s="340"/>
      <c r="C428" s="340"/>
      <c r="D428" s="341"/>
      <c r="E428" s="342"/>
      <c r="F428" s="343"/>
      <c r="G428" s="341"/>
      <c r="H428" s="194"/>
    </row>
    <row r="429" spans="1:8" x14ac:dyDescent="0.25">
      <c r="A429" s="339"/>
      <c r="B429" s="340"/>
      <c r="C429" s="340"/>
      <c r="D429" s="341"/>
      <c r="E429" s="342"/>
      <c r="F429" s="343"/>
      <c r="G429" s="341"/>
      <c r="H429" s="194"/>
    </row>
    <row r="430" spans="1:8" x14ac:dyDescent="0.25">
      <c r="A430" s="339"/>
      <c r="B430" s="340"/>
      <c r="C430" s="340"/>
      <c r="D430" s="341"/>
      <c r="E430" s="342"/>
      <c r="F430" s="343"/>
      <c r="G430" s="341"/>
      <c r="H430" s="194"/>
    </row>
    <row r="431" spans="1:8" x14ac:dyDescent="0.25">
      <c r="A431" s="339"/>
      <c r="B431" s="340"/>
      <c r="C431" s="340"/>
      <c r="D431" s="341"/>
      <c r="E431" s="342"/>
      <c r="F431" s="343"/>
      <c r="G431" s="341"/>
      <c r="H431" s="194"/>
    </row>
    <row r="432" spans="1:8" x14ac:dyDescent="0.25">
      <c r="A432" s="339"/>
      <c r="B432" s="340"/>
      <c r="C432" s="340"/>
      <c r="D432" s="341"/>
      <c r="E432" s="342"/>
      <c r="F432" s="343"/>
      <c r="G432" s="341"/>
      <c r="H432" s="194"/>
    </row>
    <row r="433" spans="1:8" x14ac:dyDescent="0.25">
      <c r="A433" s="339"/>
      <c r="B433" s="340"/>
      <c r="C433" s="340"/>
      <c r="D433" s="341"/>
      <c r="E433" s="342"/>
      <c r="F433" s="343"/>
      <c r="G433" s="341"/>
      <c r="H433" s="194"/>
    </row>
    <row r="434" spans="1:8" x14ac:dyDescent="0.25">
      <c r="A434" s="339"/>
      <c r="B434" s="340"/>
      <c r="C434" s="340"/>
      <c r="D434" s="341"/>
      <c r="E434" s="342"/>
      <c r="F434" s="343"/>
      <c r="G434" s="341"/>
      <c r="H434" s="194"/>
    </row>
    <row r="435" spans="1:8" x14ac:dyDescent="0.25">
      <c r="A435" s="339"/>
      <c r="B435" s="340"/>
      <c r="C435" s="340"/>
      <c r="D435" s="341"/>
      <c r="E435" s="342"/>
      <c r="F435" s="343"/>
      <c r="G435" s="341"/>
      <c r="H435" s="194"/>
    </row>
    <row r="436" spans="1:8" x14ac:dyDescent="0.25">
      <c r="A436" s="339"/>
      <c r="B436" s="340"/>
      <c r="C436" s="340"/>
      <c r="D436" s="341"/>
      <c r="E436" s="342"/>
      <c r="F436" s="343"/>
      <c r="G436" s="341"/>
      <c r="H436" s="194"/>
    </row>
    <row r="437" spans="1:8" x14ac:dyDescent="0.25">
      <c r="A437" s="339"/>
      <c r="B437" s="340"/>
      <c r="C437" s="340"/>
      <c r="D437" s="341"/>
      <c r="E437" s="342"/>
      <c r="F437" s="343"/>
      <c r="G437" s="341"/>
      <c r="H437" s="194"/>
    </row>
    <row r="438" spans="1:8" x14ac:dyDescent="0.25">
      <c r="A438" s="339"/>
      <c r="B438" s="340"/>
      <c r="C438" s="340"/>
      <c r="D438" s="341"/>
      <c r="E438" s="342"/>
      <c r="F438" s="343"/>
      <c r="G438" s="341"/>
      <c r="H438" s="194"/>
    </row>
    <row r="439" spans="1:8" x14ac:dyDescent="0.25">
      <c r="A439" s="339"/>
      <c r="B439" s="340"/>
      <c r="C439" s="340"/>
      <c r="D439" s="341"/>
      <c r="E439" s="342"/>
      <c r="F439" s="343"/>
      <c r="G439" s="341"/>
      <c r="H439" s="194"/>
    </row>
    <row r="440" spans="1:8" x14ac:dyDescent="0.25">
      <c r="A440" s="339"/>
      <c r="B440" s="340"/>
      <c r="C440" s="340"/>
      <c r="D440" s="341"/>
      <c r="E440" s="342"/>
      <c r="F440" s="343"/>
      <c r="G440" s="341"/>
      <c r="H440" s="194"/>
    </row>
    <row r="441" spans="1:8" x14ac:dyDescent="0.25">
      <c r="A441" s="339"/>
      <c r="B441" s="340"/>
      <c r="C441" s="340"/>
      <c r="D441" s="341"/>
      <c r="E441" s="342"/>
      <c r="F441" s="343"/>
      <c r="G441" s="341"/>
      <c r="H441" s="194"/>
    </row>
    <row r="442" spans="1:8" x14ac:dyDescent="0.25">
      <c r="A442" s="339"/>
      <c r="B442" s="340"/>
      <c r="C442" s="340"/>
      <c r="D442" s="341"/>
      <c r="E442" s="342"/>
      <c r="F442" s="343"/>
      <c r="G442" s="341"/>
      <c r="H442" s="194"/>
    </row>
    <row r="443" spans="1:8" x14ac:dyDescent="0.25">
      <c r="A443" s="339"/>
      <c r="B443" s="340"/>
      <c r="C443" s="340"/>
      <c r="D443" s="341"/>
      <c r="E443" s="342"/>
      <c r="F443" s="343"/>
      <c r="G443" s="341"/>
      <c r="H443" s="194"/>
    </row>
    <row r="444" spans="1:8" x14ac:dyDescent="0.25">
      <c r="A444" s="339"/>
      <c r="B444" s="340"/>
      <c r="C444" s="340"/>
      <c r="D444" s="341"/>
      <c r="E444" s="342"/>
      <c r="F444" s="343"/>
      <c r="G444" s="341"/>
      <c r="H444" s="194"/>
    </row>
    <row r="445" spans="1:8" x14ac:dyDescent="0.25">
      <c r="A445" s="339"/>
      <c r="B445" s="340"/>
      <c r="C445" s="340"/>
      <c r="D445" s="341"/>
      <c r="E445" s="342"/>
      <c r="F445" s="343"/>
      <c r="G445" s="341"/>
      <c r="H445" s="194"/>
    </row>
    <row r="446" spans="1:8" x14ac:dyDescent="0.25">
      <c r="A446" s="339"/>
      <c r="B446" s="340"/>
      <c r="C446" s="340"/>
      <c r="D446" s="341"/>
      <c r="E446" s="342"/>
      <c r="F446" s="343"/>
      <c r="G446" s="341"/>
      <c r="H446" s="194"/>
    </row>
    <row r="447" spans="1:8" x14ac:dyDescent="0.25">
      <c r="A447" s="339"/>
      <c r="B447" s="340"/>
      <c r="C447" s="340"/>
      <c r="D447" s="341"/>
      <c r="E447" s="342"/>
      <c r="F447" s="343"/>
      <c r="G447" s="341"/>
      <c r="H447" s="194"/>
    </row>
    <row r="448" spans="1:8" x14ac:dyDescent="0.25">
      <c r="A448" s="339"/>
      <c r="B448" s="340"/>
      <c r="C448" s="340"/>
      <c r="D448" s="341"/>
      <c r="E448" s="342"/>
      <c r="F448" s="343"/>
      <c r="G448" s="341"/>
      <c r="H448" s="194"/>
    </row>
    <row r="449" spans="1:8" x14ac:dyDescent="0.25">
      <c r="A449" s="339"/>
      <c r="B449" s="340"/>
      <c r="C449" s="340"/>
      <c r="D449" s="341"/>
      <c r="E449" s="342"/>
      <c r="F449" s="343"/>
      <c r="G449" s="341"/>
      <c r="H449" s="194"/>
    </row>
    <row r="450" spans="1:8" x14ac:dyDescent="0.25">
      <c r="A450" s="339"/>
      <c r="B450" s="340"/>
      <c r="C450" s="340"/>
      <c r="D450" s="341"/>
      <c r="E450" s="342"/>
      <c r="F450" s="343"/>
      <c r="G450" s="341"/>
      <c r="H450" s="194"/>
    </row>
    <row r="451" spans="1:8" x14ac:dyDescent="0.25">
      <c r="A451" s="339"/>
      <c r="B451" s="340"/>
      <c r="C451" s="340"/>
      <c r="D451" s="341"/>
      <c r="E451" s="342"/>
      <c r="F451" s="343"/>
      <c r="G451" s="341"/>
      <c r="H451" s="194"/>
    </row>
    <row r="452" spans="1:8" x14ac:dyDescent="0.25">
      <c r="A452" s="339"/>
      <c r="B452" s="340"/>
      <c r="C452" s="340"/>
      <c r="D452" s="341"/>
      <c r="E452" s="342"/>
      <c r="F452" s="343"/>
      <c r="G452" s="341"/>
      <c r="H452" s="194"/>
    </row>
    <row r="453" spans="1:8" x14ac:dyDescent="0.25">
      <c r="A453" s="339"/>
      <c r="B453" s="340"/>
      <c r="C453" s="340"/>
      <c r="D453" s="341"/>
      <c r="E453" s="342"/>
      <c r="F453" s="343"/>
      <c r="G453" s="341"/>
      <c r="H453" s="194"/>
    </row>
    <row r="454" spans="1:8" x14ac:dyDescent="0.25">
      <c r="A454" s="339"/>
      <c r="B454" s="340"/>
      <c r="C454" s="340"/>
      <c r="D454" s="341"/>
      <c r="E454" s="342"/>
      <c r="F454" s="343"/>
      <c r="G454" s="341"/>
      <c r="H454" s="194"/>
    </row>
    <row r="455" spans="1:8" x14ac:dyDescent="0.25">
      <c r="A455" s="339"/>
      <c r="B455" s="340"/>
      <c r="C455" s="340"/>
      <c r="D455" s="341"/>
      <c r="E455" s="342"/>
      <c r="F455" s="343"/>
      <c r="G455" s="341"/>
      <c r="H455" s="194"/>
    </row>
    <row r="456" spans="1:8" x14ac:dyDescent="0.25">
      <c r="A456" s="339"/>
      <c r="B456" s="340"/>
      <c r="C456" s="340"/>
      <c r="D456" s="341"/>
      <c r="E456" s="342"/>
      <c r="F456" s="343"/>
      <c r="G456" s="341"/>
      <c r="H456" s="194"/>
    </row>
    <row r="457" spans="1:8" x14ac:dyDescent="0.25">
      <c r="A457" s="339"/>
      <c r="B457" s="340"/>
      <c r="C457" s="340"/>
      <c r="D457" s="341"/>
      <c r="E457" s="342"/>
      <c r="F457" s="343"/>
      <c r="G457" s="341"/>
      <c r="H457" s="194"/>
    </row>
    <row r="458" spans="1:8" x14ac:dyDescent="0.25">
      <c r="A458" s="339"/>
      <c r="B458" s="340"/>
      <c r="C458" s="340"/>
      <c r="D458" s="341"/>
      <c r="E458" s="342"/>
      <c r="F458" s="343"/>
      <c r="G458" s="341"/>
      <c r="H458" s="194"/>
    </row>
    <row r="459" spans="1:8" x14ac:dyDescent="0.25">
      <c r="A459" s="339"/>
      <c r="B459" s="340"/>
      <c r="C459" s="340"/>
      <c r="D459" s="341"/>
      <c r="E459" s="342"/>
      <c r="F459" s="343"/>
      <c r="G459" s="341"/>
      <c r="H459" s="194"/>
    </row>
    <row r="460" spans="1:8" x14ac:dyDescent="0.25">
      <c r="A460" s="339"/>
      <c r="B460" s="340"/>
      <c r="C460" s="340"/>
      <c r="D460" s="341"/>
      <c r="E460" s="342"/>
      <c r="F460" s="343"/>
      <c r="G460" s="341"/>
      <c r="H460" s="194"/>
    </row>
    <row r="461" spans="1:8" x14ac:dyDescent="0.25">
      <c r="A461" s="339"/>
      <c r="B461" s="340"/>
      <c r="C461" s="340"/>
      <c r="D461" s="341"/>
      <c r="E461" s="342"/>
      <c r="F461" s="343"/>
      <c r="G461" s="341"/>
      <c r="H461" s="194"/>
    </row>
    <row r="462" spans="1:8" x14ac:dyDescent="0.25">
      <c r="A462" s="339"/>
      <c r="B462" s="340"/>
      <c r="C462" s="340"/>
      <c r="D462" s="341"/>
      <c r="E462" s="342"/>
      <c r="F462" s="343"/>
      <c r="G462" s="341"/>
      <c r="H462" s="194"/>
    </row>
    <row r="463" spans="1:8" x14ac:dyDescent="0.25">
      <c r="A463" s="339"/>
      <c r="B463" s="340"/>
      <c r="C463" s="340"/>
      <c r="D463" s="341"/>
      <c r="E463" s="342"/>
      <c r="F463" s="343"/>
      <c r="G463" s="341"/>
      <c r="H463" s="194"/>
    </row>
    <row r="464" spans="1:8" x14ac:dyDescent="0.25">
      <c r="A464" s="339"/>
      <c r="B464" s="340"/>
      <c r="C464" s="340"/>
      <c r="D464" s="341"/>
      <c r="E464" s="342"/>
      <c r="F464" s="343"/>
      <c r="G464" s="341"/>
      <c r="H464" s="194"/>
    </row>
    <row r="465" spans="1:8" x14ac:dyDescent="0.25">
      <c r="A465" s="339"/>
      <c r="B465" s="340"/>
      <c r="C465" s="340"/>
      <c r="D465" s="341"/>
      <c r="E465" s="342"/>
      <c r="F465" s="343"/>
      <c r="G465" s="341"/>
      <c r="H465" s="194"/>
    </row>
    <row r="466" spans="1:8" x14ac:dyDescent="0.25">
      <c r="A466" s="339"/>
      <c r="B466" s="340"/>
      <c r="C466" s="340"/>
      <c r="D466" s="341"/>
      <c r="E466" s="342"/>
      <c r="F466" s="343"/>
      <c r="G466" s="341"/>
      <c r="H466" s="194"/>
    </row>
    <row r="467" spans="1:8" x14ac:dyDescent="0.25">
      <c r="A467" s="339"/>
      <c r="B467" s="340"/>
      <c r="C467" s="340"/>
      <c r="D467" s="341"/>
      <c r="E467" s="342"/>
      <c r="F467" s="343"/>
      <c r="G467" s="341"/>
      <c r="H467" s="194"/>
    </row>
    <row r="468" spans="1:8" x14ac:dyDescent="0.25">
      <c r="A468" s="339"/>
      <c r="B468" s="340"/>
      <c r="C468" s="340"/>
      <c r="D468" s="341"/>
      <c r="E468" s="342"/>
      <c r="F468" s="343"/>
      <c r="G468" s="341"/>
      <c r="H468" s="194"/>
    </row>
    <row r="469" spans="1:8" x14ac:dyDescent="0.25">
      <c r="A469" s="339"/>
      <c r="B469" s="340"/>
      <c r="C469" s="340"/>
      <c r="D469" s="341"/>
      <c r="E469" s="342"/>
      <c r="F469" s="343"/>
      <c r="G469" s="341"/>
      <c r="H469" s="194"/>
    </row>
    <row r="470" spans="1:8" x14ac:dyDescent="0.25">
      <c r="A470" s="339"/>
      <c r="B470" s="340"/>
      <c r="C470" s="340"/>
      <c r="D470" s="341"/>
      <c r="E470" s="342"/>
      <c r="F470" s="343"/>
      <c r="G470" s="341"/>
      <c r="H470" s="194"/>
    </row>
    <row r="471" spans="1:8" x14ac:dyDescent="0.25">
      <c r="A471" s="339"/>
      <c r="B471" s="340"/>
      <c r="C471" s="340"/>
      <c r="D471" s="341"/>
      <c r="E471" s="342"/>
      <c r="F471" s="343"/>
      <c r="G471" s="341"/>
      <c r="H471" s="194"/>
    </row>
    <row r="472" spans="1:8" x14ac:dyDescent="0.25">
      <c r="A472" s="339"/>
      <c r="B472" s="340"/>
      <c r="C472" s="340"/>
      <c r="D472" s="341"/>
      <c r="E472" s="342"/>
      <c r="F472" s="343"/>
      <c r="G472" s="341"/>
      <c r="H472" s="194"/>
    </row>
    <row r="473" spans="1:8" x14ac:dyDescent="0.25">
      <c r="A473" s="339"/>
      <c r="B473" s="340"/>
      <c r="C473" s="340"/>
      <c r="D473" s="341"/>
      <c r="E473" s="342"/>
      <c r="F473" s="343"/>
      <c r="G473" s="341"/>
      <c r="H473" s="194"/>
    </row>
    <row r="474" spans="1:8" x14ac:dyDescent="0.25">
      <c r="A474" s="339"/>
      <c r="B474" s="340"/>
      <c r="C474" s="340"/>
      <c r="D474" s="341"/>
      <c r="E474" s="342"/>
      <c r="F474" s="343"/>
      <c r="G474" s="341"/>
      <c r="H474" s="194"/>
    </row>
    <row r="475" spans="1:8" x14ac:dyDescent="0.25">
      <c r="A475" s="339"/>
      <c r="B475" s="340"/>
      <c r="C475" s="340"/>
      <c r="D475" s="341"/>
      <c r="E475" s="342"/>
      <c r="F475" s="343"/>
      <c r="G475" s="341"/>
      <c r="H475" s="194"/>
    </row>
    <row r="476" spans="1:8" x14ac:dyDescent="0.25">
      <c r="A476" s="339"/>
      <c r="B476" s="340"/>
      <c r="C476" s="340"/>
      <c r="D476" s="341"/>
      <c r="E476" s="342"/>
      <c r="F476" s="343"/>
      <c r="G476" s="341"/>
      <c r="H476" s="194"/>
    </row>
    <row r="477" spans="1:8" x14ac:dyDescent="0.25">
      <c r="A477" s="339"/>
      <c r="B477" s="340"/>
      <c r="C477" s="340"/>
      <c r="D477" s="341"/>
      <c r="E477" s="342"/>
      <c r="F477" s="343"/>
      <c r="G477" s="341"/>
      <c r="H477" s="194"/>
    </row>
    <row r="478" spans="1:8" x14ac:dyDescent="0.25">
      <c r="A478" s="339"/>
      <c r="B478" s="340"/>
      <c r="C478" s="340"/>
      <c r="D478" s="341"/>
      <c r="E478" s="342"/>
      <c r="F478" s="343"/>
      <c r="G478" s="341"/>
      <c r="H478" s="194"/>
    </row>
    <row r="479" spans="1:8" x14ac:dyDescent="0.25">
      <c r="A479" s="339"/>
      <c r="B479" s="340"/>
      <c r="C479" s="340"/>
      <c r="D479" s="341"/>
      <c r="E479" s="342"/>
      <c r="F479" s="343"/>
      <c r="G479" s="341"/>
      <c r="H479" s="194"/>
    </row>
    <row r="480" spans="1:8" x14ac:dyDescent="0.25">
      <c r="A480" s="339"/>
      <c r="B480" s="340"/>
      <c r="C480" s="340"/>
      <c r="D480" s="341"/>
      <c r="E480" s="342"/>
      <c r="F480" s="343"/>
      <c r="G480" s="341"/>
      <c r="H480" s="194"/>
    </row>
    <row r="481" spans="1:8" x14ac:dyDescent="0.25">
      <c r="A481" s="339"/>
      <c r="B481" s="340"/>
      <c r="C481" s="340"/>
      <c r="D481" s="341"/>
      <c r="E481" s="342"/>
      <c r="F481" s="343"/>
      <c r="G481" s="341"/>
      <c r="H481" s="194"/>
    </row>
    <row r="482" spans="1:8" x14ac:dyDescent="0.25">
      <c r="A482" s="339"/>
      <c r="B482" s="340"/>
      <c r="C482" s="340"/>
      <c r="D482" s="341"/>
      <c r="E482" s="342"/>
      <c r="F482" s="343"/>
      <c r="G482" s="341"/>
      <c r="H482" s="194"/>
    </row>
    <row r="483" spans="1:8" x14ac:dyDescent="0.25">
      <c r="A483" s="339"/>
      <c r="B483" s="340"/>
      <c r="C483" s="340"/>
      <c r="D483" s="341"/>
      <c r="E483" s="342"/>
      <c r="F483" s="343"/>
      <c r="G483" s="341"/>
      <c r="H483" s="194"/>
    </row>
    <row r="484" spans="1:8" x14ac:dyDescent="0.25">
      <c r="A484" s="339"/>
      <c r="B484" s="340"/>
      <c r="C484" s="340"/>
      <c r="D484" s="341"/>
      <c r="E484" s="342"/>
      <c r="F484" s="343"/>
      <c r="G484" s="341"/>
      <c r="H484" s="194"/>
    </row>
    <row r="485" spans="1:8" x14ac:dyDescent="0.25">
      <c r="A485" s="339"/>
      <c r="B485" s="340"/>
      <c r="C485" s="340"/>
      <c r="D485" s="341"/>
      <c r="E485" s="342"/>
      <c r="F485" s="343"/>
      <c r="G485" s="341"/>
      <c r="H485" s="194"/>
    </row>
    <row r="486" spans="1:8" x14ac:dyDescent="0.25">
      <c r="A486" s="339"/>
      <c r="B486" s="340"/>
      <c r="C486" s="340"/>
      <c r="D486" s="341"/>
      <c r="E486" s="342"/>
      <c r="F486" s="343"/>
      <c r="G486" s="341"/>
      <c r="H486" s="194"/>
    </row>
    <row r="487" spans="1:8" x14ac:dyDescent="0.25">
      <c r="A487" s="339"/>
      <c r="B487" s="340"/>
      <c r="C487" s="340"/>
      <c r="D487" s="341"/>
      <c r="E487" s="342"/>
      <c r="F487" s="343"/>
      <c r="G487" s="341"/>
      <c r="H487" s="194"/>
    </row>
    <row r="488" spans="1:8" x14ac:dyDescent="0.25">
      <c r="A488" s="339"/>
      <c r="B488" s="340"/>
      <c r="C488" s="340"/>
      <c r="D488" s="341"/>
      <c r="E488" s="342"/>
      <c r="F488" s="343"/>
      <c r="G488" s="341"/>
      <c r="H488" s="194"/>
    </row>
    <row r="489" spans="1:8" x14ac:dyDescent="0.25">
      <c r="A489" s="339"/>
      <c r="B489" s="340"/>
      <c r="C489" s="340"/>
      <c r="D489" s="341"/>
      <c r="E489" s="342"/>
      <c r="F489" s="343"/>
      <c r="G489" s="341"/>
      <c r="H489" s="194"/>
    </row>
    <row r="490" spans="1:8" x14ac:dyDescent="0.25">
      <c r="A490" s="339"/>
      <c r="B490" s="340"/>
      <c r="C490" s="340"/>
      <c r="D490" s="341"/>
      <c r="E490" s="342"/>
      <c r="F490" s="343"/>
      <c r="G490" s="341"/>
      <c r="H490" s="194"/>
    </row>
    <row r="491" spans="1:8" x14ac:dyDescent="0.25">
      <c r="A491" s="339"/>
      <c r="B491" s="340"/>
      <c r="C491" s="340"/>
      <c r="D491" s="341"/>
      <c r="E491" s="342"/>
      <c r="F491" s="343"/>
      <c r="G491" s="341"/>
      <c r="H491" s="194"/>
    </row>
    <row r="492" spans="1:8" x14ac:dyDescent="0.25">
      <c r="A492" s="339"/>
      <c r="B492" s="340"/>
      <c r="C492" s="340"/>
      <c r="D492" s="341"/>
      <c r="E492" s="342"/>
      <c r="F492" s="343"/>
      <c r="G492" s="341"/>
      <c r="H492" s="194"/>
    </row>
    <row r="493" spans="1:8" x14ac:dyDescent="0.25">
      <c r="A493" s="339"/>
      <c r="B493" s="340"/>
      <c r="C493" s="340"/>
      <c r="D493" s="341"/>
      <c r="E493" s="342"/>
      <c r="F493" s="343"/>
      <c r="G493" s="341"/>
      <c r="H493" s="194"/>
    </row>
    <row r="494" spans="1:8" x14ac:dyDescent="0.25">
      <c r="A494" s="339"/>
      <c r="B494" s="340"/>
      <c r="C494" s="340"/>
      <c r="D494" s="341"/>
      <c r="E494" s="342"/>
      <c r="F494" s="343"/>
      <c r="G494" s="341"/>
      <c r="H494" s="194"/>
    </row>
    <row r="495" spans="1:8" x14ac:dyDescent="0.25">
      <c r="A495" s="339"/>
      <c r="B495" s="340"/>
      <c r="C495" s="340"/>
      <c r="D495" s="341"/>
      <c r="E495" s="342"/>
      <c r="F495" s="343"/>
      <c r="G495" s="341"/>
      <c r="H495" s="194"/>
    </row>
    <row r="496" spans="1:8" x14ac:dyDescent="0.25">
      <c r="A496" s="339"/>
      <c r="B496" s="340"/>
      <c r="C496" s="340"/>
      <c r="D496" s="341"/>
      <c r="E496" s="342"/>
      <c r="F496" s="343"/>
      <c r="G496" s="341"/>
      <c r="H496" s="194"/>
    </row>
    <row r="497" spans="1:8" x14ac:dyDescent="0.25">
      <c r="A497" s="339"/>
      <c r="B497" s="340"/>
      <c r="C497" s="340"/>
      <c r="D497" s="341"/>
      <c r="E497" s="342"/>
      <c r="F497" s="343"/>
      <c r="G497" s="341"/>
      <c r="H497" s="194"/>
    </row>
    <row r="498" spans="1:8" x14ac:dyDescent="0.25">
      <c r="A498" s="339"/>
      <c r="B498" s="340"/>
      <c r="C498" s="340"/>
      <c r="D498" s="341"/>
      <c r="E498" s="342"/>
      <c r="F498" s="343"/>
      <c r="G498" s="341"/>
      <c r="H498" s="194"/>
    </row>
    <row r="499" spans="1:8" x14ac:dyDescent="0.25">
      <c r="A499" s="339"/>
      <c r="B499" s="340"/>
      <c r="C499" s="340"/>
      <c r="D499" s="341"/>
      <c r="E499" s="342"/>
      <c r="F499" s="343"/>
      <c r="G499" s="341"/>
      <c r="H499" s="194"/>
    </row>
    <row r="500" spans="1:8" x14ac:dyDescent="0.25">
      <c r="A500" s="339"/>
      <c r="B500" s="340"/>
      <c r="C500" s="340"/>
      <c r="D500" s="341"/>
      <c r="E500" s="342"/>
      <c r="F500" s="343"/>
      <c r="G500" s="341"/>
      <c r="H500" s="194"/>
    </row>
    <row r="501" spans="1:8" x14ac:dyDescent="0.25">
      <c r="A501" s="339"/>
      <c r="B501" s="340"/>
      <c r="C501" s="340"/>
      <c r="D501" s="341"/>
      <c r="E501" s="342"/>
      <c r="F501" s="343"/>
      <c r="G501" s="341"/>
      <c r="H501" s="194"/>
    </row>
    <row r="502" spans="1:8" x14ac:dyDescent="0.25">
      <c r="A502" s="339"/>
      <c r="B502" s="340"/>
      <c r="C502" s="340"/>
      <c r="D502" s="341"/>
      <c r="E502" s="342"/>
      <c r="F502" s="343"/>
      <c r="G502" s="341"/>
      <c r="H502" s="194"/>
    </row>
    <row r="503" spans="1:8" x14ac:dyDescent="0.25">
      <c r="A503" s="339"/>
      <c r="B503" s="340"/>
      <c r="C503" s="340"/>
      <c r="D503" s="341"/>
      <c r="E503" s="342"/>
      <c r="F503" s="343"/>
      <c r="G503" s="341"/>
      <c r="H503" s="194"/>
    </row>
  </sheetData>
  <mergeCells count="4">
    <mergeCell ref="A1:F1"/>
    <mergeCell ref="A2:F2"/>
    <mergeCell ref="A5:A6"/>
    <mergeCell ref="A164:A165"/>
  </mergeCells>
  <conditionalFormatting sqref="D93:D94 D96:D98 D44 D46:D67">
    <cfRule type="cellIs" dxfId="461" priority="10" operator="notEqual">
      <formula>#REF!</formula>
    </cfRule>
  </conditionalFormatting>
  <conditionalFormatting sqref="D107:D111 D113">
    <cfRule type="cellIs" dxfId="460" priority="8" operator="notEqual">
      <formula>#REF!</formula>
    </cfRule>
  </conditionalFormatting>
  <conditionalFormatting sqref="D99:D101">
    <cfRule type="cellIs" dxfId="459" priority="6" operator="notEqual">
      <formula>#REF!</formula>
    </cfRule>
  </conditionalFormatting>
  <conditionalFormatting sqref="D102">
    <cfRule type="cellIs" dxfId="458" priority="5" operator="notEqual">
      <formula>#REF!</formula>
    </cfRule>
  </conditionalFormatting>
  <conditionalFormatting sqref="D95">
    <cfRule type="cellIs" dxfId="457" priority="4" operator="notEqual">
      <formula>#REF!</formula>
    </cfRule>
  </conditionalFormatting>
  <conditionalFormatting sqref="D112">
    <cfRule type="cellIs" dxfId="456" priority="3" operator="notEqual">
      <formula>#REF!</formula>
    </cfRule>
  </conditionalFormatting>
  <conditionalFormatting sqref="D103">
    <cfRule type="cellIs" dxfId="455" priority="2" operator="notEqual">
      <formula>#REF!</formula>
    </cfRule>
  </conditionalFormatting>
  <conditionalFormatting sqref="D104">
    <cfRule type="cellIs" dxfId="454" priority="1" operator="notEqual">
      <formula>#REF!</formula>
    </cfRule>
  </conditionalFormatting>
  <pageMargins left="0.70866141732283472" right="0.70866141732283472" top="0.78740157480314965" bottom="0.78740157480314965" header="0.31496062992125984" footer="0.31496062992125984"/>
  <pageSetup paperSize="9" scale="53" fitToHeight="3" orientation="portrait"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K498"/>
  <sheetViews>
    <sheetView topLeftCell="A4" zoomScale="115" zoomScaleNormal="115" workbookViewId="0">
      <selection activeCell="I23" sqref="I23"/>
    </sheetView>
  </sheetViews>
  <sheetFormatPr defaultRowHeight="12.75" x14ac:dyDescent="0.2"/>
  <cols>
    <col min="1" max="1" width="60.5703125" bestFit="1" customWidth="1"/>
    <col min="2" max="2" width="26.140625" bestFit="1" customWidth="1"/>
    <col min="3" max="3" width="17.7109375" customWidth="1"/>
    <col min="4" max="4" width="11.140625" bestFit="1" customWidth="1"/>
    <col min="5" max="5" width="15.42578125" bestFit="1" customWidth="1"/>
  </cols>
  <sheetData>
    <row r="2" spans="1:5" ht="13.5" thickBot="1" x14ac:dyDescent="0.25">
      <c r="A2">
        <v>13</v>
      </c>
    </row>
    <row r="3" spans="1:5" x14ac:dyDescent="0.2">
      <c r="B3" s="682" t="s">
        <v>71</v>
      </c>
      <c r="C3" s="683"/>
      <c r="D3" s="151" t="s">
        <v>3</v>
      </c>
      <c r="E3" s="146" t="s">
        <v>4</v>
      </c>
    </row>
    <row r="4" spans="1:5" ht="13.5" thickBot="1" x14ac:dyDescent="0.25">
      <c r="B4" s="684" t="str">
        <f>INDEX($A$16:$A$28,A2)</f>
        <v>4232 Investiční přijaté transfery od mezinárodních institucí</v>
      </c>
      <c r="C4" s="685"/>
      <c r="D4" s="124">
        <f>SUMIF('MB 6'!F7:F476,INDEX('MB 6'!B491:B503,$A$2),'MB 6'!$C$7:$C$476)</f>
        <v>0</v>
      </c>
      <c r="E4" s="124">
        <f>SUMIF('MB 6'!F$7:F$476, INDEX('MB 6'!$B491:$B503,$A$2),'MB 6'!$D7:$D476)</f>
        <v>876199.86</v>
      </c>
    </row>
    <row r="14" spans="1:5" ht="13.5" thickBot="1" x14ac:dyDescent="0.25"/>
    <row r="15" spans="1:5" ht="13.5" thickBot="1" x14ac:dyDescent="0.25">
      <c r="A15" s="127" t="s">
        <v>71</v>
      </c>
      <c r="B15" s="152" t="s">
        <v>90</v>
      </c>
      <c r="C15" s="153" t="s">
        <v>4</v>
      </c>
    </row>
    <row r="16" spans="1:5" x14ac:dyDescent="0.2">
      <c r="A16" s="125" t="s">
        <v>70</v>
      </c>
      <c r="B16" s="126">
        <f>+SUMIF('MB 6'!$F$7:$F$476,'MB 6'!$B491,'MB 6'!$C$7:$C$476)</f>
        <v>0</v>
      </c>
      <c r="C16" s="126">
        <f>+SUMIF('MB 6'!$F$7:$F$476,'MB 6'!$B491,'MB 6'!$D$7:$D$476)</f>
        <v>0</v>
      </c>
    </row>
    <row r="17" spans="1:3" x14ac:dyDescent="0.2">
      <c r="A17" s="123" t="s">
        <v>87</v>
      </c>
      <c r="B17" s="126">
        <f>+SUMIF('MB 6'!$F$7:$F$476,'MB 6'!$B492,'MB 6'!$C$7:$C$476)</f>
        <v>5941.9252100000012</v>
      </c>
      <c r="C17" s="126">
        <f>+SUMIF('MB 6'!$F$7:$F$476,'MB 6'!$B492,'MB 6'!$D$7:$D$476)</f>
        <v>2221253.21</v>
      </c>
    </row>
    <row r="18" spans="1:3" x14ac:dyDescent="0.2">
      <c r="A18" s="123" t="s">
        <v>88</v>
      </c>
      <c r="B18" s="126">
        <f>+SUMIF('MB 6'!$F$7:$F$476,'MB 6'!$B493,'MB 6'!$C$7:$C$476)</f>
        <v>82126.714179999995</v>
      </c>
      <c r="C18" s="126">
        <f>+SUMIF('MB 6'!$F$7:$F$476,'MB 6'!$B493,'MB 6'!$D$7:$D$476)</f>
        <v>96129922.269999996</v>
      </c>
    </row>
    <row r="19" spans="1:3" x14ac:dyDescent="0.2">
      <c r="A19" s="123" t="s">
        <v>89</v>
      </c>
      <c r="B19" s="126">
        <f>+SUMIF('MB 6'!$F$7:$F$476,'MB 6'!$B494,'MB 6'!$C$7:$C$476)</f>
        <v>0</v>
      </c>
      <c r="C19" s="126">
        <f>+SUMIF('MB 6'!$F$7:$F$476,'MB 6'!$B494,'MB 6'!$D$7:$D$476)</f>
        <v>0</v>
      </c>
    </row>
    <row r="20" spans="1:3" x14ac:dyDescent="0.2">
      <c r="A20" s="123" t="s">
        <v>72</v>
      </c>
      <c r="B20" s="126">
        <f>+SUMIF('MB 6'!$F$7:$F$476,'MB 6'!$B495,'MB 6'!$C$7:$C$476)</f>
        <v>106315.94968000002</v>
      </c>
      <c r="C20" s="126">
        <f>+SUMIF('MB 6'!$F$7:$F$476,'MB 6'!$B495,'MB 6'!$D$7:$D$476)</f>
        <v>67714425.560000002</v>
      </c>
    </row>
    <row r="21" spans="1:3" x14ac:dyDescent="0.2">
      <c r="A21" s="123" t="s">
        <v>73</v>
      </c>
      <c r="B21" s="126">
        <f>+SUMIF('MB 6'!$F$7:$F$476,'MB 6'!$B496,'MB 6'!$C$7:$C$476)</f>
        <v>984.7969700000001</v>
      </c>
      <c r="C21" s="126">
        <f>+SUMIF('MB 6'!$F$7:$F$476,'MB 6'!$B496,'MB 6'!$D$7:$D$476)</f>
        <v>1808652.21</v>
      </c>
    </row>
    <row r="22" spans="1:3" x14ac:dyDescent="0.2">
      <c r="A22" s="123" t="s">
        <v>74</v>
      </c>
      <c r="B22" s="126">
        <f>+SUMIF('MB 6'!$F$7:$F$476,'MB 6'!$B497,'MB 6'!$C$7:$C$476)</f>
        <v>0</v>
      </c>
      <c r="C22" s="126">
        <f>+SUMIF('MB 6'!$F$7:$F$476,'MB 6'!$B497,'MB 6'!$D$7:$D$476)</f>
        <v>0</v>
      </c>
    </row>
    <row r="23" spans="1:3" x14ac:dyDescent="0.2">
      <c r="A23" s="123" t="s">
        <v>75</v>
      </c>
      <c r="B23" s="126">
        <f>+SUMIF('MB 6'!$F$7:$F$476,'MB 6'!$B498,'MB 6'!$C$7:$C$476)</f>
        <v>582</v>
      </c>
      <c r="C23" s="126">
        <f>+SUMIF('MB 6'!$F$7:$F$476,'MB 6'!$B498,'MB 6'!$D$7:$D$476)</f>
        <v>2376443.1100000003</v>
      </c>
    </row>
    <row r="24" spans="1:3" x14ac:dyDescent="0.2">
      <c r="A24" s="123" t="s">
        <v>86</v>
      </c>
      <c r="B24" s="126">
        <f>+SUMIF('MB 6'!$F$7:$F$476,'MB 6'!$B499,'MB 6'!$C$7:$C$476)</f>
        <v>656.31754000000001</v>
      </c>
      <c r="C24" s="126">
        <f>+SUMIF('MB 6'!$F$7:$F$476,'MB 6'!$B499,'MB 6'!$D$7:$D$476)</f>
        <v>690589.29</v>
      </c>
    </row>
    <row r="25" spans="1:3" x14ac:dyDescent="0.2">
      <c r="A25" s="123" t="s">
        <v>76</v>
      </c>
      <c r="B25" s="126">
        <f>+SUMIF('MB 6'!$F$7:$F$476,'MB 6'!$B500,'MB 6'!$C$7:$C$476)</f>
        <v>30485.50373</v>
      </c>
      <c r="C25" s="126">
        <f>+SUMIF('MB 6'!$F$7:$F$476,'MB 6'!$B500,'MB 6'!$D$7:$D$476)</f>
        <v>31068123.91</v>
      </c>
    </row>
    <row r="26" spans="1:3" x14ac:dyDescent="0.2">
      <c r="A26" s="123" t="s">
        <v>77</v>
      </c>
      <c r="B26" s="126">
        <f>+SUMIF('MB 6'!$F$7:$F$476,'MB 6'!$B501,'MB 6'!$C$7:$C$476)</f>
        <v>0</v>
      </c>
      <c r="C26" s="126">
        <f>+SUMIF('MB 6'!$F$7:$F$476,'MB 6'!$B501,'MB 6'!$D$7:$D$476)</f>
        <v>0</v>
      </c>
    </row>
    <row r="27" spans="1:3" x14ac:dyDescent="0.2">
      <c r="A27" s="123" t="s">
        <v>78</v>
      </c>
      <c r="B27" s="126">
        <f>+SUMIF('MB 6'!$F$7:$F$476,'MB 6'!$B502,'MB 6'!$C$7:$C$476)</f>
        <v>76925.824830000012</v>
      </c>
      <c r="C27" s="126">
        <f>+SUMIF('MB 6'!$F$7:$F$476,'MB 6'!$B502,'MB 6'!$D$7:$D$476)</f>
        <v>87703473.75</v>
      </c>
    </row>
    <row r="28" spans="1:3" ht="13.5" thickBot="1" x14ac:dyDescent="0.25">
      <c r="A28" s="148" t="s">
        <v>263</v>
      </c>
      <c r="B28" s="126">
        <f>+SUMIF('MB 6'!$F$7:$F$476,'MB 6'!$B504,'MB 6'!$C$7:$C$476)</f>
        <v>0</v>
      </c>
      <c r="C28" s="126">
        <f>+SUMIF('MB 6'!$F$7:$F$476,'MB 6'!$B503,'MB 6'!$D$7:$D$476)</f>
        <v>876199.86</v>
      </c>
    </row>
    <row r="29" spans="1:3" s="147" customFormat="1" ht="13.5" thickBot="1" x14ac:dyDescent="0.25">
      <c r="A29" s="127" t="s">
        <v>85</v>
      </c>
      <c r="B29" s="128">
        <f>+SUM(B16:B28)</f>
        <v>304019.03214000002</v>
      </c>
      <c r="C29" s="129">
        <f>+SUM(C16:C28)</f>
        <v>290589083.17000002</v>
      </c>
    </row>
    <row r="364" spans="4:4" x14ac:dyDescent="0.2">
      <c r="D364" s="414"/>
    </row>
    <row r="365" spans="4:4" x14ac:dyDescent="0.2">
      <c r="D365" s="414"/>
    </row>
    <row r="366" spans="4:4" x14ac:dyDescent="0.2">
      <c r="D366" s="414"/>
    </row>
    <row r="367" spans="4:4" x14ac:dyDescent="0.2">
      <c r="D367" s="414"/>
    </row>
    <row r="368" spans="4:4" x14ac:dyDescent="0.2">
      <c r="D368" s="414"/>
    </row>
    <row r="369" spans="3:4" x14ac:dyDescent="0.2">
      <c r="D369" s="414"/>
    </row>
    <row r="370" spans="3:4" x14ac:dyDescent="0.2">
      <c r="D370" s="414"/>
    </row>
    <row r="371" spans="3:4" x14ac:dyDescent="0.2">
      <c r="D371" s="414"/>
    </row>
    <row r="372" spans="3:4" x14ac:dyDescent="0.2">
      <c r="C372">
        <v>19.5185</v>
      </c>
      <c r="D372" s="414"/>
    </row>
    <row r="373" spans="3:4" x14ac:dyDescent="0.2">
      <c r="D373" s="414"/>
    </row>
    <row r="374" spans="3:4" x14ac:dyDescent="0.2">
      <c r="D374" s="414"/>
    </row>
    <row r="375" spans="3:4" x14ac:dyDescent="0.2">
      <c r="D375" s="414"/>
    </row>
    <row r="376" spans="3:4" x14ac:dyDescent="0.2">
      <c r="D376" s="414"/>
    </row>
    <row r="389" spans="3:8" x14ac:dyDescent="0.2">
      <c r="C389">
        <v>1.42302</v>
      </c>
    </row>
    <row r="391" spans="3:8" x14ac:dyDescent="0.2">
      <c r="H391" s="414"/>
    </row>
    <row r="392" spans="3:8" x14ac:dyDescent="0.2">
      <c r="H392" s="414"/>
    </row>
    <row r="393" spans="3:8" x14ac:dyDescent="0.2">
      <c r="H393" s="414"/>
    </row>
    <row r="394" spans="3:8" x14ac:dyDescent="0.2">
      <c r="H394" s="414"/>
    </row>
    <row r="395" spans="3:8" x14ac:dyDescent="0.2">
      <c r="H395" s="414"/>
    </row>
    <row r="396" spans="3:8" x14ac:dyDescent="0.2">
      <c r="H396" s="414"/>
    </row>
    <row r="423" spans="3:3" x14ac:dyDescent="0.2">
      <c r="C423">
        <v>24.19134</v>
      </c>
    </row>
    <row r="489" spans="8:11" x14ac:dyDescent="0.2">
      <c r="H489">
        <f>27388800*9</f>
        <v>246499200</v>
      </c>
    </row>
    <row r="494" spans="8:11" x14ac:dyDescent="0.2">
      <c r="J494">
        <v>60000</v>
      </c>
      <c r="K494" t="s">
        <v>412</v>
      </c>
    </row>
    <row r="497" spans="10:10" x14ac:dyDescent="0.2">
      <c r="J497">
        <f>SUM(J488:J496)</f>
        <v>60000</v>
      </c>
    </row>
    <row r="498" spans="10:10" x14ac:dyDescent="0.2">
      <c r="J498">
        <f>+H494+J497</f>
        <v>60000</v>
      </c>
    </row>
  </sheetData>
  <mergeCells count="2">
    <mergeCell ref="B3:C3"/>
    <mergeCell ref="B4:C4"/>
  </mergeCells>
  <pageMargins left="0.7" right="0.7" top="0.78740157499999996" bottom="0.78740157499999996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8609" r:id="rId4" name="Drop Down 1">
              <controlPr defaultSize="0" autoLine="0" autoPict="0">
                <anchor moveWithCells="1">
                  <from>
                    <xdr:col>0</xdr:col>
                    <xdr:colOff>47625</xdr:colOff>
                    <xdr:row>6</xdr:row>
                    <xdr:rowOff>0</xdr:rowOff>
                  </from>
                  <to>
                    <xdr:col>0</xdr:col>
                    <xdr:colOff>2695575</xdr:colOff>
                    <xdr:row>11</xdr:row>
                    <xdr:rowOff>104775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786"/>
  <sheetViews>
    <sheetView topLeftCell="D484" zoomScale="115" zoomScaleNormal="115" workbookViewId="0">
      <selection activeCell="I23" sqref="I23"/>
    </sheetView>
  </sheetViews>
  <sheetFormatPr defaultColWidth="9.140625" defaultRowHeight="15.75" x14ac:dyDescent="0.25"/>
  <cols>
    <col min="1" max="1" width="11.28515625" style="305" customWidth="1"/>
    <col min="2" max="2" width="90.85546875" style="45" customWidth="1"/>
    <col min="3" max="3" width="17.5703125" style="160" customWidth="1"/>
    <col min="4" max="4" width="16.7109375" style="160" bestFit="1" customWidth="1"/>
    <col min="5" max="5" width="15.28515625" style="306" bestFit="1" customWidth="1"/>
    <col min="6" max="6" width="17.140625" style="306" customWidth="1"/>
    <col min="7" max="7" width="18.7109375" style="269" customWidth="1"/>
    <col min="8" max="8" width="19.7109375" style="45" customWidth="1"/>
    <col min="9" max="9" width="25" style="45" bestFit="1" customWidth="1"/>
    <col min="10" max="10" width="14.85546875" style="45" customWidth="1"/>
    <col min="11" max="11" width="19.42578125" style="45" bestFit="1" customWidth="1"/>
    <col min="12" max="12" width="18.7109375" style="45" bestFit="1" customWidth="1"/>
    <col min="13" max="16384" width="9.140625" style="45"/>
  </cols>
  <sheetData>
    <row r="1" spans="1:11" ht="22.5" x14ac:dyDescent="0.3">
      <c r="A1" s="681" t="s">
        <v>0</v>
      </c>
      <c r="B1" s="681"/>
      <c r="C1" s="681"/>
      <c r="D1" s="681"/>
      <c r="E1" s="681"/>
      <c r="F1" s="681"/>
    </row>
    <row r="2" spans="1:11" ht="22.5" x14ac:dyDescent="0.3">
      <c r="A2" s="681" t="s">
        <v>350</v>
      </c>
      <c r="B2" s="681"/>
      <c r="C2" s="681"/>
      <c r="D2" s="681"/>
      <c r="E2" s="681"/>
      <c r="F2" s="681"/>
    </row>
    <row r="3" spans="1:11" ht="22.5" x14ac:dyDescent="0.3">
      <c r="A3" s="366"/>
      <c r="B3" s="383"/>
      <c r="C3" s="385"/>
      <c r="D3" s="368"/>
      <c r="E3" s="366"/>
      <c r="F3" s="366"/>
    </row>
    <row r="4" spans="1:11" ht="23.25" thickBot="1" x14ac:dyDescent="0.35">
      <c r="A4" s="366"/>
      <c r="B4" s="366"/>
      <c r="C4" s="368"/>
      <c r="D4" s="368"/>
      <c r="E4" s="366"/>
      <c r="F4" s="1"/>
    </row>
    <row r="5" spans="1:11" ht="16.5" thickBot="1" x14ac:dyDescent="0.3">
      <c r="A5" s="687" t="s">
        <v>193</v>
      </c>
      <c r="B5" s="4"/>
      <c r="C5" s="4"/>
      <c r="D5" s="359"/>
      <c r="E5" s="6"/>
      <c r="F5" s="6"/>
      <c r="G5" s="79"/>
      <c r="I5" s="399" t="s">
        <v>64</v>
      </c>
      <c r="J5" s="400" t="s">
        <v>355</v>
      </c>
      <c r="K5" s="401" t="s">
        <v>359</v>
      </c>
    </row>
    <row r="6" spans="1:11" ht="16.5" thickBot="1" x14ac:dyDescent="0.3">
      <c r="A6" s="688"/>
      <c r="B6" s="9" t="s">
        <v>2</v>
      </c>
      <c r="C6" s="9" t="s">
        <v>3</v>
      </c>
      <c r="D6" s="360" t="s">
        <v>4</v>
      </c>
      <c r="E6" s="11" t="s">
        <v>5</v>
      </c>
      <c r="F6" s="11" t="s">
        <v>6</v>
      </c>
      <c r="I6" s="397"/>
      <c r="J6" s="155"/>
      <c r="K6" s="398"/>
    </row>
    <row r="7" spans="1:11" s="275" customFormat="1" x14ac:dyDescent="0.25">
      <c r="A7" s="12"/>
      <c r="B7" s="13" t="s">
        <v>7</v>
      </c>
      <c r="C7" s="14">
        <f>+SUM(C8:C10)</f>
        <v>0</v>
      </c>
      <c r="D7" s="14">
        <f>+SUM(D8:D10)</f>
        <v>0</v>
      </c>
      <c r="E7" s="17"/>
      <c r="F7" s="17"/>
      <c r="G7" s="45"/>
      <c r="H7" s="45"/>
      <c r="I7" s="392"/>
      <c r="J7" s="388"/>
      <c r="K7" s="393"/>
    </row>
    <row r="8" spans="1:11" x14ac:dyDescent="0.25">
      <c r="A8" s="12"/>
      <c r="B8" s="19"/>
      <c r="C8" s="20"/>
      <c r="D8" s="20"/>
      <c r="E8" s="22"/>
      <c r="F8" s="22">
        <v>4111</v>
      </c>
      <c r="G8" s="45"/>
      <c r="I8" s="390"/>
      <c r="J8" s="387"/>
      <c r="K8" s="391"/>
    </row>
    <row r="9" spans="1:11" x14ac:dyDescent="0.25">
      <c r="A9" s="12"/>
      <c r="B9" s="19"/>
      <c r="C9" s="115"/>
      <c r="D9" s="115"/>
      <c r="E9" s="22"/>
      <c r="F9" s="22">
        <v>4111</v>
      </c>
      <c r="G9" s="45"/>
      <c r="I9" s="390"/>
      <c r="J9" s="387"/>
      <c r="K9" s="391"/>
    </row>
    <row r="10" spans="1:11" x14ac:dyDescent="0.25">
      <c r="A10" s="12"/>
      <c r="B10" s="23"/>
      <c r="C10" s="115"/>
      <c r="D10" s="115"/>
      <c r="E10" s="22"/>
      <c r="F10" s="22"/>
      <c r="G10" s="45"/>
      <c r="I10" s="390"/>
      <c r="J10" s="387"/>
      <c r="K10" s="391"/>
    </row>
    <row r="11" spans="1:11" x14ac:dyDescent="0.25">
      <c r="A11" s="12"/>
      <c r="B11" s="24"/>
      <c r="C11" s="115"/>
      <c r="D11" s="115"/>
      <c r="E11" s="22"/>
      <c r="F11" s="22"/>
      <c r="G11" s="45"/>
      <c r="I11" s="390"/>
      <c r="J11" s="389">
        <v>55520</v>
      </c>
      <c r="K11" s="391"/>
    </row>
    <row r="12" spans="1:11" x14ac:dyDescent="0.25">
      <c r="A12" s="43"/>
      <c r="B12" s="273" t="s">
        <v>8</v>
      </c>
      <c r="C12" s="27">
        <f>+SUM(C13:C16)</f>
        <v>5902.2090000000007</v>
      </c>
      <c r="D12" s="27">
        <f>+SUM(D13:D16)</f>
        <v>2744739</v>
      </c>
      <c r="E12" s="67"/>
      <c r="F12" s="277"/>
      <c r="G12" s="45"/>
      <c r="I12" s="390"/>
      <c r="J12" s="389">
        <f>1219870-217791</f>
        <v>1002079</v>
      </c>
      <c r="K12" s="391">
        <f>108171+109620</f>
        <v>217791</v>
      </c>
    </row>
    <row r="13" spans="1:11" x14ac:dyDescent="0.25">
      <c r="A13" s="43"/>
      <c r="B13" s="107" t="s">
        <v>9</v>
      </c>
      <c r="C13" s="347">
        <v>111.04</v>
      </c>
      <c r="D13" s="347">
        <v>55520</v>
      </c>
      <c r="E13" s="268">
        <v>92241</v>
      </c>
      <c r="F13" s="277" t="s">
        <v>10</v>
      </c>
      <c r="G13" s="45"/>
      <c r="I13" s="390"/>
      <c r="J13" s="389">
        <v>690822</v>
      </c>
      <c r="K13" s="391"/>
    </row>
    <row r="14" spans="1:11" x14ac:dyDescent="0.25">
      <c r="A14" s="43"/>
      <c r="B14" s="107" t="s">
        <v>11</v>
      </c>
      <c r="C14" s="347">
        <v>2001.1780000000001</v>
      </c>
      <c r="D14" s="21">
        <f>108171+109620+15221+509931+48588+64784+72882+72882+108171+109620</f>
        <v>1219870</v>
      </c>
      <c r="E14" s="268">
        <v>92241</v>
      </c>
      <c r="F14" s="277" t="s">
        <v>10</v>
      </c>
      <c r="G14" s="384" t="s">
        <v>347</v>
      </c>
      <c r="H14" s="384">
        <f>108171+109620</f>
        <v>217791</v>
      </c>
      <c r="I14" s="390"/>
      <c r="J14" s="389">
        <v>778527</v>
      </c>
      <c r="K14" s="391"/>
    </row>
    <row r="15" spans="1:11" x14ac:dyDescent="0.25">
      <c r="A15" s="43"/>
      <c r="B15" s="107" t="s">
        <v>12</v>
      </c>
      <c r="C15" s="347">
        <v>1575.905</v>
      </c>
      <c r="D15" s="347">
        <f>345411+345411</f>
        <v>690822</v>
      </c>
      <c r="E15" s="268">
        <v>92241</v>
      </c>
      <c r="F15" s="277" t="s">
        <v>10</v>
      </c>
      <c r="G15" s="45"/>
      <c r="I15" s="390"/>
      <c r="J15" s="387"/>
      <c r="K15" s="391"/>
    </row>
    <row r="16" spans="1:11" x14ac:dyDescent="0.25">
      <c r="A16" s="43"/>
      <c r="B16" s="107" t="s">
        <v>13</v>
      </c>
      <c r="C16" s="347">
        <v>2214.0859999999998</v>
      </c>
      <c r="D16" s="347">
        <v>778527</v>
      </c>
      <c r="E16" s="268">
        <v>92241</v>
      </c>
      <c r="F16" s="277" t="s">
        <v>10</v>
      </c>
      <c r="G16" s="45"/>
      <c r="I16" s="390"/>
      <c r="J16" s="387"/>
      <c r="K16" s="391"/>
    </row>
    <row r="17" spans="1:11" x14ac:dyDescent="0.25">
      <c r="A17" s="272"/>
      <c r="B17" s="107"/>
      <c r="C17" s="21"/>
      <c r="D17" s="21"/>
      <c r="E17" s="268"/>
      <c r="F17" s="277"/>
      <c r="G17" s="45"/>
      <c r="I17" s="390"/>
      <c r="J17" s="387"/>
      <c r="K17" s="391"/>
    </row>
    <row r="18" spans="1:11" x14ac:dyDescent="0.25">
      <c r="A18" s="272"/>
      <c r="B18" s="273" t="s">
        <v>14</v>
      </c>
      <c r="C18" s="31">
        <f>+SUM(C19:C30)</f>
        <v>40.727090000000004</v>
      </c>
      <c r="D18" s="31">
        <f>+SUM(D19:D30)</f>
        <v>40727.089999999997</v>
      </c>
      <c r="E18" s="268"/>
      <c r="F18" s="277"/>
      <c r="G18" s="45"/>
      <c r="I18" s="390"/>
      <c r="J18" s="387"/>
      <c r="K18" s="391"/>
    </row>
    <row r="19" spans="1:11" x14ac:dyDescent="0.25">
      <c r="A19" s="272">
        <v>42117</v>
      </c>
      <c r="B19" s="276" t="s">
        <v>146</v>
      </c>
      <c r="C19" s="21">
        <v>33.306150000000002</v>
      </c>
      <c r="D19" s="21">
        <v>33306.15</v>
      </c>
      <c r="E19" s="268">
        <v>90001</v>
      </c>
      <c r="F19" s="277">
        <v>4113</v>
      </c>
      <c r="G19" s="45"/>
      <c r="I19" s="390"/>
      <c r="J19" s="387"/>
      <c r="K19" s="391"/>
    </row>
    <row r="20" spans="1:11" x14ac:dyDescent="0.25">
      <c r="A20" s="272">
        <v>42194</v>
      </c>
      <c r="B20" s="276" t="s">
        <v>279</v>
      </c>
      <c r="C20" s="21">
        <v>5.5467000000000004</v>
      </c>
      <c r="D20" s="21">
        <v>5546.7</v>
      </c>
      <c r="E20" s="268">
        <v>90001</v>
      </c>
      <c r="F20" s="277">
        <v>4113</v>
      </c>
      <c r="G20" s="45"/>
      <c r="I20" s="390"/>
      <c r="J20" s="387"/>
      <c r="K20" s="391"/>
    </row>
    <row r="21" spans="1:11" x14ac:dyDescent="0.25">
      <c r="A21" s="272"/>
      <c r="B21" s="276"/>
      <c r="C21" s="115"/>
      <c r="D21" s="115"/>
      <c r="E21" s="268"/>
      <c r="F21" s="277">
        <v>4113</v>
      </c>
      <c r="G21" s="45"/>
      <c r="I21" s="390"/>
      <c r="J21" s="387"/>
      <c r="K21" s="391"/>
    </row>
    <row r="22" spans="1:11" x14ac:dyDescent="0.25">
      <c r="A22" s="272"/>
      <c r="B22" s="276"/>
      <c r="C22" s="115"/>
      <c r="D22" s="115"/>
      <c r="E22" s="268"/>
      <c r="F22" s="277">
        <v>4113</v>
      </c>
      <c r="G22" s="45"/>
      <c r="I22" s="390"/>
      <c r="J22" s="387"/>
      <c r="K22" s="391"/>
    </row>
    <row r="23" spans="1:11" x14ac:dyDescent="0.25">
      <c r="A23" s="272"/>
      <c r="B23" s="276"/>
      <c r="C23" s="115"/>
      <c r="D23" s="115"/>
      <c r="E23" s="268"/>
      <c r="F23" s="277">
        <v>4113</v>
      </c>
      <c r="G23" s="45"/>
      <c r="I23" s="390"/>
      <c r="J23" s="387"/>
      <c r="K23" s="391"/>
    </row>
    <row r="24" spans="1:11" x14ac:dyDescent="0.25">
      <c r="A24" s="272"/>
      <c r="B24" s="276"/>
      <c r="C24" s="115"/>
      <c r="D24" s="115"/>
      <c r="E24" s="268"/>
      <c r="F24" s="277">
        <v>4113</v>
      </c>
      <c r="G24" s="45"/>
      <c r="I24" s="390"/>
      <c r="J24" s="387"/>
      <c r="K24" s="391"/>
    </row>
    <row r="25" spans="1:11" x14ac:dyDescent="0.25">
      <c r="A25" s="272"/>
      <c r="B25" s="276"/>
      <c r="C25" s="115"/>
      <c r="D25" s="115"/>
      <c r="E25" s="268"/>
      <c r="F25" s="277">
        <v>4113</v>
      </c>
      <c r="G25" s="45"/>
      <c r="I25" s="390"/>
      <c r="J25" s="387"/>
      <c r="K25" s="391"/>
    </row>
    <row r="26" spans="1:11" x14ac:dyDescent="0.25">
      <c r="A26" s="272"/>
      <c r="B26" s="276"/>
      <c r="C26" s="115"/>
      <c r="D26" s="115"/>
      <c r="E26" s="268"/>
      <c r="F26" s="277">
        <v>4113</v>
      </c>
      <c r="G26" s="45"/>
      <c r="I26" s="390"/>
      <c r="J26" s="387"/>
      <c r="K26" s="391"/>
    </row>
    <row r="27" spans="1:11" x14ac:dyDescent="0.25">
      <c r="A27" s="272"/>
      <c r="B27" s="276"/>
      <c r="C27" s="115"/>
      <c r="D27" s="115"/>
      <c r="E27" s="268"/>
      <c r="F27" s="277">
        <v>4113</v>
      </c>
      <c r="G27" s="45"/>
      <c r="I27" s="390"/>
      <c r="J27" s="387"/>
      <c r="K27" s="391"/>
    </row>
    <row r="28" spans="1:11" x14ac:dyDescent="0.25">
      <c r="A28" s="272"/>
      <c r="B28" s="276"/>
      <c r="C28" s="115"/>
      <c r="D28" s="115"/>
      <c r="E28" s="268"/>
      <c r="F28" s="277">
        <v>4113</v>
      </c>
      <c r="G28" s="45"/>
      <c r="I28" s="390"/>
      <c r="J28" s="387"/>
      <c r="K28" s="391"/>
    </row>
    <row r="29" spans="1:11" x14ac:dyDescent="0.25">
      <c r="A29" s="272"/>
      <c r="B29" s="276" t="s">
        <v>168</v>
      </c>
      <c r="C29" s="174">
        <v>1.8742399999999999</v>
      </c>
      <c r="D29" s="174">
        <v>1874.24</v>
      </c>
      <c r="E29" s="268">
        <v>90001</v>
      </c>
      <c r="F29" s="277">
        <v>4113</v>
      </c>
      <c r="G29" s="45"/>
      <c r="I29" s="390"/>
      <c r="J29" s="402">
        <v>1874.24</v>
      </c>
      <c r="K29" s="391"/>
    </row>
    <row r="30" spans="1:11" x14ac:dyDescent="0.25">
      <c r="A30" s="272"/>
      <c r="B30" s="276"/>
      <c r="C30" s="115"/>
      <c r="D30" s="115"/>
      <c r="E30" s="268"/>
      <c r="F30" s="277">
        <v>4113</v>
      </c>
      <c r="G30" s="45"/>
      <c r="I30" s="390"/>
      <c r="J30" s="387"/>
      <c r="K30" s="391"/>
    </row>
    <row r="31" spans="1:11" x14ac:dyDescent="0.25">
      <c r="A31" s="272"/>
      <c r="B31" s="107"/>
      <c r="C31" s="115"/>
      <c r="D31" s="115"/>
      <c r="E31" s="268"/>
      <c r="F31" s="277"/>
      <c r="G31" s="45"/>
      <c r="I31" s="390"/>
      <c r="J31" s="387"/>
      <c r="K31" s="391"/>
    </row>
    <row r="32" spans="1:11" x14ac:dyDescent="0.25">
      <c r="A32" s="272"/>
      <c r="B32" s="273" t="s">
        <v>15</v>
      </c>
      <c r="C32" s="30">
        <f>+C33+C34</f>
        <v>4.5358200000000002</v>
      </c>
      <c r="D32" s="30">
        <f>+D33+D34</f>
        <v>4535.82</v>
      </c>
      <c r="E32" s="268"/>
      <c r="F32" s="277"/>
      <c r="G32" s="45"/>
      <c r="I32" s="390"/>
      <c r="J32" s="387"/>
      <c r="K32" s="391"/>
    </row>
    <row r="33" spans="1:11" x14ac:dyDescent="0.25">
      <c r="A33" s="272"/>
      <c r="B33" s="107" t="s">
        <v>16</v>
      </c>
      <c r="C33" s="174">
        <v>4.5358200000000002</v>
      </c>
      <c r="D33" s="174">
        <v>4535.82</v>
      </c>
      <c r="E33" s="268">
        <v>89450</v>
      </c>
      <c r="F33" s="277">
        <v>4113</v>
      </c>
      <c r="G33" s="45"/>
      <c r="I33" s="390"/>
      <c r="J33" s="402">
        <v>4535.82</v>
      </c>
      <c r="K33" s="391"/>
    </row>
    <row r="34" spans="1:11" x14ac:dyDescent="0.25">
      <c r="A34" s="272"/>
      <c r="B34" s="107" t="s">
        <v>16</v>
      </c>
      <c r="C34" s="115"/>
      <c r="D34" s="115"/>
      <c r="E34" s="268">
        <v>89023</v>
      </c>
      <c r="F34" s="277">
        <v>4113</v>
      </c>
      <c r="G34" s="45"/>
      <c r="I34" s="390"/>
      <c r="J34" s="387"/>
      <c r="K34" s="391"/>
    </row>
    <row r="35" spans="1:11" x14ac:dyDescent="0.25">
      <c r="A35" s="272"/>
      <c r="B35" s="278"/>
      <c r="C35" s="115"/>
      <c r="D35" s="371"/>
      <c r="E35" s="279"/>
      <c r="F35" s="268"/>
      <c r="G35" s="45"/>
      <c r="I35" s="390"/>
      <c r="J35" s="387"/>
      <c r="K35" s="391"/>
    </row>
    <row r="36" spans="1:11" s="275" customFormat="1" x14ac:dyDescent="0.25">
      <c r="A36" s="272"/>
      <c r="B36" s="273" t="s">
        <v>17</v>
      </c>
      <c r="C36" s="13">
        <f>SUM(C37:C59)</f>
        <v>21399.135999999999</v>
      </c>
      <c r="D36" s="30">
        <f>SUM(D37:D59)</f>
        <v>10532875</v>
      </c>
      <c r="E36" s="280"/>
      <c r="F36" s="281"/>
      <c r="G36" s="45"/>
      <c r="H36" s="45"/>
      <c r="I36" s="390"/>
      <c r="J36" s="388"/>
      <c r="K36" s="393"/>
    </row>
    <row r="37" spans="1:11" x14ac:dyDescent="0.25">
      <c r="A37" s="43">
        <v>42053</v>
      </c>
      <c r="B37" s="107" t="s">
        <v>37</v>
      </c>
      <c r="C37" s="37">
        <v>3744</v>
      </c>
      <c r="D37" s="20">
        <v>3744000</v>
      </c>
      <c r="E37" s="108">
        <v>13010</v>
      </c>
      <c r="F37" s="277">
        <v>4116</v>
      </c>
      <c r="G37" s="45"/>
      <c r="I37" s="390"/>
      <c r="J37" s="387"/>
      <c r="K37" s="391"/>
    </row>
    <row r="38" spans="1:11" x14ac:dyDescent="0.25">
      <c r="A38" s="272">
        <v>42123</v>
      </c>
      <c r="B38" s="107" t="s">
        <v>37</v>
      </c>
      <c r="C38" s="20">
        <v>8</v>
      </c>
      <c r="D38" s="20">
        <v>8000</v>
      </c>
      <c r="E38" s="108">
        <v>13010</v>
      </c>
      <c r="F38" s="277">
        <v>4116</v>
      </c>
      <c r="G38" s="45"/>
      <c r="I38" s="390"/>
      <c r="J38" s="387"/>
      <c r="K38" s="391"/>
    </row>
    <row r="39" spans="1:11" x14ac:dyDescent="0.25">
      <c r="A39" s="272">
        <v>42152</v>
      </c>
      <c r="B39" s="107" t="s">
        <v>37</v>
      </c>
      <c r="C39" s="20">
        <v>12</v>
      </c>
      <c r="D39" s="20">
        <v>12000</v>
      </c>
      <c r="E39" s="108">
        <v>13010</v>
      </c>
      <c r="F39" s="277">
        <v>4116</v>
      </c>
      <c r="G39" s="45"/>
      <c r="I39" s="390"/>
      <c r="J39" s="387"/>
      <c r="K39" s="391"/>
    </row>
    <row r="40" spans="1:11" s="275" customFormat="1" x14ac:dyDescent="0.25">
      <c r="A40" s="272">
        <v>42184</v>
      </c>
      <c r="B40" s="107" t="s">
        <v>37</v>
      </c>
      <c r="C40" s="20">
        <v>44</v>
      </c>
      <c r="D40" s="20">
        <v>44000</v>
      </c>
      <c r="E40" s="108">
        <v>13010</v>
      </c>
      <c r="F40" s="277">
        <v>4116</v>
      </c>
      <c r="G40" s="45"/>
      <c r="H40" s="45"/>
      <c r="I40" s="390"/>
      <c r="J40" s="388"/>
      <c r="K40" s="393"/>
    </row>
    <row r="41" spans="1:11" x14ac:dyDescent="0.25">
      <c r="A41" s="43">
        <v>42201</v>
      </c>
      <c r="B41" s="107" t="s">
        <v>37</v>
      </c>
      <c r="C41" s="20">
        <v>0</v>
      </c>
      <c r="D41" s="20">
        <v>32000</v>
      </c>
      <c r="E41" s="108">
        <v>13010</v>
      </c>
      <c r="F41" s="277">
        <v>4116</v>
      </c>
      <c r="G41" s="45"/>
      <c r="I41" s="390"/>
      <c r="J41" s="387"/>
      <c r="K41" s="391"/>
    </row>
    <row r="42" spans="1:11" x14ac:dyDescent="0.25">
      <c r="A42" s="43"/>
      <c r="B42" s="107" t="s">
        <v>97</v>
      </c>
      <c r="C42" s="174">
        <v>267</v>
      </c>
      <c r="D42" s="174">
        <v>234369</v>
      </c>
      <c r="E42" s="108">
        <v>13101</v>
      </c>
      <c r="F42" s="277">
        <v>4116</v>
      </c>
      <c r="G42" s="384" t="s">
        <v>358</v>
      </c>
      <c r="I42" s="403">
        <v>234369</v>
      </c>
      <c r="J42" s="387"/>
      <c r="K42" s="391"/>
    </row>
    <row r="43" spans="1:11" x14ac:dyDescent="0.25">
      <c r="A43" s="43"/>
      <c r="B43" s="107" t="s">
        <v>65</v>
      </c>
      <c r="C43" s="174">
        <f>42+22</f>
        <v>64</v>
      </c>
      <c r="D43" s="174">
        <f>40896+16866</f>
        <v>57762</v>
      </c>
      <c r="E43" s="108">
        <v>13101</v>
      </c>
      <c r="F43" s="277" t="s">
        <v>18</v>
      </c>
      <c r="G43" s="384" t="s">
        <v>358</v>
      </c>
      <c r="I43" s="403">
        <f>40896+16866</f>
        <v>57762</v>
      </c>
      <c r="J43" s="387"/>
      <c r="K43" s="391"/>
    </row>
    <row r="44" spans="1:11" x14ac:dyDescent="0.25">
      <c r="A44" s="43"/>
      <c r="B44" s="107" t="s">
        <v>98</v>
      </c>
      <c r="C44" s="174">
        <v>305.11</v>
      </c>
      <c r="D44" s="174">
        <v>365528</v>
      </c>
      <c r="E44" s="283">
        <v>13101</v>
      </c>
      <c r="F44" s="284">
        <v>4116</v>
      </c>
      <c r="G44" s="384" t="s">
        <v>358</v>
      </c>
      <c r="I44" s="403">
        <v>365528</v>
      </c>
      <c r="J44" s="387"/>
      <c r="K44" s="391"/>
    </row>
    <row r="45" spans="1:11" s="275" customFormat="1" x14ac:dyDescent="0.25">
      <c r="A45" s="272"/>
      <c r="B45" s="107" t="s">
        <v>99</v>
      </c>
      <c r="C45" s="174">
        <v>22</v>
      </c>
      <c r="D45" s="174">
        <v>22000</v>
      </c>
      <c r="E45" s="283">
        <v>13101</v>
      </c>
      <c r="F45" s="284">
        <v>4116</v>
      </c>
      <c r="G45" s="384" t="s">
        <v>358</v>
      </c>
      <c r="H45" s="45"/>
      <c r="I45" s="403">
        <v>22000</v>
      </c>
      <c r="J45" s="388"/>
      <c r="K45" s="393"/>
    </row>
    <row r="46" spans="1:11" s="275" customFormat="1" x14ac:dyDescent="0.25">
      <c r="A46" s="272"/>
      <c r="B46" s="107" t="s">
        <v>19</v>
      </c>
      <c r="C46" s="174">
        <v>60</v>
      </c>
      <c r="D46" s="174">
        <v>24643</v>
      </c>
      <c r="E46" s="108">
        <v>13234</v>
      </c>
      <c r="F46" s="277">
        <v>4116</v>
      </c>
      <c r="G46" s="384" t="s">
        <v>358</v>
      </c>
      <c r="H46" s="45"/>
      <c r="I46" s="403">
        <v>24643</v>
      </c>
      <c r="J46" s="388"/>
      <c r="K46" s="393"/>
    </row>
    <row r="47" spans="1:11" s="275" customFormat="1" x14ac:dyDescent="0.25">
      <c r="A47" s="272"/>
      <c r="B47" s="107" t="s">
        <v>20</v>
      </c>
      <c r="C47" s="174">
        <v>290</v>
      </c>
      <c r="D47" s="174">
        <v>130975</v>
      </c>
      <c r="E47" s="108">
        <v>13234</v>
      </c>
      <c r="F47" s="277">
        <v>4116</v>
      </c>
      <c r="G47" s="384" t="s">
        <v>358</v>
      </c>
      <c r="H47" s="45"/>
      <c r="I47" s="403">
        <v>130975</v>
      </c>
      <c r="J47" s="388"/>
      <c r="K47" s="393"/>
    </row>
    <row r="48" spans="1:11" s="275" customFormat="1" x14ac:dyDescent="0.25">
      <c r="A48" s="272"/>
      <c r="B48" s="107" t="s">
        <v>23</v>
      </c>
      <c r="C48" s="174">
        <v>71.3</v>
      </c>
      <c r="D48" s="174">
        <v>71094</v>
      </c>
      <c r="E48" s="108">
        <v>13234</v>
      </c>
      <c r="F48" s="277">
        <v>4116</v>
      </c>
      <c r="G48" s="384" t="s">
        <v>358</v>
      </c>
      <c r="H48" s="45"/>
      <c r="I48" s="403">
        <v>71094</v>
      </c>
      <c r="J48" s="388"/>
      <c r="K48" s="393"/>
    </row>
    <row r="49" spans="1:11" s="275" customFormat="1" x14ac:dyDescent="0.25">
      <c r="A49" s="272"/>
      <c r="B49" s="107" t="s">
        <v>22</v>
      </c>
      <c r="C49" s="174">
        <v>264</v>
      </c>
      <c r="D49" s="174">
        <v>132000</v>
      </c>
      <c r="E49" s="108">
        <v>13234</v>
      </c>
      <c r="F49" s="277">
        <v>4116</v>
      </c>
      <c r="G49" s="384" t="s">
        <v>358</v>
      </c>
      <c r="H49" s="45"/>
      <c r="I49" s="403">
        <v>132000</v>
      </c>
      <c r="J49" s="388"/>
      <c r="K49" s="393"/>
    </row>
    <row r="50" spans="1:11" s="275" customFormat="1" x14ac:dyDescent="0.25">
      <c r="A50" s="272"/>
      <c r="B50" s="107" t="s">
        <v>67</v>
      </c>
      <c r="C50" s="174">
        <v>171.72</v>
      </c>
      <c r="D50" s="174">
        <f>86069+44000+41655</f>
        <v>171724</v>
      </c>
      <c r="E50" s="108">
        <v>13234</v>
      </c>
      <c r="F50" s="277">
        <v>4116</v>
      </c>
      <c r="G50" s="384" t="s">
        <v>358</v>
      </c>
      <c r="H50" s="45"/>
      <c r="I50" s="403">
        <f>86069+44000+41655</f>
        <v>171724</v>
      </c>
      <c r="J50" s="388"/>
      <c r="K50" s="393"/>
    </row>
    <row r="51" spans="1:11" s="275" customFormat="1" x14ac:dyDescent="0.25">
      <c r="A51" s="272"/>
      <c r="B51" s="107" t="s">
        <v>25</v>
      </c>
      <c r="C51" s="174">
        <v>1705.0060000000001</v>
      </c>
      <c r="D51" s="174">
        <v>420489</v>
      </c>
      <c r="E51" s="108">
        <v>13234</v>
      </c>
      <c r="F51" s="277">
        <v>4116</v>
      </c>
      <c r="G51" s="384" t="s">
        <v>358</v>
      </c>
      <c r="H51" s="45"/>
      <c r="I51" s="403">
        <v>420489</v>
      </c>
      <c r="J51" s="388"/>
      <c r="K51" s="393"/>
    </row>
    <row r="52" spans="1:11" s="275" customFormat="1" x14ac:dyDescent="0.25">
      <c r="A52" s="272"/>
      <c r="B52" s="107" t="s">
        <v>26</v>
      </c>
      <c r="C52" s="174"/>
      <c r="D52" s="174">
        <v>211441</v>
      </c>
      <c r="E52" s="108">
        <v>13234</v>
      </c>
      <c r="F52" s="277">
        <v>4116</v>
      </c>
      <c r="G52" s="384" t="s">
        <v>358</v>
      </c>
      <c r="H52" s="45"/>
      <c r="I52" s="403">
        <v>211441</v>
      </c>
      <c r="J52" s="388"/>
      <c r="K52" s="393"/>
    </row>
    <row r="53" spans="1:11" x14ac:dyDescent="0.25">
      <c r="A53" s="43"/>
      <c r="B53" s="107" t="s">
        <v>28</v>
      </c>
      <c r="C53" s="174">
        <v>5376</v>
      </c>
      <c r="D53" s="174">
        <v>1308770</v>
      </c>
      <c r="E53" s="283">
        <v>13234</v>
      </c>
      <c r="F53" s="277">
        <v>4116</v>
      </c>
      <c r="G53" s="384" t="s">
        <v>358</v>
      </c>
      <c r="I53" s="403">
        <v>1308770</v>
      </c>
      <c r="J53" s="387"/>
      <c r="K53" s="391"/>
    </row>
    <row r="54" spans="1:11" s="275" customFormat="1" x14ac:dyDescent="0.25">
      <c r="A54" s="272"/>
      <c r="B54" s="107" t="s">
        <v>24</v>
      </c>
      <c r="C54" s="174">
        <v>8590</v>
      </c>
      <c r="D54" s="174">
        <v>3397732</v>
      </c>
      <c r="E54" s="108">
        <v>13234</v>
      </c>
      <c r="F54" s="277">
        <v>4116</v>
      </c>
      <c r="G54" s="384" t="s">
        <v>358</v>
      </c>
      <c r="H54" s="45"/>
      <c r="I54" s="403">
        <v>3397732</v>
      </c>
      <c r="J54" s="388"/>
      <c r="K54" s="393"/>
    </row>
    <row r="55" spans="1:11" x14ac:dyDescent="0.25">
      <c r="A55" s="43"/>
      <c r="B55" s="107" t="s">
        <v>66</v>
      </c>
      <c r="C55" s="174">
        <f>55+98</f>
        <v>153</v>
      </c>
      <c r="D55" s="174">
        <v>60133</v>
      </c>
      <c r="E55" s="283">
        <v>13234</v>
      </c>
      <c r="F55" s="284">
        <v>4116</v>
      </c>
      <c r="G55" s="384" t="s">
        <v>358</v>
      </c>
      <c r="I55" s="403">
        <v>60133</v>
      </c>
      <c r="J55" s="387"/>
      <c r="K55" s="391"/>
    </row>
    <row r="56" spans="1:11" x14ac:dyDescent="0.25">
      <c r="A56" s="43"/>
      <c r="B56" s="107" t="s">
        <v>31</v>
      </c>
      <c r="C56" s="174">
        <v>252</v>
      </c>
      <c r="D56" s="174">
        <v>79731</v>
      </c>
      <c r="E56" s="283">
        <v>13234</v>
      </c>
      <c r="F56" s="284">
        <v>4116</v>
      </c>
      <c r="G56" s="384" t="s">
        <v>358</v>
      </c>
      <c r="I56" s="403">
        <v>79731</v>
      </c>
      <c r="J56" s="387"/>
      <c r="K56" s="391"/>
    </row>
    <row r="57" spans="1:11" x14ac:dyDescent="0.25">
      <c r="A57" s="43"/>
      <c r="B57" s="107" t="s">
        <v>21</v>
      </c>
      <c r="C57" s="174"/>
      <c r="D57" s="174">
        <v>4484</v>
      </c>
      <c r="E57" s="283">
        <v>13234</v>
      </c>
      <c r="F57" s="277" t="s">
        <v>18</v>
      </c>
      <c r="G57" s="384" t="s">
        <v>358</v>
      </c>
      <c r="I57" s="403">
        <v>4484</v>
      </c>
      <c r="J57" s="387"/>
      <c r="K57" s="391"/>
    </row>
    <row r="58" spans="1:11" x14ac:dyDescent="0.25">
      <c r="A58" s="43"/>
      <c r="B58" s="107" t="s">
        <v>30</v>
      </c>
      <c r="C58" s="348"/>
      <c r="D58" s="348"/>
      <c r="E58" s="283"/>
      <c r="F58" s="284">
        <v>4116</v>
      </c>
      <c r="G58" s="45"/>
      <c r="I58" s="390"/>
      <c r="J58" s="387"/>
      <c r="K58" s="391"/>
    </row>
    <row r="59" spans="1:11" x14ac:dyDescent="0.25">
      <c r="A59" s="43"/>
      <c r="B59" s="107" t="s">
        <v>32</v>
      </c>
      <c r="C59" s="348"/>
      <c r="D59" s="348"/>
      <c r="E59" s="283"/>
      <c r="F59" s="284"/>
      <c r="G59" s="45"/>
      <c r="I59" s="390"/>
      <c r="J59" s="387"/>
      <c r="K59" s="391"/>
    </row>
    <row r="60" spans="1:11" x14ac:dyDescent="0.25">
      <c r="A60" s="43"/>
      <c r="B60" s="44"/>
      <c r="C60" s="37"/>
      <c r="D60" s="20"/>
      <c r="E60" s="283"/>
      <c r="F60" s="284"/>
      <c r="G60" s="45"/>
      <c r="I60" s="390"/>
      <c r="J60" s="387"/>
      <c r="K60" s="391"/>
    </row>
    <row r="61" spans="1:11" x14ac:dyDescent="0.25">
      <c r="A61" s="43"/>
      <c r="B61" s="285" t="s">
        <v>116</v>
      </c>
      <c r="C61" s="39">
        <f>+SUM(C62:C65)</f>
        <v>36.299999999999997</v>
      </c>
      <c r="D61" s="39">
        <f>+SUM(D62:D65)</f>
        <v>36300</v>
      </c>
      <c r="E61" s="277"/>
      <c r="F61" s="284"/>
      <c r="G61" s="45"/>
      <c r="I61" s="390"/>
      <c r="J61" s="387"/>
      <c r="K61" s="391"/>
    </row>
    <row r="62" spans="1:11" x14ac:dyDescent="0.25">
      <c r="A62" s="43">
        <v>42066</v>
      </c>
      <c r="B62" s="107" t="s">
        <v>115</v>
      </c>
      <c r="C62" s="20">
        <v>36.299999999999997</v>
      </c>
      <c r="D62" s="20">
        <v>36300</v>
      </c>
      <c r="E62" s="286">
        <v>27003</v>
      </c>
      <c r="F62" s="284">
        <v>4116</v>
      </c>
      <c r="G62" s="45"/>
      <c r="I62" s="390"/>
      <c r="J62" s="387"/>
      <c r="K62" s="391"/>
    </row>
    <row r="63" spans="1:11" x14ac:dyDescent="0.25">
      <c r="A63" s="287"/>
      <c r="B63" s="107"/>
      <c r="C63" s="20"/>
      <c r="D63" s="20"/>
      <c r="E63" s="284"/>
      <c r="F63" s="284">
        <v>4116</v>
      </c>
      <c r="G63" s="45"/>
      <c r="I63" s="390"/>
      <c r="J63" s="387"/>
      <c r="K63" s="391"/>
    </row>
    <row r="64" spans="1:11" x14ac:dyDescent="0.25">
      <c r="A64" s="287"/>
      <c r="B64" s="107"/>
      <c r="C64" s="20"/>
      <c r="D64" s="20"/>
      <c r="E64" s="284"/>
      <c r="F64" s="284">
        <v>4116</v>
      </c>
      <c r="G64" s="45"/>
      <c r="I64" s="390"/>
      <c r="J64" s="387"/>
      <c r="K64" s="391"/>
    </row>
    <row r="65" spans="1:11" x14ac:dyDescent="0.25">
      <c r="A65" s="287"/>
      <c r="B65" s="107"/>
      <c r="C65" s="115"/>
      <c r="D65" s="115"/>
      <c r="E65" s="284"/>
      <c r="F65" s="284">
        <v>4116</v>
      </c>
      <c r="G65" s="45"/>
      <c r="I65" s="390"/>
      <c r="J65" s="387"/>
      <c r="K65" s="391"/>
    </row>
    <row r="66" spans="1:11" x14ac:dyDescent="0.25">
      <c r="A66" s="43"/>
      <c r="B66" s="285" t="s">
        <v>33</v>
      </c>
      <c r="C66" s="39">
        <f>+SUM(C67:C102)</f>
        <v>17264</v>
      </c>
      <c r="D66" s="39">
        <f>+SUM(D67:D102)</f>
        <v>19284000</v>
      </c>
      <c r="E66" s="277"/>
      <c r="F66" s="284"/>
      <c r="G66" s="45"/>
      <c r="I66" s="390"/>
      <c r="J66" s="387"/>
      <c r="K66" s="391"/>
    </row>
    <row r="67" spans="1:11" x14ac:dyDescent="0.25">
      <c r="A67" s="43">
        <v>42086</v>
      </c>
      <c r="B67" s="107" t="s">
        <v>122</v>
      </c>
      <c r="C67" s="20">
        <v>80</v>
      </c>
      <c r="D67" s="20">
        <v>80000</v>
      </c>
      <c r="E67" s="277">
        <v>34070</v>
      </c>
      <c r="F67" s="277">
        <v>4116</v>
      </c>
      <c r="G67" s="45"/>
      <c r="I67" s="390"/>
      <c r="J67" s="387"/>
      <c r="K67" s="391"/>
    </row>
    <row r="68" spans="1:11" x14ac:dyDescent="0.25">
      <c r="A68" s="43">
        <v>42116</v>
      </c>
      <c r="B68" s="107" t="s">
        <v>142</v>
      </c>
      <c r="C68" s="20">
        <v>25</v>
      </c>
      <c r="D68" s="20">
        <v>25000</v>
      </c>
      <c r="E68" s="277">
        <v>34070</v>
      </c>
      <c r="F68" s="277">
        <v>4116</v>
      </c>
      <c r="G68" s="45"/>
      <c r="I68" s="390"/>
      <c r="J68" s="387"/>
      <c r="K68" s="391"/>
    </row>
    <row r="69" spans="1:11" x14ac:dyDescent="0.25">
      <c r="A69" s="43">
        <v>42116</v>
      </c>
      <c r="B69" s="107" t="s">
        <v>143</v>
      </c>
      <c r="C69" s="20">
        <v>18</v>
      </c>
      <c r="D69" s="20">
        <v>18000</v>
      </c>
      <c r="E69" s="277">
        <v>34070</v>
      </c>
      <c r="F69" s="277">
        <v>4116</v>
      </c>
      <c r="G69" s="45"/>
      <c r="I69" s="390"/>
      <c r="J69" s="387"/>
      <c r="K69" s="391"/>
    </row>
    <row r="70" spans="1:11" x14ac:dyDescent="0.25">
      <c r="A70" s="43">
        <v>42116</v>
      </c>
      <c r="B70" s="107" t="s">
        <v>173</v>
      </c>
      <c r="C70" s="20">
        <v>20</v>
      </c>
      <c r="D70" s="20">
        <v>20000</v>
      </c>
      <c r="E70" s="277">
        <v>34070</v>
      </c>
      <c r="F70" s="277">
        <v>4116</v>
      </c>
      <c r="G70" s="45"/>
      <c r="I70" s="390"/>
      <c r="J70" s="387"/>
      <c r="K70" s="391"/>
    </row>
    <row r="71" spans="1:11" x14ac:dyDescent="0.25">
      <c r="A71" s="43">
        <v>42128</v>
      </c>
      <c r="B71" s="107" t="s">
        <v>172</v>
      </c>
      <c r="C71" s="20">
        <v>45</v>
      </c>
      <c r="D71" s="20">
        <v>45000</v>
      </c>
      <c r="E71" s="277">
        <v>34053</v>
      </c>
      <c r="F71" s="277">
        <v>4116</v>
      </c>
      <c r="G71" s="45"/>
      <c r="I71" s="390"/>
      <c r="J71" s="387"/>
      <c r="K71" s="391"/>
    </row>
    <row r="72" spans="1:11" x14ac:dyDescent="0.25">
      <c r="A72" s="43">
        <v>42135</v>
      </c>
      <c r="B72" s="107" t="s">
        <v>175</v>
      </c>
      <c r="C72" s="20">
        <v>600</v>
      </c>
      <c r="D72" s="20">
        <v>600000</v>
      </c>
      <c r="E72" s="277">
        <v>34070</v>
      </c>
      <c r="F72" s="277">
        <v>4116</v>
      </c>
      <c r="G72" s="45"/>
      <c r="I72" s="390"/>
      <c r="J72" s="387"/>
      <c r="K72" s="391"/>
    </row>
    <row r="73" spans="1:11" x14ac:dyDescent="0.25">
      <c r="A73" s="43">
        <v>42135</v>
      </c>
      <c r="B73" s="107" t="s">
        <v>176</v>
      </c>
      <c r="C73" s="20">
        <v>70</v>
      </c>
      <c r="D73" s="20">
        <v>70000</v>
      </c>
      <c r="E73" s="277">
        <v>34070</v>
      </c>
      <c r="F73" s="277">
        <v>4116</v>
      </c>
      <c r="G73" s="45"/>
      <c r="I73" s="390"/>
      <c r="J73" s="387"/>
      <c r="K73" s="391"/>
    </row>
    <row r="74" spans="1:11" x14ac:dyDescent="0.25">
      <c r="A74" s="43">
        <v>42136</v>
      </c>
      <c r="B74" s="107" t="s">
        <v>177</v>
      </c>
      <c r="C74" s="20">
        <v>120</v>
      </c>
      <c r="D74" s="20">
        <v>120000</v>
      </c>
      <c r="E74" s="277">
        <v>34070</v>
      </c>
      <c r="F74" s="277">
        <v>4116</v>
      </c>
      <c r="G74" s="45"/>
      <c r="I74" s="390"/>
      <c r="J74" s="387"/>
      <c r="K74" s="391"/>
    </row>
    <row r="75" spans="1:11" x14ac:dyDescent="0.25">
      <c r="A75" s="43">
        <v>42136</v>
      </c>
      <c r="B75" s="107" t="s">
        <v>178</v>
      </c>
      <c r="C75" s="20">
        <v>340</v>
      </c>
      <c r="D75" s="20">
        <v>340000</v>
      </c>
      <c r="E75" s="277">
        <v>34070</v>
      </c>
      <c r="F75" s="277">
        <v>4116</v>
      </c>
      <c r="G75" s="45"/>
      <c r="I75" s="390"/>
      <c r="J75" s="387"/>
      <c r="K75" s="391"/>
    </row>
    <row r="76" spans="1:11" x14ac:dyDescent="0.25">
      <c r="A76" s="43">
        <v>42136</v>
      </c>
      <c r="B76" s="107" t="s">
        <v>179</v>
      </c>
      <c r="C76" s="20">
        <v>320</v>
      </c>
      <c r="D76" s="20">
        <v>320000</v>
      </c>
      <c r="E76" s="277">
        <v>34070</v>
      </c>
      <c r="F76" s="277">
        <v>4116</v>
      </c>
      <c r="G76" s="45"/>
      <c r="I76" s="390"/>
      <c r="J76" s="387"/>
      <c r="K76" s="391"/>
    </row>
    <row r="77" spans="1:11" x14ac:dyDescent="0.25">
      <c r="A77" s="43">
        <v>42143</v>
      </c>
      <c r="B77" s="107" t="s">
        <v>194</v>
      </c>
      <c r="C77" s="20">
        <v>95</v>
      </c>
      <c r="D77" s="20">
        <v>95000</v>
      </c>
      <c r="E77" s="277">
        <v>34070</v>
      </c>
      <c r="F77" s="277">
        <v>4116</v>
      </c>
      <c r="G77" s="45"/>
      <c r="I77" s="390"/>
      <c r="J77" s="387"/>
      <c r="K77" s="391"/>
    </row>
    <row r="78" spans="1:11" x14ac:dyDescent="0.25">
      <c r="A78" s="43">
        <v>42143</v>
      </c>
      <c r="B78" s="107" t="s">
        <v>195</v>
      </c>
      <c r="C78" s="20">
        <v>30</v>
      </c>
      <c r="D78" s="20">
        <v>30000</v>
      </c>
      <c r="E78" s="277">
        <v>34194</v>
      </c>
      <c r="F78" s="277">
        <v>4116</v>
      </c>
      <c r="G78" s="45"/>
      <c r="I78" s="390"/>
      <c r="J78" s="387"/>
      <c r="K78" s="391"/>
    </row>
    <row r="79" spans="1:11" x14ac:dyDescent="0.25">
      <c r="A79" s="43">
        <v>42143</v>
      </c>
      <c r="B79" s="107" t="s">
        <v>197</v>
      </c>
      <c r="C79" s="20">
        <v>750</v>
      </c>
      <c r="D79" s="20">
        <v>750000</v>
      </c>
      <c r="E79" s="277">
        <v>34070</v>
      </c>
      <c r="F79" s="277">
        <v>4116</v>
      </c>
      <c r="G79" s="45"/>
      <c r="I79" s="390"/>
      <c r="J79" s="387"/>
      <c r="K79" s="391"/>
    </row>
    <row r="80" spans="1:11" x14ac:dyDescent="0.25">
      <c r="A80" s="43">
        <v>42144</v>
      </c>
      <c r="B80" s="107" t="s">
        <v>199</v>
      </c>
      <c r="C80" s="20">
        <v>64</v>
      </c>
      <c r="D80" s="20">
        <v>64000</v>
      </c>
      <c r="E80" s="277">
        <v>34053</v>
      </c>
      <c r="F80" s="277">
        <v>4116</v>
      </c>
      <c r="G80" s="45"/>
      <c r="I80" s="390"/>
      <c r="J80" s="387"/>
      <c r="K80" s="391"/>
    </row>
    <row r="81" spans="1:11" x14ac:dyDescent="0.25">
      <c r="A81" s="43">
        <v>42144</v>
      </c>
      <c r="B81" s="107" t="s">
        <v>198</v>
      </c>
      <c r="C81" s="20">
        <v>45</v>
      </c>
      <c r="D81" s="20">
        <v>45000</v>
      </c>
      <c r="E81" s="277">
        <v>34053</v>
      </c>
      <c r="F81" s="277">
        <v>4116</v>
      </c>
      <c r="G81" s="45"/>
      <c r="I81" s="390"/>
      <c r="J81" s="387"/>
      <c r="K81" s="391"/>
    </row>
    <row r="82" spans="1:11" x14ac:dyDescent="0.25">
      <c r="A82" s="43">
        <v>42164</v>
      </c>
      <c r="B82" s="107" t="s">
        <v>241</v>
      </c>
      <c r="C82" s="20">
        <v>1200</v>
      </c>
      <c r="D82" s="20">
        <v>1200000</v>
      </c>
      <c r="E82" s="277">
        <v>34352</v>
      </c>
      <c r="F82" s="277">
        <v>4116</v>
      </c>
      <c r="G82" s="45"/>
      <c r="I82" s="390"/>
      <c r="J82" s="387"/>
      <c r="K82" s="391"/>
    </row>
    <row r="83" spans="1:11" x14ac:dyDescent="0.25">
      <c r="A83" s="43">
        <v>42172</v>
      </c>
      <c r="B83" s="107" t="s">
        <v>233</v>
      </c>
      <c r="C83" s="20">
        <v>740</v>
      </c>
      <c r="D83" s="20">
        <v>740000</v>
      </c>
      <c r="E83" s="277">
        <v>34352</v>
      </c>
      <c r="F83" s="277">
        <v>4116</v>
      </c>
      <c r="G83" s="45"/>
      <c r="I83" s="390"/>
      <c r="J83" s="387"/>
      <c r="K83" s="391"/>
    </row>
    <row r="84" spans="1:11" x14ac:dyDescent="0.25">
      <c r="A84" s="43">
        <v>42172</v>
      </c>
      <c r="B84" s="107" t="s">
        <v>234</v>
      </c>
      <c r="C84" s="20">
        <v>2745</v>
      </c>
      <c r="D84" s="20">
        <v>2745000</v>
      </c>
      <c r="E84" s="277">
        <v>34352</v>
      </c>
      <c r="F84" s="277">
        <v>4116</v>
      </c>
      <c r="G84" s="45"/>
      <c r="I84" s="390"/>
      <c r="J84" s="387"/>
      <c r="K84" s="391"/>
    </row>
    <row r="85" spans="1:11" x14ac:dyDescent="0.25">
      <c r="A85" s="43">
        <v>42172</v>
      </c>
      <c r="B85" s="107" t="s">
        <v>235</v>
      </c>
      <c r="C85" s="20">
        <v>2580</v>
      </c>
      <c r="D85" s="20">
        <v>2580000</v>
      </c>
      <c r="E85" s="277">
        <v>34352</v>
      </c>
      <c r="F85" s="277">
        <v>4116</v>
      </c>
      <c r="G85" s="45"/>
      <c r="I85" s="390"/>
      <c r="J85" s="387"/>
      <c r="K85" s="391"/>
    </row>
    <row r="86" spans="1:11" x14ac:dyDescent="0.25">
      <c r="A86" s="43">
        <v>42178</v>
      </c>
      <c r="B86" s="107" t="s">
        <v>242</v>
      </c>
      <c r="C86" s="20">
        <v>7135</v>
      </c>
      <c r="D86" s="20">
        <v>7135000</v>
      </c>
      <c r="E86" s="277">
        <v>34352</v>
      </c>
      <c r="F86" s="277">
        <v>4116</v>
      </c>
      <c r="G86" s="45"/>
      <c r="I86" s="390"/>
      <c r="J86" s="387"/>
      <c r="K86" s="391"/>
    </row>
    <row r="87" spans="1:11" x14ac:dyDescent="0.25">
      <c r="A87" s="43">
        <v>42188</v>
      </c>
      <c r="B87" s="107" t="s">
        <v>278</v>
      </c>
      <c r="C87" s="20">
        <v>112</v>
      </c>
      <c r="D87" s="20">
        <v>112000</v>
      </c>
      <c r="E87" s="277">
        <v>34001</v>
      </c>
      <c r="F87" s="277">
        <v>4116</v>
      </c>
      <c r="G87" s="45"/>
      <c r="I87" s="390"/>
      <c r="J87" s="387"/>
      <c r="K87" s="391"/>
    </row>
    <row r="88" spans="1:11" x14ac:dyDescent="0.25">
      <c r="A88" s="43">
        <v>42198</v>
      </c>
      <c r="B88" s="107" t="s">
        <v>295</v>
      </c>
      <c r="C88" s="20">
        <v>80</v>
      </c>
      <c r="D88" s="20">
        <v>80000</v>
      </c>
      <c r="E88" s="277">
        <v>34070</v>
      </c>
      <c r="F88" s="277">
        <v>4116</v>
      </c>
      <c r="G88" s="45"/>
      <c r="I88" s="390"/>
      <c r="J88" s="387"/>
      <c r="K88" s="391"/>
    </row>
    <row r="89" spans="1:11" x14ac:dyDescent="0.25">
      <c r="A89" s="43">
        <v>42212</v>
      </c>
      <c r="B89" s="107" t="s">
        <v>341</v>
      </c>
      <c r="C89" s="20">
        <v>0</v>
      </c>
      <c r="D89" s="20">
        <v>1900000</v>
      </c>
      <c r="E89" s="277">
        <v>34054</v>
      </c>
      <c r="F89" s="277">
        <v>4116</v>
      </c>
      <c r="G89" s="45"/>
      <c r="I89" s="390"/>
      <c r="J89" s="387"/>
      <c r="K89" s="391"/>
    </row>
    <row r="90" spans="1:11" x14ac:dyDescent="0.25">
      <c r="A90" s="43">
        <v>42214</v>
      </c>
      <c r="B90" s="107" t="s">
        <v>340</v>
      </c>
      <c r="C90" s="20">
        <v>0</v>
      </c>
      <c r="D90" s="20">
        <v>70000</v>
      </c>
      <c r="E90" s="277">
        <v>34070</v>
      </c>
      <c r="F90" s="277">
        <v>4116</v>
      </c>
      <c r="G90" s="45"/>
      <c r="I90" s="390"/>
      <c r="J90" s="387"/>
      <c r="K90" s="391"/>
    </row>
    <row r="91" spans="1:11" x14ac:dyDescent="0.25">
      <c r="A91" s="43"/>
      <c r="B91" s="107"/>
      <c r="C91" s="115"/>
      <c r="D91" s="115"/>
      <c r="E91" s="277"/>
      <c r="F91" s="277">
        <v>4116</v>
      </c>
      <c r="G91" s="45"/>
      <c r="I91" s="390"/>
      <c r="J91" s="387"/>
      <c r="K91" s="391"/>
    </row>
    <row r="92" spans="1:11" x14ac:dyDescent="0.25">
      <c r="A92" s="43"/>
      <c r="B92" s="107"/>
      <c r="C92" s="115"/>
      <c r="D92" s="115"/>
      <c r="E92" s="277"/>
      <c r="F92" s="277">
        <v>4116</v>
      </c>
      <c r="G92" s="45"/>
      <c r="I92" s="390"/>
      <c r="J92" s="387"/>
      <c r="K92" s="391"/>
    </row>
    <row r="93" spans="1:11" x14ac:dyDescent="0.25">
      <c r="A93" s="43"/>
      <c r="B93" s="107"/>
      <c r="C93" s="115"/>
      <c r="D93" s="115"/>
      <c r="E93" s="277"/>
      <c r="F93" s="277">
        <v>4116</v>
      </c>
      <c r="G93" s="45"/>
      <c r="I93" s="390"/>
      <c r="J93" s="387"/>
      <c r="K93" s="391"/>
    </row>
    <row r="94" spans="1:11" x14ac:dyDescent="0.25">
      <c r="A94" s="43"/>
      <c r="B94" s="107"/>
      <c r="C94" s="115"/>
      <c r="D94" s="115"/>
      <c r="E94" s="277"/>
      <c r="F94" s="277">
        <v>4116</v>
      </c>
      <c r="G94" s="45"/>
      <c r="I94" s="390"/>
      <c r="J94" s="387"/>
      <c r="K94" s="391"/>
    </row>
    <row r="95" spans="1:11" x14ac:dyDescent="0.25">
      <c r="A95" s="43"/>
      <c r="B95" s="107"/>
      <c r="C95" s="115"/>
      <c r="D95" s="115"/>
      <c r="E95" s="277"/>
      <c r="F95" s="277">
        <v>4116</v>
      </c>
      <c r="G95" s="45"/>
      <c r="I95" s="390"/>
      <c r="J95" s="387"/>
      <c r="K95" s="391"/>
    </row>
    <row r="96" spans="1:11" x14ac:dyDescent="0.25">
      <c r="A96" s="43"/>
      <c r="B96" s="107"/>
      <c r="C96" s="115"/>
      <c r="D96" s="115"/>
      <c r="E96" s="277"/>
      <c r="F96" s="277">
        <v>4116</v>
      </c>
      <c r="G96" s="45"/>
      <c r="I96" s="390"/>
      <c r="J96" s="387"/>
      <c r="K96" s="391"/>
    </row>
    <row r="97" spans="1:11" x14ac:dyDescent="0.25">
      <c r="A97" s="43"/>
      <c r="B97" s="107"/>
      <c r="C97" s="115"/>
      <c r="D97" s="115"/>
      <c r="E97" s="277"/>
      <c r="F97" s="277">
        <v>4116</v>
      </c>
      <c r="G97" s="45"/>
      <c r="I97" s="390"/>
      <c r="J97" s="387"/>
      <c r="K97" s="391"/>
    </row>
    <row r="98" spans="1:11" x14ac:dyDescent="0.25">
      <c r="A98" s="43"/>
      <c r="B98" s="107"/>
      <c r="C98" s="115"/>
      <c r="D98" s="115"/>
      <c r="E98" s="277"/>
      <c r="F98" s="277">
        <v>4116</v>
      </c>
      <c r="G98" s="45"/>
      <c r="I98" s="390"/>
      <c r="J98" s="387"/>
      <c r="K98" s="391"/>
    </row>
    <row r="99" spans="1:11" x14ac:dyDescent="0.25">
      <c r="A99" s="43"/>
      <c r="B99" s="107"/>
      <c r="C99" s="115"/>
      <c r="D99" s="115"/>
      <c r="E99" s="277"/>
      <c r="F99" s="277">
        <v>4116</v>
      </c>
      <c r="G99" s="45"/>
      <c r="I99" s="390"/>
      <c r="J99" s="387"/>
      <c r="K99" s="391"/>
    </row>
    <row r="100" spans="1:11" x14ac:dyDescent="0.25">
      <c r="A100" s="43"/>
      <c r="B100" s="107"/>
      <c r="C100" s="115"/>
      <c r="D100" s="115"/>
      <c r="E100" s="277"/>
      <c r="F100" s="277">
        <v>4116</v>
      </c>
      <c r="G100" s="45"/>
      <c r="I100" s="390"/>
      <c r="J100" s="387"/>
      <c r="K100" s="391"/>
    </row>
    <row r="101" spans="1:11" x14ac:dyDescent="0.25">
      <c r="A101" s="43"/>
      <c r="B101" s="107" t="s">
        <v>170</v>
      </c>
      <c r="C101" s="174">
        <v>50</v>
      </c>
      <c r="D101" s="174">
        <f>50000+50000</f>
        <v>100000</v>
      </c>
      <c r="E101" s="277">
        <v>34273</v>
      </c>
      <c r="F101" s="277">
        <v>4116</v>
      </c>
      <c r="G101" s="384" t="s">
        <v>349</v>
      </c>
      <c r="H101" s="384">
        <v>50000</v>
      </c>
      <c r="I101" s="390"/>
      <c r="J101" s="387">
        <v>50000</v>
      </c>
      <c r="K101" s="391">
        <v>50000</v>
      </c>
    </row>
    <row r="102" spans="1:11" x14ac:dyDescent="0.25">
      <c r="A102" s="43"/>
      <c r="B102" s="107"/>
      <c r="C102" s="115"/>
      <c r="D102" s="115"/>
      <c r="E102" s="277"/>
      <c r="F102" s="277"/>
      <c r="G102" s="45"/>
      <c r="I102" s="390"/>
      <c r="J102" s="387"/>
      <c r="K102" s="391"/>
    </row>
    <row r="103" spans="1:11" x14ac:dyDescent="0.25">
      <c r="A103" s="43"/>
      <c r="B103" s="285" t="s">
        <v>34</v>
      </c>
      <c r="C103" s="39">
        <f>SUM(C104:C138)</f>
        <v>22859.631079999999</v>
      </c>
      <c r="D103" s="39">
        <f>SUM(D104:D138)</f>
        <v>33734011.079999998</v>
      </c>
      <c r="E103" s="29"/>
      <c r="F103" s="284"/>
      <c r="G103" s="45"/>
      <c r="I103" s="390"/>
      <c r="J103" s="387"/>
      <c r="K103" s="391"/>
    </row>
    <row r="104" spans="1:11" x14ac:dyDescent="0.25">
      <c r="A104" s="43">
        <v>42054</v>
      </c>
      <c r="B104" s="107" t="s">
        <v>68</v>
      </c>
      <c r="C104" s="52">
        <v>972.54641000000004</v>
      </c>
      <c r="D104" s="52">
        <v>972546.41</v>
      </c>
      <c r="E104" s="29">
        <v>33019</v>
      </c>
      <c r="F104" s="284" t="s">
        <v>18</v>
      </c>
      <c r="G104" s="45"/>
      <c r="I104" s="390"/>
      <c r="J104" s="387"/>
      <c r="K104" s="391"/>
    </row>
    <row r="105" spans="1:11" x14ac:dyDescent="0.25">
      <c r="A105" s="43">
        <v>42081</v>
      </c>
      <c r="B105" s="107" t="s">
        <v>117</v>
      </c>
      <c r="C105" s="52">
        <v>192</v>
      </c>
      <c r="D105" s="350">
        <v>192000</v>
      </c>
      <c r="E105" s="29">
        <v>33339</v>
      </c>
      <c r="F105" s="284">
        <v>4116</v>
      </c>
      <c r="G105" s="45"/>
      <c r="I105" s="390"/>
      <c r="J105" s="387"/>
      <c r="K105" s="391"/>
    </row>
    <row r="106" spans="1:11" x14ac:dyDescent="0.25">
      <c r="A106" s="43">
        <v>42116</v>
      </c>
      <c r="B106" s="107" t="s">
        <v>145</v>
      </c>
      <c r="C106" s="52">
        <v>417.25607000000002</v>
      </c>
      <c r="D106" s="350">
        <f>354667.65+62588.42</f>
        <v>417256.07</v>
      </c>
      <c r="E106" s="29">
        <v>33019</v>
      </c>
      <c r="F106" s="284">
        <v>4116</v>
      </c>
      <c r="G106" s="45"/>
      <c r="I106" s="390"/>
      <c r="J106" s="387"/>
      <c r="K106" s="391"/>
    </row>
    <row r="107" spans="1:11" x14ac:dyDescent="0.25">
      <c r="A107" s="43">
        <v>42117</v>
      </c>
      <c r="B107" s="107" t="s">
        <v>148</v>
      </c>
      <c r="C107" s="52">
        <v>6858.8674300000002</v>
      </c>
      <c r="D107" s="351">
        <v>6858867.4299999997</v>
      </c>
      <c r="E107" s="277">
        <v>33019</v>
      </c>
      <c r="F107" s="284">
        <v>4116</v>
      </c>
      <c r="G107" s="45"/>
      <c r="I107" s="390"/>
      <c r="J107" s="387"/>
      <c r="K107" s="391"/>
    </row>
    <row r="108" spans="1:11" x14ac:dyDescent="0.25">
      <c r="A108" s="43">
        <v>42131</v>
      </c>
      <c r="B108" s="107" t="s">
        <v>174</v>
      </c>
      <c r="C108" s="52">
        <v>592.21028999999999</v>
      </c>
      <c r="D108" s="350">
        <v>592210.29</v>
      </c>
      <c r="E108" s="67">
        <v>33019</v>
      </c>
      <c r="F108" s="284">
        <v>4116</v>
      </c>
      <c r="G108" s="45"/>
      <c r="I108" s="390"/>
      <c r="J108" s="387"/>
      <c r="K108" s="391"/>
    </row>
    <row r="109" spans="1:11" x14ac:dyDescent="0.25">
      <c r="A109" s="43">
        <v>42138</v>
      </c>
      <c r="B109" s="107" t="s">
        <v>148</v>
      </c>
      <c r="C109" s="52">
        <v>4904.7020000000002</v>
      </c>
      <c r="D109" s="350">
        <v>4904702</v>
      </c>
      <c r="E109" s="67">
        <v>33019</v>
      </c>
      <c r="F109" s="284">
        <v>4116</v>
      </c>
      <c r="G109" s="45"/>
      <c r="I109" s="390"/>
      <c r="J109" s="387"/>
      <c r="K109" s="391"/>
    </row>
    <row r="110" spans="1:11" x14ac:dyDescent="0.25">
      <c r="A110" s="43">
        <v>42184</v>
      </c>
      <c r="B110" s="107" t="s">
        <v>145</v>
      </c>
      <c r="C110" s="52">
        <v>681.93142</v>
      </c>
      <c r="D110" s="350">
        <v>681931.42</v>
      </c>
      <c r="E110" s="67">
        <v>33019</v>
      </c>
      <c r="F110" s="284">
        <v>4116</v>
      </c>
      <c r="G110" s="45"/>
      <c r="I110" s="390"/>
      <c r="J110" s="387"/>
      <c r="K110" s="391"/>
    </row>
    <row r="111" spans="1:11" x14ac:dyDescent="0.25">
      <c r="A111" s="43">
        <v>42188</v>
      </c>
      <c r="B111" s="276" t="s">
        <v>174</v>
      </c>
      <c r="C111" s="52">
        <v>800.06946000000005</v>
      </c>
      <c r="D111" s="350">
        <v>800069.46</v>
      </c>
      <c r="E111" s="67">
        <v>33019</v>
      </c>
      <c r="F111" s="284">
        <v>4116</v>
      </c>
      <c r="G111" s="45"/>
      <c r="I111" s="390"/>
      <c r="J111" s="387"/>
      <c r="K111" s="391"/>
    </row>
    <row r="112" spans="1:11" x14ac:dyDescent="0.25">
      <c r="A112" s="43">
        <v>42198</v>
      </c>
      <c r="B112" s="276" t="s">
        <v>275</v>
      </c>
      <c r="C112" s="52">
        <f>841.97005+148.58295</f>
        <v>990.553</v>
      </c>
      <c r="D112" s="350">
        <f>841970.05+148582.95</f>
        <v>990553</v>
      </c>
      <c r="E112" s="67">
        <v>33058</v>
      </c>
      <c r="F112" s="284">
        <v>4116</v>
      </c>
      <c r="G112" s="45"/>
      <c r="I112" s="390"/>
      <c r="J112" s="387"/>
      <c r="K112" s="391"/>
    </row>
    <row r="113" spans="1:11" x14ac:dyDescent="0.25">
      <c r="A113" s="43">
        <v>42198</v>
      </c>
      <c r="B113" s="276" t="s">
        <v>276</v>
      </c>
      <c r="C113" s="52">
        <f>846.78615+149.43285</f>
        <v>996.21900000000005</v>
      </c>
      <c r="D113" s="350">
        <f>846786.15+149432.85</f>
        <v>996219</v>
      </c>
      <c r="E113" s="67">
        <v>33058</v>
      </c>
      <c r="F113" s="284">
        <v>4116</v>
      </c>
      <c r="G113" s="45"/>
      <c r="I113" s="390"/>
      <c r="J113" s="387"/>
      <c r="K113" s="391"/>
    </row>
    <row r="114" spans="1:11" x14ac:dyDescent="0.25">
      <c r="A114" s="43">
        <v>42198</v>
      </c>
      <c r="B114" s="276" t="s">
        <v>277</v>
      </c>
      <c r="C114" s="52">
        <f>689.90845+121.74855</f>
        <v>811.65700000000004</v>
      </c>
      <c r="D114" s="350">
        <f>689908.45+121748.55</f>
        <v>811657</v>
      </c>
      <c r="E114" s="67">
        <v>33058</v>
      </c>
      <c r="F114" s="284">
        <v>4116</v>
      </c>
      <c r="G114" s="45"/>
      <c r="I114" s="390"/>
      <c r="J114" s="387"/>
      <c r="K114" s="391"/>
    </row>
    <row r="115" spans="1:11" x14ac:dyDescent="0.25">
      <c r="A115" s="43">
        <v>42200</v>
      </c>
      <c r="B115" s="276" t="s">
        <v>296</v>
      </c>
      <c r="C115" s="52">
        <v>978.06399999999996</v>
      </c>
      <c r="D115" s="350">
        <v>978064</v>
      </c>
      <c r="E115" s="67">
        <v>33058</v>
      </c>
      <c r="F115" s="284">
        <v>4116</v>
      </c>
      <c r="G115" s="45"/>
      <c r="I115" s="390"/>
      <c r="J115" s="387"/>
      <c r="K115" s="391"/>
    </row>
    <row r="116" spans="1:11" x14ac:dyDescent="0.25">
      <c r="A116" s="43">
        <v>42200</v>
      </c>
      <c r="B116" s="276" t="s">
        <v>297</v>
      </c>
      <c r="C116" s="52">
        <v>914.54499999999996</v>
      </c>
      <c r="D116" s="350">
        <v>914545</v>
      </c>
      <c r="E116" s="67">
        <v>33058</v>
      </c>
      <c r="F116" s="284">
        <v>4116</v>
      </c>
      <c r="G116" s="45"/>
      <c r="I116" s="390"/>
      <c r="J116" s="387"/>
      <c r="K116" s="391"/>
    </row>
    <row r="117" spans="1:11" x14ac:dyDescent="0.25">
      <c r="A117" s="43">
        <v>42200</v>
      </c>
      <c r="B117" s="276" t="s">
        <v>298</v>
      </c>
      <c r="C117" s="52">
        <v>797.56700000000001</v>
      </c>
      <c r="D117" s="350">
        <v>797567</v>
      </c>
      <c r="E117" s="67">
        <v>33058</v>
      </c>
      <c r="F117" s="284">
        <v>4116</v>
      </c>
      <c r="G117" s="45"/>
      <c r="I117" s="390"/>
      <c r="J117" s="387"/>
      <c r="K117" s="391"/>
    </row>
    <row r="118" spans="1:11" x14ac:dyDescent="0.25">
      <c r="A118" s="43">
        <v>42200</v>
      </c>
      <c r="B118" s="276" t="s">
        <v>299</v>
      </c>
      <c r="C118" s="52">
        <v>991.53399999999999</v>
      </c>
      <c r="D118" s="350">
        <v>991534</v>
      </c>
      <c r="E118" s="67">
        <v>33058</v>
      </c>
      <c r="F118" s="284">
        <v>4116</v>
      </c>
      <c r="G118" s="45"/>
      <c r="I118" s="390"/>
      <c r="J118" s="387"/>
      <c r="K118" s="391"/>
    </row>
    <row r="119" spans="1:11" x14ac:dyDescent="0.25">
      <c r="A119" s="43">
        <v>42200</v>
      </c>
      <c r="B119" s="276" t="s">
        <v>300</v>
      </c>
      <c r="C119" s="52">
        <v>959.90899999999999</v>
      </c>
      <c r="D119" s="350">
        <v>959909</v>
      </c>
      <c r="E119" s="67">
        <v>33058</v>
      </c>
      <c r="F119" s="284">
        <v>4116</v>
      </c>
      <c r="G119" s="45"/>
      <c r="I119" s="390"/>
      <c r="J119" s="387"/>
      <c r="K119" s="391"/>
    </row>
    <row r="120" spans="1:11" x14ac:dyDescent="0.25">
      <c r="A120" s="43">
        <v>42206</v>
      </c>
      <c r="B120" s="276" t="s">
        <v>314</v>
      </c>
      <c r="C120" s="52">
        <v>0</v>
      </c>
      <c r="D120" s="350">
        <v>415290</v>
      </c>
      <c r="E120" s="67">
        <v>33058</v>
      </c>
      <c r="F120" s="284">
        <v>4116</v>
      </c>
      <c r="G120" s="45"/>
      <c r="I120" s="390"/>
      <c r="J120" s="387"/>
      <c r="K120" s="391"/>
    </row>
    <row r="121" spans="1:11" x14ac:dyDescent="0.25">
      <c r="A121" s="43">
        <v>42206</v>
      </c>
      <c r="B121" s="276" t="s">
        <v>315</v>
      </c>
      <c r="C121" s="52">
        <v>0</v>
      </c>
      <c r="D121" s="350">
        <v>578942</v>
      </c>
      <c r="E121" s="67">
        <v>33058</v>
      </c>
      <c r="F121" s="284">
        <v>4116</v>
      </c>
      <c r="G121" s="45"/>
      <c r="I121" s="390"/>
      <c r="J121" s="387"/>
      <c r="K121" s="391"/>
    </row>
    <row r="122" spans="1:11" x14ac:dyDescent="0.25">
      <c r="A122" s="43">
        <v>42206</v>
      </c>
      <c r="B122" s="276" t="s">
        <v>316</v>
      </c>
      <c r="C122" s="52">
        <v>0</v>
      </c>
      <c r="D122" s="350">
        <v>528802</v>
      </c>
      <c r="E122" s="67">
        <v>33058</v>
      </c>
      <c r="F122" s="284">
        <v>4116</v>
      </c>
      <c r="G122" s="45"/>
      <c r="I122" s="390"/>
      <c r="J122" s="387"/>
      <c r="K122" s="391"/>
    </row>
    <row r="123" spans="1:11" x14ac:dyDescent="0.25">
      <c r="A123" s="43">
        <v>42206</v>
      </c>
      <c r="B123" s="276" t="s">
        <v>317</v>
      </c>
      <c r="C123" s="52">
        <v>0</v>
      </c>
      <c r="D123" s="350">
        <v>672516</v>
      </c>
      <c r="E123" s="67">
        <v>33058</v>
      </c>
      <c r="F123" s="284">
        <v>4116</v>
      </c>
      <c r="G123" s="45"/>
      <c r="I123" s="390"/>
      <c r="J123" s="387"/>
      <c r="K123" s="391"/>
    </row>
    <row r="124" spans="1:11" x14ac:dyDescent="0.25">
      <c r="A124" s="43">
        <v>42206</v>
      </c>
      <c r="B124" s="276" t="s">
        <v>318</v>
      </c>
      <c r="C124" s="52">
        <v>0</v>
      </c>
      <c r="D124" s="350">
        <v>424344</v>
      </c>
      <c r="E124" s="67">
        <v>33058</v>
      </c>
      <c r="F124" s="284">
        <v>4116</v>
      </c>
      <c r="G124" s="45"/>
      <c r="I124" s="390"/>
      <c r="J124" s="387"/>
      <c r="K124" s="391"/>
    </row>
    <row r="125" spans="1:11" x14ac:dyDescent="0.25">
      <c r="A125" s="43">
        <v>42206</v>
      </c>
      <c r="B125" s="276" t="s">
        <v>319</v>
      </c>
      <c r="C125" s="46">
        <v>0</v>
      </c>
      <c r="D125" s="350">
        <v>315461</v>
      </c>
      <c r="E125" s="67">
        <v>33058</v>
      </c>
      <c r="F125" s="284">
        <v>4116</v>
      </c>
      <c r="G125" s="45"/>
      <c r="I125" s="390"/>
      <c r="J125" s="387"/>
      <c r="K125" s="391"/>
    </row>
    <row r="126" spans="1:11" x14ac:dyDescent="0.25">
      <c r="A126" s="43">
        <v>42206</v>
      </c>
      <c r="B126" s="276" t="s">
        <v>320</v>
      </c>
      <c r="C126" s="46">
        <v>0</v>
      </c>
      <c r="D126" s="350">
        <v>537856</v>
      </c>
      <c r="E126" s="67">
        <v>33058</v>
      </c>
      <c r="F126" s="284">
        <v>4116</v>
      </c>
      <c r="G126" s="45"/>
      <c r="I126" s="390"/>
      <c r="J126" s="387"/>
      <c r="K126" s="391"/>
    </row>
    <row r="127" spans="1:11" x14ac:dyDescent="0.25">
      <c r="A127" s="43">
        <v>42206</v>
      </c>
      <c r="B127" s="276" t="s">
        <v>321</v>
      </c>
      <c r="C127" s="46">
        <v>0</v>
      </c>
      <c r="D127" s="350">
        <v>980198</v>
      </c>
      <c r="E127" s="67">
        <v>33058</v>
      </c>
      <c r="F127" s="284">
        <v>4116</v>
      </c>
      <c r="G127" s="45"/>
      <c r="I127" s="390"/>
      <c r="J127" s="387"/>
      <c r="K127" s="391"/>
    </row>
    <row r="128" spans="1:11" x14ac:dyDescent="0.25">
      <c r="A128" s="43">
        <v>42209</v>
      </c>
      <c r="B128" s="276" t="s">
        <v>323</v>
      </c>
      <c r="C128" s="46">
        <v>0</v>
      </c>
      <c r="D128" s="350">
        <v>715238</v>
      </c>
      <c r="E128" s="67">
        <v>33058</v>
      </c>
      <c r="F128" s="284">
        <v>4116</v>
      </c>
      <c r="G128" s="45"/>
      <c r="I128" s="390"/>
      <c r="J128" s="387"/>
      <c r="K128" s="391"/>
    </row>
    <row r="129" spans="1:11" x14ac:dyDescent="0.25">
      <c r="A129" s="43">
        <v>42209</v>
      </c>
      <c r="B129" s="276" t="s">
        <v>324</v>
      </c>
      <c r="C129" s="46">
        <v>0</v>
      </c>
      <c r="D129" s="350">
        <v>692150</v>
      </c>
      <c r="E129" s="67">
        <v>33058</v>
      </c>
      <c r="F129" s="284">
        <v>4116</v>
      </c>
      <c r="G129" s="45"/>
      <c r="I129" s="390"/>
      <c r="J129" s="387"/>
      <c r="K129" s="391"/>
    </row>
    <row r="130" spans="1:11" x14ac:dyDescent="0.25">
      <c r="A130" s="43">
        <v>42209</v>
      </c>
      <c r="B130" s="276" t="s">
        <v>325</v>
      </c>
      <c r="C130" s="46">
        <v>0</v>
      </c>
      <c r="D130" s="350">
        <v>903153</v>
      </c>
      <c r="E130" s="67">
        <v>33058</v>
      </c>
      <c r="F130" s="284">
        <v>4116</v>
      </c>
      <c r="G130" s="45"/>
      <c r="I130" s="390"/>
      <c r="J130" s="387"/>
      <c r="K130" s="391"/>
    </row>
    <row r="131" spans="1:11" x14ac:dyDescent="0.25">
      <c r="A131" s="43">
        <v>42209</v>
      </c>
      <c r="B131" s="276" t="s">
        <v>326</v>
      </c>
      <c r="C131" s="46">
        <v>0</v>
      </c>
      <c r="D131" s="350">
        <v>328987</v>
      </c>
      <c r="E131" s="67">
        <v>33058</v>
      </c>
      <c r="F131" s="284">
        <v>4116</v>
      </c>
      <c r="G131" s="45"/>
      <c r="I131" s="390"/>
      <c r="J131" s="387"/>
      <c r="K131" s="391"/>
    </row>
    <row r="132" spans="1:11" x14ac:dyDescent="0.25">
      <c r="A132" s="43">
        <v>42209</v>
      </c>
      <c r="B132" s="276" t="s">
        <v>327</v>
      </c>
      <c r="C132" s="46">
        <v>0</v>
      </c>
      <c r="D132" s="350">
        <v>989456</v>
      </c>
      <c r="E132" s="67">
        <v>33058</v>
      </c>
      <c r="F132" s="284">
        <v>4116</v>
      </c>
      <c r="G132" s="45"/>
      <c r="I132" s="390"/>
      <c r="J132" s="387"/>
      <c r="K132" s="391"/>
    </row>
    <row r="133" spans="1:11" x14ac:dyDescent="0.25">
      <c r="A133" s="43">
        <v>42209</v>
      </c>
      <c r="B133" s="276" t="s">
        <v>328</v>
      </c>
      <c r="C133" s="46">
        <v>0</v>
      </c>
      <c r="D133" s="350">
        <v>990111</v>
      </c>
      <c r="E133" s="67">
        <v>33058</v>
      </c>
      <c r="F133" s="284">
        <v>4116</v>
      </c>
      <c r="G133" s="45"/>
      <c r="I133" s="390"/>
      <c r="J133" s="387"/>
      <c r="K133" s="391"/>
    </row>
    <row r="134" spans="1:11" x14ac:dyDescent="0.25">
      <c r="A134" s="43">
        <v>42214</v>
      </c>
      <c r="B134" s="276" t="s">
        <v>335</v>
      </c>
      <c r="C134" s="46">
        <v>0</v>
      </c>
      <c r="D134" s="350">
        <f>827419.75+146015.25</f>
        <v>973435</v>
      </c>
      <c r="E134" s="67">
        <v>33058</v>
      </c>
      <c r="F134" s="277">
        <v>4116</v>
      </c>
      <c r="G134" s="45"/>
      <c r="I134" s="390"/>
      <c r="J134" s="387"/>
      <c r="K134" s="391"/>
    </row>
    <row r="135" spans="1:11" ht="14.45" customHeight="1" x14ac:dyDescent="0.25">
      <c r="A135" s="43">
        <v>42214</v>
      </c>
      <c r="B135" s="276" t="s">
        <v>336</v>
      </c>
      <c r="C135" s="46">
        <v>0</v>
      </c>
      <c r="D135" s="350">
        <f>510257.55+90045.45</f>
        <v>600303</v>
      </c>
      <c r="E135" s="67">
        <v>33058</v>
      </c>
      <c r="F135" s="277">
        <v>4116</v>
      </c>
      <c r="G135" s="45"/>
      <c r="I135" s="390"/>
      <c r="J135" s="387"/>
      <c r="K135" s="391"/>
    </row>
    <row r="136" spans="1:11" x14ac:dyDescent="0.25">
      <c r="A136" s="43">
        <v>42214</v>
      </c>
      <c r="B136" s="276" t="s">
        <v>337</v>
      </c>
      <c r="C136" s="46">
        <v>0</v>
      </c>
      <c r="D136" s="350">
        <v>87683</v>
      </c>
      <c r="E136" s="67">
        <v>33060</v>
      </c>
      <c r="F136" s="277">
        <v>4116</v>
      </c>
      <c r="G136" s="45"/>
      <c r="I136" s="390"/>
      <c r="J136" s="387"/>
      <c r="K136" s="391"/>
    </row>
    <row r="137" spans="1:11" x14ac:dyDescent="0.25">
      <c r="A137" s="43">
        <v>42214</v>
      </c>
      <c r="B137" s="276" t="s">
        <v>338</v>
      </c>
      <c r="C137" s="46">
        <v>0</v>
      </c>
      <c r="D137" s="350">
        <v>40000</v>
      </c>
      <c r="E137" s="67">
        <v>33060</v>
      </c>
      <c r="F137" s="277">
        <v>4116</v>
      </c>
      <c r="G137" s="45"/>
      <c r="I137" s="390"/>
      <c r="J137" s="387"/>
      <c r="K137" s="391"/>
    </row>
    <row r="138" spans="1:11" x14ac:dyDescent="0.25">
      <c r="A138" s="43">
        <v>42214</v>
      </c>
      <c r="B138" s="276" t="s">
        <v>339</v>
      </c>
      <c r="C138" s="46">
        <v>0</v>
      </c>
      <c r="D138" s="350">
        <v>100455</v>
      </c>
      <c r="E138" s="67">
        <v>33060</v>
      </c>
      <c r="F138" s="277">
        <v>4116</v>
      </c>
      <c r="G138" s="45"/>
      <c r="I138" s="390"/>
      <c r="J138" s="387"/>
      <c r="K138" s="391"/>
    </row>
    <row r="139" spans="1:11" x14ac:dyDescent="0.25">
      <c r="A139" s="43"/>
      <c r="B139" s="107"/>
      <c r="C139" s="115"/>
      <c r="D139" s="373"/>
      <c r="E139" s="67"/>
      <c r="F139" s="277"/>
      <c r="G139" s="45"/>
      <c r="I139" s="390"/>
      <c r="J139" s="387"/>
      <c r="K139" s="391"/>
    </row>
    <row r="140" spans="1:11" x14ac:dyDescent="0.25">
      <c r="A140" s="43"/>
      <c r="B140" s="107"/>
      <c r="C140" s="115"/>
      <c r="D140" s="373"/>
      <c r="E140" s="67"/>
      <c r="F140" s="277"/>
      <c r="G140" s="45"/>
      <c r="I140" s="390"/>
      <c r="J140" s="387"/>
      <c r="K140" s="391"/>
    </row>
    <row r="141" spans="1:11" x14ac:dyDescent="0.25">
      <c r="A141" s="43"/>
      <c r="B141" s="107"/>
      <c r="C141" s="115"/>
      <c r="D141" s="373"/>
      <c r="E141" s="67"/>
      <c r="F141" s="277"/>
      <c r="G141" s="45"/>
      <c r="I141" s="390"/>
      <c r="J141" s="387"/>
      <c r="K141" s="391"/>
    </row>
    <row r="142" spans="1:11" x14ac:dyDescent="0.25">
      <c r="A142" s="43"/>
      <c r="B142" s="273" t="s">
        <v>35</v>
      </c>
      <c r="C142" s="31">
        <f>+SUM(C143:C146)</f>
        <v>2908.0978700000001</v>
      </c>
      <c r="D142" s="30">
        <f>+SUM(D143:D146)</f>
        <v>2908097.87</v>
      </c>
      <c r="E142" s="67"/>
      <c r="F142" s="277"/>
      <c r="G142" s="45"/>
      <c r="I142" s="390"/>
      <c r="J142" s="387"/>
      <c r="K142" s="391"/>
    </row>
    <row r="143" spans="1:11" x14ac:dyDescent="0.25">
      <c r="A143" s="43">
        <v>42040</v>
      </c>
      <c r="B143" s="107" t="s">
        <v>60</v>
      </c>
      <c r="C143" s="53">
        <v>2686.6678700000002</v>
      </c>
      <c r="D143" s="52">
        <v>2686667.87</v>
      </c>
      <c r="E143" s="67">
        <v>17003</v>
      </c>
      <c r="F143" s="277" t="s">
        <v>18</v>
      </c>
      <c r="G143" s="45"/>
      <c r="I143" s="390"/>
      <c r="J143" s="387"/>
      <c r="K143" s="391"/>
    </row>
    <row r="144" spans="1:11" x14ac:dyDescent="0.25">
      <c r="A144" s="43">
        <v>42059</v>
      </c>
      <c r="B144" s="107" t="s">
        <v>105</v>
      </c>
      <c r="C144" s="53">
        <v>188.21549999999999</v>
      </c>
      <c r="D144" s="52">
        <v>188215.5</v>
      </c>
      <c r="E144" s="67">
        <v>17003</v>
      </c>
      <c r="F144" s="277">
        <v>4116</v>
      </c>
      <c r="G144" s="45"/>
      <c r="I144" s="390"/>
      <c r="J144" s="387"/>
      <c r="K144" s="391"/>
    </row>
    <row r="145" spans="1:11" x14ac:dyDescent="0.25">
      <c r="A145" s="43">
        <v>42059</v>
      </c>
      <c r="B145" s="107" t="s">
        <v>105</v>
      </c>
      <c r="C145" s="52">
        <v>33.214500000000001</v>
      </c>
      <c r="D145" s="52">
        <v>33214.5</v>
      </c>
      <c r="E145" s="67">
        <v>17002</v>
      </c>
      <c r="F145" s="277">
        <v>4116</v>
      </c>
      <c r="G145" s="45"/>
      <c r="I145" s="390"/>
      <c r="J145" s="387"/>
      <c r="K145" s="391"/>
    </row>
    <row r="146" spans="1:11" x14ac:dyDescent="0.25">
      <c r="A146" s="43"/>
      <c r="B146" s="289"/>
      <c r="C146" s="373"/>
      <c r="D146" s="373"/>
      <c r="E146" s="67"/>
      <c r="F146" s="277"/>
      <c r="G146" s="45"/>
      <c r="H146" s="45">
        <f>110252980.52-H148</f>
        <v>67603132.519999996</v>
      </c>
      <c r="I146" s="390"/>
      <c r="J146" s="387"/>
      <c r="K146" s="391"/>
    </row>
    <row r="147" spans="1:11" x14ac:dyDescent="0.25">
      <c r="A147" s="43"/>
      <c r="B147" s="31" t="s">
        <v>36</v>
      </c>
      <c r="C147" s="31">
        <f>+SUM(C148:C153)</f>
        <v>37917.936510000007</v>
      </c>
      <c r="D147" s="31">
        <f>+SUM(D148:D153)</f>
        <v>47811788.509999998</v>
      </c>
      <c r="E147" s="67"/>
      <c r="F147" s="277"/>
      <c r="G147" s="45"/>
      <c r="H147" s="45">
        <f>67653132.52-H146</f>
        <v>50000</v>
      </c>
      <c r="I147" s="390"/>
      <c r="J147" s="387"/>
      <c r="K147" s="391"/>
    </row>
    <row r="148" spans="1:11" x14ac:dyDescent="0.25">
      <c r="A148" s="43">
        <v>42163</v>
      </c>
      <c r="B148" s="107" t="s">
        <v>237</v>
      </c>
      <c r="C148" s="21">
        <f>37408.91-505.566</f>
        <v>36903.344000000005</v>
      </c>
      <c r="D148" s="53">
        <v>46797196</v>
      </c>
      <c r="E148" s="67">
        <v>13011</v>
      </c>
      <c r="F148" s="277">
        <v>4116</v>
      </c>
      <c r="G148" s="384" t="s">
        <v>348</v>
      </c>
      <c r="H148" s="384">
        <v>42649848</v>
      </c>
      <c r="I148" s="390"/>
      <c r="J148" s="387">
        <v>42649848</v>
      </c>
      <c r="K148" s="391"/>
    </row>
    <row r="149" spans="1:11" x14ac:dyDescent="0.25">
      <c r="A149" s="43">
        <v>42163</v>
      </c>
      <c r="B149" s="107" t="s">
        <v>238</v>
      </c>
      <c r="C149" s="21">
        <v>505.56599999999997</v>
      </c>
      <c r="D149" s="53">
        <v>505566</v>
      </c>
      <c r="E149" s="67">
        <v>13011</v>
      </c>
      <c r="F149" s="277">
        <v>4116</v>
      </c>
      <c r="G149" s="45"/>
      <c r="I149" s="390"/>
      <c r="J149" s="387"/>
      <c r="K149" s="391"/>
    </row>
    <row r="150" spans="1:11" x14ac:dyDescent="0.25">
      <c r="A150" s="43"/>
      <c r="B150" s="107"/>
      <c r="C150" s="115"/>
      <c r="D150" s="373"/>
      <c r="E150" s="67"/>
      <c r="F150" s="277">
        <v>4116</v>
      </c>
      <c r="G150" s="45"/>
      <c r="I150" s="390"/>
      <c r="J150" s="387"/>
      <c r="K150" s="391"/>
    </row>
    <row r="151" spans="1:11" x14ac:dyDescent="0.25">
      <c r="A151" s="43"/>
      <c r="B151" s="107"/>
      <c r="C151" s="115"/>
      <c r="D151" s="373"/>
      <c r="E151" s="67"/>
      <c r="F151" s="277">
        <v>4116</v>
      </c>
      <c r="G151" s="45"/>
      <c r="I151" s="390"/>
      <c r="J151" s="387">
        <v>181303.93</v>
      </c>
      <c r="K151" s="391"/>
    </row>
    <row r="152" spans="1:11" x14ac:dyDescent="0.25">
      <c r="A152" s="43"/>
      <c r="B152" s="44" t="s">
        <v>196</v>
      </c>
      <c r="C152" s="176">
        <v>181.30393000000001</v>
      </c>
      <c r="D152" s="176">
        <v>181303.93</v>
      </c>
      <c r="E152" s="67">
        <v>13233</v>
      </c>
      <c r="F152" s="277">
        <v>4116</v>
      </c>
      <c r="G152" s="45"/>
      <c r="I152" s="390"/>
      <c r="J152" s="387">
        <v>327722.58</v>
      </c>
      <c r="K152" s="391"/>
    </row>
    <row r="153" spans="1:11" x14ac:dyDescent="0.25">
      <c r="A153" s="43"/>
      <c r="B153" s="44" t="s">
        <v>203</v>
      </c>
      <c r="C153" s="176">
        <v>327.72257999999999</v>
      </c>
      <c r="D153" s="176">
        <v>327722.58</v>
      </c>
      <c r="E153" s="67">
        <v>13233</v>
      </c>
      <c r="F153" s="277">
        <v>4116</v>
      </c>
      <c r="G153" s="45"/>
      <c r="I153" s="390"/>
      <c r="J153" s="387"/>
      <c r="K153" s="391"/>
    </row>
    <row r="154" spans="1:11" x14ac:dyDescent="0.25">
      <c r="A154" s="43"/>
      <c r="B154" s="58"/>
      <c r="C154" s="46"/>
      <c r="D154" s="358"/>
      <c r="E154" s="67"/>
      <c r="F154" s="277"/>
      <c r="G154" s="45"/>
      <c r="I154" s="390"/>
      <c r="J154" s="387"/>
      <c r="K154" s="391"/>
    </row>
    <row r="155" spans="1:11" x14ac:dyDescent="0.25">
      <c r="A155" s="43"/>
      <c r="B155" s="273" t="s">
        <v>38</v>
      </c>
      <c r="C155" s="30">
        <f>+C156</f>
        <v>600</v>
      </c>
      <c r="D155" s="30">
        <f>+D156</f>
        <v>600000</v>
      </c>
      <c r="E155" s="67"/>
      <c r="F155" s="277"/>
      <c r="G155" s="45"/>
      <c r="I155" s="390"/>
      <c r="J155" s="387"/>
      <c r="K155" s="391"/>
    </row>
    <row r="156" spans="1:11" x14ac:dyDescent="0.25">
      <c r="A156" s="43">
        <v>42051</v>
      </c>
      <c r="B156" s="107" t="s">
        <v>39</v>
      </c>
      <c r="C156" s="46">
        <v>600</v>
      </c>
      <c r="D156" s="46">
        <v>600000</v>
      </c>
      <c r="E156" s="67">
        <v>22005</v>
      </c>
      <c r="F156" s="277" t="s">
        <v>18</v>
      </c>
      <c r="G156" s="45"/>
      <c r="I156" s="390"/>
      <c r="J156" s="387"/>
      <c r="K156" s="391"/>
    </row>
    <row r="157" spans="1:11" x14ac:dyDescent="0.25">
      <c r="A157" s="43"/>
      <c r="B157" s="276"/>
      <c r="C157" s="46"/>
      <c r="D157" s="46"/>
      <c r="E157" s="67"/>
      <c r="F157" s="277"/>
      <c r="G157" s="45"/>
      <c r="I157" s="390"/>
      <c r="J157" s="387"/>
      <c r="K157" s="391"/>
    </row>
    <row r="158" spans="1:11" x14ac:dyDescent="0.25">
      <c r="A158" s="43"/>
      <c r="B158" s="273" t="s">
        <v>40</v>
      </c>
      <c r="C158" s="30">
        <f>SUM(C159:C173)</f>
        <v>1582.5036699999998</v>
      </c>
      <c r="D158" s="30">
        <f>SUM(D159:D173)</f>
        <v>1649519.67</v>
      </c>
      <c r="E158" s="67"/>
      <c r="F158" s="277"/>
      <c r="G158" s="45"/>
      <c r="I158" s="390"/>
      <c r="J158" s="387"/>
      <c r="K158" s="391"/>
    </row>
    <row r="159" spans="1:11" x14ac:dyDescent="0.25">
      <c r="A159" s="43">
        <v>42081</v>
      </c>
      <c r="B159" s="276" t="s">
        <v>118</v>
      </c>
      <c r="C159" s="46">
        <v>134.988</v>
      </c>
      <c r="D159" s="46">
        <v>134988</v>
      </c>
      <c r="E159" s="67">
        <v>14023</v>
      </c>
      <c r="F159" s="277">
        <v>4116</v>
      </c>
      <c r="G159" s="45"/>
      <c r="I159" s="390"/>
      <c r="J159" s="387"/>
      <c r="K159" s="391"/>
    </row>
    <row r="160" spans="1:11" x14ac:dyDescent="0.25">
      <c r="A160" s="43">
        <v>42082</v>
      </c>
      <c r="B160" s="276" t="s">
        <v>119</v>
      </c>
      <c r="C160" s="46">
        <v>72</v>
      </c>
      <c r="D160" s="46">
        <v>72000</v>
      </c>
      <c r="E160" s="67">
        <v>14336</v>
      </c>
      <c r="F160" s="277">
        <v>4116</v>
      </c>
      <c r="G160" s="45"/>
      <c r="I160" s="390"/>
      <c r="J160" s="387"/>
      <c r="K160" s="391"/>
    </row>
    <row r="161" spans="1:11" x14ac:dyDescent="0.25">
      <c r="A161" s="43">
        <v>42087</v>
      </c>
      <c r="B161" s="276" t="s">
        <v>118</v>
      </c>
      <c r="C161" s="46">
        <v>0.8</v>
      </c>
      <c r="D161" s="46">
        <v>800</v>
      </c>
      <c r="E161" s="67">
        <v>14023</v>
      </c>
      <c r="F161" s="277">
        <v>4116</v>
      </c>
      <c r="G161" s="45"/>
      <c r="I161" s="390"/>
      <c r="J161" s="387"/>
      <c r="K161" s="391"/>
    </row>
    <row r="162" spans="1:11" x14ac:dyDescent="0.25">
      <c r="A162" s="43">
        <v>42090</v>
      </c>
      <c r="B162" s="276" t="s">
        <v>118</v>
      </c>
      <c r="C162" s="46">
        <v>66.06</v>
      </c>
      <c r="D162" s="46">
        <v>66060</v>
      </c>
      <c r="E162" s="67">
        <v>14023</v>
      </c>
      <c r="F162" s="277">
        <v>4116</v>
      </c>
      <c r="G162" s="45"/>
      <c r="I162" s="390"/>
      <c r="J162" s="387"/>
      <c r="K162" s="391"/>
    </row>
    <row r="163" spans="1:11" x14ac:dyDescent="0.25">
      <c r="A163" s="43">
        <v>42096</v>
      </c>
      <c r="B163" s="276" t="s">
        <v>136</v>
      </c>
      <c r="C163" s="46">
        <v>72</v>
      </c>
      <c r="D163" s="46">
        <v>72000</v>
      </c>
      <c r="E163" s="67">
        <v>14336</v>
      </c>
      <c r="F163" s="277">
        <v>4116</v>
      </c>
      <c r="G163" s="45"/>
      <c r="I163" s="390"/>
      <c r="J163" s="387"/>
      <c r="K163" s="391"/>
    </row>
    <row r="164" spans="1:11" x14ac:dyDescent="0.25">
      <c r="A164" s="43">
        <v>42096</v>
      </c>
      <c r="B164" s="276" t="s">
        <v>137</v>
      </c>
      <c r="C164" s="46">
        <v>72</v>
      </c>
      <c r="D164" s="46">
        <v>72000</v>
      </c>
      <c r="E164" s="67">
        <v>14336</v>
      </c>
      <c r="F164" s="277">
        <v>4116</v>
      </c>
      <c r="G164" s="45"/>
      <c r="I164" s="390"/>
      <c r="J164" s="387"/>
      <c r="K164" s="391"/>
    </row>
    <row r="165" spans="1:11" x14ac:dyDescent="0.25">
      <c r="A165" s="43">
        <v>42123</v>
      </c>
      <c r="B165" s="276" t="s">
        <v>153</v>
      </c>
      <c r="C165" s="46">
        <v>72</v>
      </c>
      <c r="D165" s="46">
        <v>72000</v>
      </c>
      <c r="E165" s="67">
        <v>14336</v>
      </c>
      <c r="F165" s="277">
        <v>4116</v>
      </c>
      <c r="G165" s="45"/>
      <c r="I165" s="390"/>
      <c r="J165" s="387"/>
      <c r="K165" s="391"/>
    </row>
    <row r="166" spans="1:11" x14ac:dyDescent="0.25">
      <c r="A166" s="43">
        <v>42128</v>
      </c>
      <c r="B166" s="276" t="s">
        <v>118</v>
      </c>
      <c r="C166" s="46">
        <v>65.341999999999999</v>
      </c>
      <c r="D166" s="46">
        <v>65342</v>
      </c>
      <c r="E166" s="67">
        <v>14023</v>
      </c>
      <c r="F166" s="277">
        <v>4116</v>
      </c>
      <c r="G166" s="45"/>
      <c r="I166" s="390"/>
      <c r="J166" s="387"/>
      <c r="K166" s="391"/>
    </row>
    <row r="167" spans="1:11" x14ac:dyDescent="0.25">
      <c r="A167" s="43">
        <v>42152</v>
      </c>
      <c r="B167" s="276" t="s">
        <v>118</v>
      </c>
      <c r="C167" s="46">
        <v>69.66</v>
      </c>
      <c r="D167" s="46">
        <v>69660</v>
      </c>
      <c r="E167" s="67">
        <v>14023</v>
      </c>
      <c r="F167" s="277">
        <v>4116</v>
      </c>
      <c r="G167" s="45"/>
      <c r="I167" s="390"/>
      <c r="J167" s="387"/>
      <c r="K167" s="391"/>
    </row>
    <row r="168" spans="1:11" x14ac:dyDescent="0.25">
      <c r="A168" s="43">
        <v>42166</v>
      </c>
      <c r="B168" s="276" t="s">
        <v>229</v>
      </c>
      <c r="C168" s="46">
        <v>721</v>
      </c>
      <c r="D168" s="46">
        <f>757000-36000</f>
        <v>721000</v>
      </c>
      <c r="E168" s="67">
        <v>14018</v>
      </c>
      <c r="F168" s="277">
        <v>4116</v>
      </c>
      <c r="G168" s="45"/>
      <c r="I168" s="390"/>
      <c r="J168" s="387"/>
      <c r="K168" s="391"/>
    </row>
    <row r="169" spans="1:11" x14ac:dyDescent="0.25">
      <c r="A169" s="43">
        <v>42181</v>
      </c>
      <c r="B169" s="276" t="s">
        <v>247</v>
      </c>
      <c r="C169" s="46">
        <v>102.74966999999999</v>
      </c>
      <c r="D169" s="46">
        <v>102749.67</v>
      </c>
      <c r="E169" s="67">
        <v>14013</v>
      </c>
      <c r="F169" s="277">
        <v>4116</v>
      </c>
      <c r="G169" s="45"/>
      <c r="I169" s="390"/>
      <c r="J169" s="387"/>
      <c r="K169" s="391"/>
    </row>
    <row r="170" spans="1:11" x14ac:dyDescent="0.25">
      <c r="A170" s="43">
        <v>42184</v>
      </c>
      <c r="B170" s="276" t="s">
        <v>118</v>
      </c>
      <c r="C170" s="46">
        <f>69.6456+12.2904</f>
        <v>81.936000000000007</v>
      </c>
      <c r="D170" s="46">
        <v>81936</v>
      </c>
      <c r="E170" s="67">
        <v>14023</v>
      </c>
      <c r="F170" s="277">
        <v>4116</v>
      </c>
      <c r="G170" s="45"/>
      <c r="I170" s="390"/>
      <c r="J170" s="387"/>
      <c r="K170" s="391"/>
    </row>
    <row r="171" spans="1:11" x14ac:dyDescent="0.25">
      <c r="A171" s="43">
        <v>42213</v>
      </c>
      <c r="B171" s="276" t="s">
        <v>118</v>
      </c>
      <c r="C171" s="46">
        <v>0</v>
      </c>
      <c r="D171" s="46">
        <v>67016</v>
      </c>
      <c r="E171" s="67">
        <v>14023</v>
      </c>
      <c r="F171" s="277">
        <v>4116</v>
      </c>
      <c r="G171" s="45"/>
      <c r="I171" s="390"/>
      <c r="J171" s="402">
        <v>36000</v>
      </c>
      <c r="K171" s="391"/>
    </row>
    <row r="172" spans="1:11" x14ac:dyDescent="0.25">
      <c r="A172" s="43"/>
      <c r="B172" s="276" t="s">
        <v>274</v>
      </c>
      <c r="C172" s="179">
        <v>36</v>
      </c>
      <c r="D172" s="179">
        <v>36000</v>
      </c>
      <c r="E172" s="67">
        <v>14018</v>
      </c>
      <c r="F172" s="277">
        <v>4116</v>
      </c>
      <c r="G172" s="45"/>
      <c r="I172" s="390"/>
      <c r="J172" s="402">
        <f>7480+8488</f>
        <v>15968</v>
      </c>
      <c r="K172" s="391"/>
    </row>
    <row r="173" spans="1:11" x14ac:dyDescent="0.25">
      <c r="A173" s="43"/>
      <c r="B173" s="276" t="s">
        <v>113</v>
      </c>
      <c r="C173" s="179">
        <v>15.968</v>
      </c>
      <c r="D173" s="179">
        <f>7480+8488</f>
        <v>15968</v>
      </c>
      <c r="E173" s="67">
        <v>14137</v>
      </c>
      <c r="F173" s="277">
        <v>4116</v>
      </c>
      <c r="G173" s="45"/>
      <c r="I173" s="390"/>
      <c r="J173" s="387"/>
      <c r="K173" s="391"/>
    </row>
    <row r="174" spans="1:11" x14ac:dyDescent="0.25">
      <c r="A174" s="43"/>
      <c r="B174" s="276"/>
      <c r="C174" s="116"/>
      <c r="D174" s="116"/>
      <c r="E174" s="67"/>
      <c r="F174" s="68"/>
      <c r="G174" s="45"/>
      <c r="I174" s="390"/>
      <c r="J174" s="387"/>
      <c r="K174" s="391"/>
    </row>
    <row r="175" spans="1:11" x14ac:dyDescent="0.25">
      <c r="A175" s="43"/>
      <c r="B175" s="273" t="s">
        <v>41</v>
      </c>
      <c r="C175" s="31">
        <f>+SUM(C176:C190)</f>
        <v>325.37400000000002</v>
      </c>
      <c r="D175" s="31">
        <f>+SUM(D176:D190)</f>
        <v>325374</v>
      </c>
      <c r="E175" s="67"/>
      <c r="F175" s="68"/>
      <c r="G175" s="45"/>
      <c r="I175" s="390"/>
      <c r="J175" s="387"/>
      <c r="K175" s="391"/>
    </row>
    <row r="176" spans="1:11" x14ac:dyDescent="0.25">
      <c r="A176" s="43">
        <v>42118</v>
      </c>
      <c r="B176" s="276" t="s">
        <v>93</v>
      </c>
      <c r="C176" s="47">
        <v>18.0625</v>
      </c>
      <c r="D176" s="47">
        <v>18062.5</v>
      </c>
      <c r="E176" s="67">
        <v>35019</v>
      </c>
      <c r="F176" s="68">
        <v>4116</v>
      </c>
      <c r="G176" s="45"/>
      <c r="I176" s="390"/>
      <c r="J176" s="387"/>
      <c r="K176" s="391"/>
    </row>
    <row r="177" spans="1:11" x14ac:dyDescent="0.25">
      <c r="A177" s="43">
        <v>42118</v>
      </c>
      <c r="B177" s="276" t="s">
        <v>94</v>
      </c>
      <c r="C177" s="47">
        <v>17.977499999999999</v>
      </c>
      <c r="D177" s="47">
        <v>17977.5</v>
      </c>
      <c r="E177" s="67">
        <v>35019</v>
      </c>
      <c r="F177" s="68">
        <v>4116</v>
      </c>
      <c r="G177" s="45"/>
      <c r="I177" s="390"/>
      <c r="J177" s="387"/>
      <c r="K177" s="391"/>
    </row>
    <row r="178" spans="1:11" x14ac:dyDescent="0.25">
      <c r="A178" s="43">
        <v>42118</v>
      </c>
      <c r="B178" s="276" t="s">
        <v>95</v>
      </c>
      <c r="C178" s="47">
        <v>32.084000000000003</v>
      </c>
      <c r="D178" s="47">
        <v>32084</v>
      </c>
      <c r="E178" s="67">
        <v>35019</v>
      </c>
      <c r="F178" s="68">
        <v>4116</v>
      </c>
      <c r="G178" s="45"/>
      <c r="I178" s="390"/>
      <c r="J178" s="387"/>
      <c r="K178" s="391"/>
    </row>
    <row r="179" spans="1:11" x14ac:dyDescent="0.25">
      <c r="A179" s="43">
        <v>42118</v>
      </c>
      <c r="B179" s="276" t="s">
        <v>95</v>
      </c>
      <c r="C179" s="47">
        <v>77</v>
      </c>
      <c r="D179" s="47">
        <v>77000</v>
      </c>
      <c r="E179" s="67">
        <v>35019</v>
      </c>
      <c r="F179" s="68">
        <v>4116</v>
      </c>
      <c r="G179" s="45"/>
      <c r="I179" s="390"/>
      <c r="J179" s="387"/>
      <c r="K179" s="391"/>
    </row>
    <row r="180" spans="1:11" x14ac:dyDescent="0.25">
      <c r="A180" s="43">
        <v>42118</v>
      </c>
      <c r="B180" s="276" t="s">
        <v>92</v>
      </c>
      <c r="C180" s="47">
        <v>40.25</v>
      </c>
      <c r="D180" s="47">
        <v>40250</v>
      </c>
      <c r="E180" s="67">
        <v>35019</v>
      </c>
      <c r="F180" s="68">
        <v>4116</v>
      </c>
      <c r="G180" s="45"/>
      <c r="I180" s="390"/>
      <c r="J180" s="387"/>
      <c r="K180" s="391"/>
    </row>
    <row r="181" spans="1:11" x14ac:dyDescent="0.25">
      <c r="A181" s="43">
        <v>42172</v>
      </c>
      <c r="B181" s="276" t="s">
        <v>100</v>
      </c>
      <c r="C181" s="47">
        <v>140</v>
      </c>
      <c r="D181" s="47">
        <v>140000</v>
      </c>
      <c r="E181" s="67">
        <v>35015</v>
      </c>
      <c r="F181" s="68">
        <v>4116</v>
      </c>
      <c r="G181" s="45"/>
      <c r="I181" s="390"/>
      <c r="J181" s="387"/>
      <c r="K181" s="391"/>
    </row>
    <row r="182" spans="1:11" x14ac:dyDescent="0.25">
      <c r="A182" s="43"/>
      <c r="B182" s="276" t="s">
        <v>93</v>
      </c>
      <c r="C182" s="116"/>
      <c r="D182" s="116"/>
      <c r="E182" s="67">
        <v>35019</v>
      </c>
      <c r="F182" s="68">
        <v>4116</v>
      </c>
      <c r="G182" s="45"/>
      <c r="I182" s="390"/>
      <c r="J182" s="387"/>
      <c r="K182" s="391"/>
    </row>
    <row r="183" spans="1:11" x14ac:dyDescent="0.25">
      <c r="A183" s="43"/>
      <c r="B183" s="276" t="s">
        <v>94</v>
      </c>
      <c r="C183" s="116"/>
      <c r="D183" s="116"/>
      <c r="E183" s="67">
        <v>35019</v>
      </c>
      <c r="F183" s="68">
        <v>4116</v>
      </c>
      <c r="G183" s="45"/>
      <c r="I183" s="390"/>
      <c r="J183" s="387"/>
      <c r="K183" s="391"/>
    </row>
    <row r="184" spans="1:11" x14ac:dyDescent="0.25">
      <c r="A184" s="43"/>
      <c r="B184" s="276" t="s">
        <v>95</v>
      </c>
      <c r="C184" s="116"/>
      <c r="D184" s="116"/>
      <c r="E184" s="67">
        <v>35019</v>
      </c>
      <c r="F184" s="68">
        <v>4116</v>
      </c>
      <c r="G184" s="45"/>
      <c r="I184" s="390"/>
      <c r="J184" s="387"/>
      <c r="K184" s="391"/>
    </row>
    <row r="185" spans="1:11" x14ac:dyDescent="0.25">
      <c r="A185" s="43"/>
      <c r="B185" s="276" t="s">
        <v>96</v>
      </c>
      <c r="C185" s="116"/>
      <c r="D185" s="116"/>
      <c r="E185" s="67">
        <v>35019</v>
      </c>
      <c r="F185" s="68">
        <v>4116</v>
      </c>
      <c r="G185" s="45"/>
      <c r="I185" s="390"/>
      <c r="J185" s="387"/>
      <c r="K185" s="391"/>
    </row>
    <row r="186" spans="1:11" x14ac:dyDescent="0.25">
      <c r="A186" s="43"/>
      <c r="B186" s="276" t="s">
        <v>93</v>
      </c>
      <c r="C186" s="116"/>
      <c r="D186" s="116"/>
      <c r="E186" s="67">
        <v>35019</v>
      </c>
      <c r="F186" s="68">
        <v>4116</v>
      </c>
      <c r="G186" s="45"/>
      <c r="I186" s="390"/>
      <c r="J186" s="387"/>
      <c r="K186" s="391"/>
    </row>
    <row r="187" spans="1:11" x14ac:dyDescent="0.25">
      <c r="A187" s="43"/>
      <c r="B187" s="276" t="s">
        <v>95</v>
      </c>
      <c r="C187" s="116"/>
      <c r="D187" s="116"/>
      <c r="E187" s="67">
        <v>35019</v>
      </c>
      <c r="F187" s="68">
        <v>4116</v>
      </c>
      <c r="G187" s="45"/>
      <c r="I187" s="390"/>
      <c r="J187" s="387"/>
      <c r="K187" s="391"/>
    </row>
    <row r="188" spans="1:11" x14ac:dyDescent="0.25">
      <c r="A188" s="43"/>
      <c r="B188" s="276" t="s">
        <v>95</v>
      </c>
      <c r="C188" s="116"/>
      <c r="D188" s="116"/>
      <c r="E188" s="67">
        <v>35019</v>
      </c>
      <c r="F188" s="68">
        <v>4116</v>
      </c>
      <c r="G188" s="45"/>
      <c r="I188" s="390"/>
      <c r="J188" s="387"/>
      <c r="K188" s="391"/>
    </row>
    <row r="189" spans="1:11" x14ac:dyDescent="0.25">
      <c r="A189" s="43"/>
      <c r="B189" s="276" t="s">
        <v>92</v>
      </c>
      <c r="C189" s="116"/>
      <c r="D189" s="116"/>
      <c r="E189" s="67">
        <v>35019</v>
      </c>
      <c r="F189" s="68">
        <v>4116</v>
      </c>
      <c r="G189" s="45"/>
      <c r="I189" s="390"/>
      <c r="J189" s="387"/>
      <c r="K189" s="391"/>
    </row>
    <row r="190" spans="1:11" x14ac:dyDescent="0.25">
      <c r="A190" s="43"/>
      <c r="B190" s="276" t="s">
        <v>100</v>
      </c>
      <c r="C190" s="116"/>
      <c r="D190" s="116"/>
      <c r="E190" s="67">
        <v>35015</v>
      </c>
      <c r="F190" s="68">
        <v>4116</v>
      </c>
      <c r="G190" s="45"/>
      <c r="I190" s="390"/>
      <c r="J190" s="387"/>
      <c r="K190" s="391"/>
    </row>
    <row r="191" spans="1:11" x14ac:dyDescent="0.25">
      <c r="A191" s="43"/>
      <c r="B191" s="276"/>
      <c r="C191" s="116"/>
      <c r="D191" s="116"/>
      <c r="E191" s="67"/>
      <c r="F191" s="68"/>
      <c r="G191" s="45"/>
      <c r="I191" s="390"/>
      <c r="J191" s="387"/>
      <c r="K191" s="391"/>
    </row>
    <row r="192" spans="1:11" x14ac:dyDescent="0.25">
      <c r="A192" s="43"/>
      <c r="B192" s="273" t="s">
        <v>42</v>
      </c>
      <c r="C192" s="30">
        <f>+SUM(C193:C199)</f>
        <v>180.94400000000002</v>
      </c>
      <c r="D192" s="30">
        <f>+SUM(D193:D199)</f>
        <v>180944</v>
      </c>
      <c r="E192" s="67"/>
      <c r="F192" s="68"/>
      <c r="G192" s="45"/>
      <c r="I192" s="390"/>
      <c r="J192" s="387"/>
      <c r="K192" s="391"/>
    </row>
    <row r="193" spans="1:11" x14ac:dyDescent="0.25">
      <c r="A193" s="43">
        <v>42142</v>
      </c>
      <c r="B193" s="276" t="s">
        <v>43</v>
      </c>
      <c r="C193" s="46">
        <v>86.159000000000006</v>
      </c>
      <c r="D193" s="46">
        <v>86159</v>
      </c>
      <c r="E193" s="67">
        <v>29008</v>
      </c>
      <c r="F193" s="68">
        <v>4116</v>
      </c>
      <c r="G193" s="45"/>
      <c r="I193" s="390"/>
      <c r="J193" s="387"/>
      <c r="K193" s="391"/>
    </row>
    <row r="194" spans="1:11" x14ac:dyDescent="0.25">
      <c r="A194" s="43">
        <v>42157</v>
      </c>
      <c r="B194" s="276" t="s">
        <v>44</v>
      </c>
      <c r="C194" s="46">
        <v>10.5</v>
      </c>
      <c r="D194" s="46">
        <v>10500</v>
      </c>
      <c r="E194" s="67">
        <v>29004</v>
      </c>
      <c r="F194" s="68">
        <v>4116</v>
      </c>
      <c r="G194" s="45"/>
      <c r="I194" s="390"/>
      <c r="J194" s="387"/>
      <c r="K194" s="391"/>
    </row>
    <row r="195" spans="1:11" x14ac:dyDescent="0.25">
      <c r="A195" s="43">
        <v>42163</v>
      </c>
      <c r="B195" s="276" t="s">
        <v>43</v>
      </c>
      <c r="C195" s="46">
        <v>84.284999999999997</v>
      </c>
      <c r="D195" s="46">
        <v>84285</v>
      </c>
      <c r="E195" s="67">
        <v>29008</v>
      </c>
      <c r="F195" s="68">
        <v>4116</v>
      </c>
      <c r="G195" s="45"/>
      <c r="I195" s="390"/>
      <c r="J195" s="387"/>
      <c r="K195" s="391"/>
    </row>
    <row r="196" spans="1:11" x14ac:dyDescent="0.25">
      <c r="A196" s="43"/>
      <c r="B196" s="276" t="s">
        <v>43</v>
      </c>
      <c r="C196" s="116"/>
      <c r="D196" s="116"/>
      <c r="E196" s="67"/>
      <c r="F196" s="68">
        <v>4116</v>
      </c>
      <c r="G196" s="45"/>
      <c r="I196" s="390"/>
      <c r="J196" s="387"/>
      <c r="K196" s="391"/>
    </row>
    <row r="197" spans="1:11" x14ac:dyDescent="0.25">
      <c r="A197" s="43"/>
      <c r="B197" s="276"/>
      <c r="C197" s="116"/>
      <c r="D197" s="116"/>
      <c r="E197" s="67"/>
      <c r="F197" s="68">
        <v>4116</v>
      </c>
      <c r="G197" s="45"/>
      <c r="I197" s="390"/>
      <c r="J197" s="387"/>
      <c r="K197" s="391"/>
    </row>
    <row r="198" spans="1:11" x14ac:dyDescent="0.25">
      <c r="A198" s="43"/>
      <c r="B198" s="276"/>
      <c r="C198" s="116"/>
      <c r="D198" s="116"/>
      <c r="E198" s="67"/>
      <c r="F198" s="68">
        <v>4116</v>
      </c>
      <c r="G198" s="45"/>
      <c r="I198" s="390"/>
      <c r="J198" s="387"/>
      <c r="K198" s="391"/>
    </row>
    <row r="199" spans="1:11" x14ac:dyDescent="0.25">
      <c r="A199" s="43"/>
      <c r="B199" s="276"/>
      <c r="C199" s="116"/>
      <c r="D199" s="116"/>
      <c r="E199" s="67"/>
      <c r="F199" s="68">
        <v>4116</v>
      </c>
      <c r="G199" s="45"/>
      <c r="I199" s="390"/>
      <c r="J199" s="387"/>
      <c r="K199" s="391"/>
    </row>
    <row r="200" spans="1:11" x14ac:dyDescent="0.25">
      <c r="A200" s="43"/>
      <c r="B200" s="273" t="s">
        <v>45</v>
      </c>
      <c r="C200" s="30">
        <f>+SUM(C201:C217)</f>
        <v>492.5256</v>
      </c>
      <c r="D200" s="30">
        <f>+SUM(D201:D217)</f>
        <v>570179.4</v>
      </c>
      <c r="E200" s="67"/>
      <c r="F200" s="68"/>
      <c r="G200" s="45"/>
      <c r="I200" s="390"/>
      <c r="J200" s="387"/>
      <c r="K200" s="391"/>
    </row>
    <row r="201" spans="1:11" x14ac:dyDescent="0.25">
      <c r="A201" s="43">
        <v>42057</v>
      </c>
      <c r="B201" s="276" t="s">
        <v>146</v>
      </c>
      <c r="C201" s="46">
        <v>466.28609999999998</v>
      </c>
      <c r="D201" s="46">
        <v>466286.1</v>
      </c>
      <c r="E201" s="67">
        <v>15319</v>
      </c>
      <c r="F201" s="68">
        <v>4116</v>
      </c>
      <c r="G201" s="45"/>
      <c r="I201" s="390"/>
      <c r="J201" s="387"/>
      <c r="K201" s="391"/>
    </row>
    <row r="202" spans="1:11" x14ac:dyDescent="0.25">
      <c r="A202" s="43">
        <v>42193</v>
      </c>
      <c r="B202" s="276" t="s">
        <v>279</v>
      </c>
      <c r="C202" s="46">
        <v>0</v>
      </c>
      <c r="D202" s="46">
        <v>77653.8</v>
      </c>
      <c r="E202" s="67">
        <v>15319</v>
      </c>
      <c r="F202" s="68">
        <v>4116</v>
      </c>
      <c r="G202" s="45"/>
      <c r="I202" s="390"/>
      <c r="J202" s="387"/>
      <c r="K202" s="391"/>
    </row>
    <row r="203" spans="1:11" x14ac:dyDescent="0.25">
      <c r="A203" s="43"/>
      <c r="B203" s="276"/>
      <c r="C203" s="116"/>
      <c r="D203" s="116"/>
      <c r="E203" s="67"/>
      <c r="F203" s="68">
        <v>4116</v>
      </c>
      <c r="G203" s="45"/>
      <c r="I203" s="390"/>
      <c r="J203" s="387"/>
      <c r="K203" s="391"/>
    </row>
    <row r="204" spans="1:11" x14ac:dyDescent="0.25">
      <c r="A204" s="43"/>
      <c r="B204" s="276"/>
      <c r="C204" s="116"/>
      <c r="D204" s="116"/>
      <c r="E204" s="67"/>
      <c r="F204" s="68">
        <v>4116</v>
      </c>
      <c r="G204" s="45"/>
      <c r="I204" s="390"/>
      <c r="J204" s="387"/>
      <c r="K204" s="391"/>
    </row>
    <row r="205" spans="1:11" x14ac:dyDescent="0.25">
      <c r="A205" s="43"/>
      <c r="B205" s="276"/>
      <c r="C205" s="116"/>
      <c r="D205" s="116"/>
      <c r="E205" s="67"/>
      <c r="F205" s="68"/>
      <c r="G205" s="45"/>
      <c r="I205" s="390"/>
      <c r="J205" s="387"/>
      <c r="K205" s="391"/>
    </row>
    <row r="206" spans="1:11" x14ac:dyDescent="0.25">
      <c r="A206" s="272"/>
      <c r="B206" s="276"/>
      <c r="C206" s="116"/>
      <c r="D206" s="116"/>
      <c r="E206" s="67"/>
      <c r="F206" s="68">
        <v>4116</v>
      </c>
      <c r="G206" s="45"/>
      <c r="I206" s="390"/>
      <c r="J206" s="387"/>
      <c r="K206" s="391"/>
    </row>
    <row r="207" spans="1:11" x14ac:dyDescent="0.25">
      <c r="A207" s="272"/>
      <c r="B207" s="44"/>
      <c r="C207" s="116"/>
      <c r="D207" s="116"/>
      <c r="E207" s="67"/>
      <c r="F207" s="68"/>
      <c r="G207" s="45"/>
      <c r="I207" s="390"/>
      <c r="J207" s="387"/>
      <c r="K207" s="391"/>
    </row>
    <row r="208" spans="1:11" x14ac:dyDescent="0.25">
      <c r="A208" s="43"/>
      <c r="B208" s="31"/>
      <c r="C208" s="370"/>
      <c r="D208" s="370"/>
      <c r="E208" s="67"/>
      <c r="F208" s="68"/>
      <c r="G208" s="45"/>
      <c r="I208" s="390"/>
      <c r="J208" s="387"/>
      <c r="K208" s="391"/>
    </row>
    <row r="209" spans="1:11" x14ac:dyDescent="0.25">
      <c r="A209" s="43"/>
      <c r="B209" s="276" t="s">
        <v>168</v>
      </c>
      <c r="C209" s="349">
        <v>26.2395</v>
      </c>
      <c r="D209" s="349">
        <v>26239.5</v>
      </c>
      <c r="E209" s="67">
        <v>15319</v>
      </c>
      <c r="F209" s="68">
        <v>4116</v>
      </c>
      <c r="G209" s="45"/>
      <c r="I209" s="390"/>
      <c r="J209" s="389">
        <v>26239.5</v>
      </c>
      <c r="K209" s="391"/>
    </row>
    <row r="210" spans="1:11" x14ac:dyDescent="0.25">
      <c r="A210" s="43"/>
      <c r="B210" s="276"/>
      <c r="C210" s="47"/>
      <c r="D210" s="47"/>
      <c r="E210" s="67"/>
      <c r="F210" s="68"/>
      <c r="G210" s="45"/>
      <c r="I210" s="390"/>
      <c r="J210" s="387"/>
      <c r="K210" s="391"/>
    </row>
    <row r="211" spans="1:11" x14ac:dyDescent="0.25">
      <c r="A211" s="43"/>
      <c r="B211" s="44"/>
      <c r="C211" s="116"/>
      <c r="D211" s="116"/>
      <c r="E211" s="67"/>
      <c r="F211" s="68"/>
      <c r="G211" s="45"/>
      <c r="I211" s="390"/>
      <c r="J211" s="387"/>
      <c r="K211" s="391"/>
    </row>
    <row r="212" spans="1:11" x14ac:dyDescent="0.25">
      <c r="A212" s="43"/>
      <c r="B212" s="273"/>
      <c r="C212" s="369"/>
      <c r="D212" s="369"/>
      <c r="E212" s="67"/>
      <c r="F212" s="268"/>
      <c r="G212" s="45"/>
      <c r="I212" s="390"/>
      <c r="J212" s="387"/>
      <c r="K212" s="391"/>
    </row>
    <row r="213" spans="1:11" x14ac:dyDescent="0.25">
      <c r="A213" s="43"/>
      <c r="B213" s="276"/>
      <c r="C213" s="373"/>
      <c r="D213" s="374"/>
      <c r="E213" s="67"/>
      <c r="F213" s="68"/>
      <c r="G213" s="45"/>
      <c r="I213" s="390"/>
      <c r="J213" s="387"/>
      <c r="K213" s="391"/>
    </row>
    <row r="214" spans="1:11" x14ac:dyDescent="0.25">
      <c r="A214" s="43"/>
      <c r="B214" s="276"/>
      <c r="C214" s="52"/>
      <c r="D214" s="350"/>
      <c r="E214" s="67"/>
      <c r="F214" s="68"/>
      <c r="G214" s="45"/>
      <c r="I214" s="390"/>
      <c r="J214" s="387"/>
      <c r="K214" s="391"/>
    </row>
    <row r="215" spans="1:11" x14ac:dyDescent="0.25">
      <c r="A215" s="43"/>
      <c r="B215" s="31" t="s">
        <v>46</v>
      </c>
      <c r="C215" s="30">
        <f>+SUM(C216:C217)</f>
        <v>0</v>
      </c>
      <c r="D215" s="30">
        <f>+SUM(D216:D217)</f>
        <v>0</v>
      </c>
      <c r="E215" s="67"/>
      <c r="F215" s="68"/>
      <c r="G215" s="45"/>
      <c r="I215" s="390"/>
      <c r="J215" s="387"/>
      <c r="K215" s="391"/>
    </row>
    <row r="216" spans="1:11" x14ac:dyDescent="0.25">
      <c r="A216" s="43"/>
      <c r="B216" s="276"/>
      <c r="C216" s="46"/>
      <c r="D216" s="46"/>
      <c r="E216" s="67"/>
      <c r="F216" s="68" t="s">
        <v>47</v>
      </c>
      <c r="G216" s="45"/>
      <c r="I216" s="390"/>
      <c r="J216" s="387"/>
      <c r="K216" s="391"/>
    </row>
    <row r="217" spans="1:11" x14ac:dyDescent="0.25">
      <c r="A217" s="43"/>
      <c r="B217" s="276"/>
      <c r="C217" s="350"/>
      <c r="D217" s="350"/>
      <c r="E217" s="67"/>
      <c r="F217" s="68"/>
      <c r="G217" s="45"/>
      <c r="I217" s="390"/>
      <c r="J217" s="387"/>
      <c r="K217" s="391"/>
    </row>
    <row r="218" spans="1:11" x14ac:dyDescent="0.25">
      <c r="A218" s="43"/>
      <c r="B218" s="273" t="s">
        <v>48</v>
      </c>
      <c r="C218" s="26">
        <f>SUM(C219:C324)</f>
        <v>108877.30556000001</v>
      </c>
      <c r="D218" s="26">
        <f>SUM(D219:D324)</f>
        <v>113137305.56</v>
      </c>
      <c r="E218" s="67"/>
      <c r="F218" s="268"/>
      <c r="G218" s="45"/>
      <c r="I218" s="390"/>
      <c r="J218" s="387"/>
      <c r="K218" s="391"/>
    </row>
    <row r="219" spans="1:11" x14ac:dyDescent="0.25">
      <c r="A219" s="43">
        <v>42046</v>
      </c>
      <c r="B219" s="276" t="s">
        <v>104</v>
      </c>
      <c r="C219" s="52">
        <v>345.49686000000003</v>
      </c>
      <c r="D219" s="350">
        <v>345496.86</v>
      </c>
      <c r="E219" s="67">
        <v>33030</v>
      </c>
      <c r="F219" s="68" t="s">
        <v>49</v>
      </c>
      <c r="G219" s="45"/>
      <c r="I219" s="390"/>
      <c r="J219" s="387"/>
      <c r="K219" s="391"/>
    </row>
    <row r="220" spans="1:11" x14ac:dyDescent="0.25">
      <c r="A220" s="43">
        <v>42096</v>
      </c>
      <c r="B220" s="276" t="s">
        <v>140</v>
      </c>
      <c r="C220" s="52">
        <v>90.980059999999995</v>
      </c>
      <c r="D220" s="350">
        <v>90980.06</v>
      </c>
      <c r="E220" s="67">
        <v>33030</v>
      </c>
      <c r="F220" s="68" t="s">
        <v>49</v>
      </c>
      <c r="G220" s="45"/>
      <c r="I220" s="390"/>
      <c r="J220" s="387"/>
      <c r="K220" s="391"/>
    </row>
    <row r="221" spans="1:11" x14ac:dyDescent="0.25">
      <c r="A221" s="43">
        <v>42118</v>
      </c>
      <c r="B221" s="276" t="s">
        <v>334</v>
      </c>
      <c r="C221" s="52">
        <v>60346.559999999998</v>
      </c>
      <c r="D221" s="350">
        <v>60346560</v>
      </c>
      <c r="E221" s="67">
        <v>13305</v>
      </c>
      <c r="F221" s="68">
        <v>4122</v>
      </c>
      <c r="G221" s="384" t="s">
        <v>346</v>
      </c>
      <c r="H221" s="384">
        <v>-8464560</v>
      </c>
      <c r="I221" s="394"/>
      <c r="J221" s="387">
        <v>8464560</v>
      </c>
      <c r="K221" s="391"/>
    </row>
    <row r="222" spans="1:11" x14ac:dyDescent="0.25">
      <c r="A222" s="43">
        <v>42122</v>
      </c>
      <c r="B222" s="276" t="s">
        <v>150</v>
      </c>
      <c r="C222" s="350">
        <v>341.41081000000003</v>
      </c>
      <c r="D222" s="350">
        <v>341410.81</v>
      </c>
      <c r="E222" s="67">
        <v>33030</v>
      </c>
      <c r="F222" s="68">
        <v>4122</v>
      </c>
      <c r="G222" s="45"/>
      <c r="I222" s="390"/>
      <c r="J222" s="387"/>
      <c r="K222" s="391"/>
    </row>
    <row r="223" spans="1:11" x14ac:dyDescent="0.25">
      <c r="A223" s="43">
        <v>42138</v>
      </c>
      <c r="B223" s="276" t="s">
        <v>181</v>
      </c>
      <c r="C223" s="350">
        <v>41.08</v>
      </c>
      <c r="D223" s="350">
        <v>41080</v>
      </c>
      <c r="E223" s="67">
        <v>14011</v>
      </c>
      <c r="F223" s="68">
        <v>4122</v>
      </c>
      <c r="G223" s="45"/>
      <c r="I223" s="390"/>
      <c r="J223" s="387"/>
      <c r="K223" s="391"/>
    </row>
    <row r="224" spans="1:11" x14ac:dyDescent="0.25">
      <c r="A224" s="43">
        <v>42145</v>
      </c>
      <c r="B224" s="276" t="s">
        <v>200</v>
      </c>
      <c r="C224" s="52">
        <v>8.3298000000000005</v>
      </c>
      <c r="D224" s="350">
        <f>7080.33+1249.47</f>
        <v>8329.7999999999993</v>
      </c>
      <c r="E224" s="67">
        <v>33030</v>
      </c>
      <c r="F224" s="68">
        <v>4122</v>
      </c>
      <c r="G224" s="45"/>
      <c r="I224" s="390"/>
      <c r="J224" s="387"/>
      <c r="K224" s="391"/>
    </row>
    <row r="225" spans="1:11" x14ac:dyDescent="0.25">
      <c r="A225" s="43">
        <v>42145</v>
      </c>
      <c r="B225" s="276" t="s">
        <v>201</v>
      </c>
      <c r="C225" s="52">
        <v>1476.0851600000001</v>
      </c>
      <c r="D225" s="350">
        <f>1254672.38+221412.78</f>
        <v>1476085.16</v>
      </c>
      <c r="E225" s="67">
        <v>33030</v>
      </c>
      <c r="F225" s="68">
        <v>4122</v>
      </c>
      <c r="G225" s="45"/>
      <c r="I225" s="390"/>
      <c r="J225" s="387"/>
      <c r="K225" s="391"/>
    </row>
    <row r="226" spans="1:11" x14ac:dyDescent="0.25">
      <c r="A226" s="43">
        <v>42145</v>
      </c>
      <c r="B226" s="276" t="s">
        <v>202</v>
      </c>
      <c r="C226" s="52">
        <v>452.84152</v>
      </c>
      <c r="D226" s="350">
        <f>384915.29+67926.23</f>
        <v>452841.51999999996</v>
      </c>
      <c r="E226" s="67">
        <v>33030</v>
      </c>
      <c r="F226" s="68">
        <v>4122</v>
      </c>
      <c r="G226" s="45"/>
      <c r="I226" s="390"/>
      <c r="J226" s="387"/>
      <c r="K226" s="391"/>
    </row>
    <row r="227" spans="1:11" x14ac:dyDescent="0.25">
      <c r="A227" s="43">
        <v>42152</v>
      </c>
      <c r="B227" s="276" t="s">
        <v>181</v>
      </c>
      <c r="C227" s="52">
        <v>29.64</v>
      </c>
      <c r="D227" s="350">
        <v>29640</v>
      </c>
      <c r="E227" s="67">
        <v>14011</v>
      </c>
      <c r="F227" s="68">
        <v>4122</v>
      </c>
      <c r="G227" s="45"/>
      <c r="I227" s="390"/>
      <c r="J227" s="387"/>
      <c r="K227" s="391"/>
    </row>
    <row r="228" spans="1:11" x14ac:dyDescent="0.25">
      <c r="A228" s="43">
        <v>42160</v>
      </c>
      <c r="B228" s="276" t="s">
        <v>239</v>
      </c>
      <c r="C228" s="52">
        <v>100</v>
      </c>
      <c r="D228" s="350">
        <v>100000</v>
      </c>
      <c r="E228" s="67">
        <v>539</v>
      </c>
      <c r="F228" s="68">
        <v>4122</v>
      </c>
      <c r="G228" s="45"/>
      <c r="I228" s="390"/>
      <c r="J228" s="387"/>
      <c r="K228" s="391"/>
    </row>
    <row r="229" spans="1:11" x14ac:dyDescent="0.25">
      <c r="A229" s="43">
        <v>42160</v>
      </c>
      <c r="B229" s="276" t="s">
        <v>240</v>
      </c>
      <c r="C229" s="52">
        <v>98</v>
      </c>
      <c r="D229" s="350">
        <v>98000</v>
      </c>
      <c r="E229" s="67">
        <v>539</v>
      </c>
      <c r="F229" s="68">
        <v>4122</v>
      </c>
      <c r="G229" s="45"/>
      <c r="I229" s="390"/>
      <c r="J229" s="387"/>
      <c r="K229" s="391"/>
    </row>
    <row r="230" spans="1:11" x14ac:dyDescent="0.25">
      <c r="A230" s="43">
        <v>42173</v>
      </c>
      <c r="B230" s="276" t="s">
        <v>236</v>
      </c>
      <c r="C230" s="52">
        <v>100</v>
      </c>
      <c r="D230" s="350">
        <v>100000</v>
      </c>
      <c r="E230" s="67">
        <v>539</v>
      </c>
      <c r="F230" s="68">
        <v>4122</v>
      </c>
      <c r="G230" s="45"/>
      <c r="I230" s="390"/>
      <c r="J230" s="387"/>
      <c r="K230" s="391"/>
    </row>
    <row r="231" spans="1:11" x14ac:dyDescent="0.25">
      <c r="A231" s="43">
        <v>42178</v>
      </c>
      <c r="B231" s="276" t="s">
        <v>243</v>
      </c>
      <c r="C231" s="52">
        <v>81.797319999999999</v>
      </c>
      <c r="D231" s="350">
        <f>69527.72+12269.6</f>
        <v>81797.320000000007</v>
      </c>
      <c r="E231" s="67">
        <v>33030</v>
      </c>
      <c r="F231" s="68">
        <v>4122</v>
      </c>
      <c r="G231" s="45"/>
      <c r="I231" s="390"/>
      <c r="J231" s="387"/>
      <c r="K231" s="391"/>
    </row>
    <row r="232" spans="1:11" x14ac:dyDescent="0.25">
      <c r="A232" s="43">
        <v>42181</v>
      </c>
      <c r="B232" s="276" t="s">
        <v>250</v>
      </c>
      <c r="C232" s="52">
        <v>200</v>
      </c>
      <c r="D232" s="350">
        <v>200000</v>
      </c>
      <c r="E232" s="67">
        <v>539</v>
      </c>
      <c r="F232" s="68">
        <v>4122</v>
      </c>
      <c r="G232" s="45"/>
      <c r="I232" s="390"/>
      <c r="J232" s="387"/>
      <c r="K232" s="391"/>
    </row>
    <row r="233" spans="1:11" x14ac:dyDescent="0.25">
      <c r="A233" s="43">
        <v>42181</v>
      </c>
      <c r="B233" s="276" t="s">
        <v>252</v>
      </c>
      <c r="C233" s="52">
        <v>701.62408000000005</v>
      </c>
      <c r="D233" s="350">
        <v>701624.08</v>
      </c>
      <c r="E233" s="67">
        <v>33030</v>
      </c>
      <c r="F233" s="68">
        <v>4122</v>
      </c>
      <c r="G233" s="45"/>
      <c r="I233" s="390"/>
      <c r="J233" s="387"/>
      <c r="K233" s="391"/>
    </row>
    <row r="234" spans="1:11" x14ac:dyDescent="0.25">
      <c r="A234" s="43">
        <v>42181</v>
      </c>
      <c r="B234" s="276" t="s">
        <v>251</v>
      </c>
      <c r="C234" s="52">
        <v>93.395690000000002</v>
      </c>
      <c r="D234" s="350">
        <v>93395.69</v>
      </c>
      <c r="E234" s="67">
        <v>33030</v>
      </c>
      <c r="F234" s="68">
        <v>4122</v>
      </c>
      <c r="G234" s="45"/>
      <c r="I234" s="390"/>
      <c r="J234" s="387"/>
      <c r="K234" s="391"/>
    </row>
    <row r="235" spans="1:11" x14ac:dyDescent="0.25">
      <c r="A235" s="43">
        <v>42181</v>
      </c>
      <c r="B235" s="276" t="s">
        <v>253</v>
      </c>
      <c r="C235" s="52">
        <v>137.19474</v>
      </c>
      <c r="D235" s="350">
        <v>137194.74</v>
      </c>
      <c r="E235" s="67">
        <v>33030</v>
      </c>
      <c r="F235" s="68">
        <v>4122</v>
      </c>
      <c r="G235" s="45"/>
      <c r="I235" s="390"/>
      <c r="J235" s="387"/>
      <c r="K235" s="391"/>
    </row>
    <row r="236" spans="1:11" x14ac:dyDescent="0.25">
      <c r="A236" s="43">
        <v>42184</v>
      </c>
      <c r="B236" s="276" t="s">
        <v>254</v>
      </c>
      <c r="C236" s="52">
        <v>276.28805999999997</v>
      </c>
      <c r="D236" s="350">
        <v>276288.06</v>
      </c>
      <c r="E236" s="67">
        <v>33030</v>
      </c>
      <c r="F236" s="68">
        <v>4122</v>
      </c>
      <c r="G236" s="45"/>
      <c r="I236" s="390"/>
      <c r="J236" s="387"/>
      <c r="K236" s="391"/>
    </row>
    <row r="237" spans="1:11" x14ac:dyDescent="0.25">
      <c r="A237" s="43">
        <v>42184</v>
      </c>
      <c r="B237" s="276" t="s">
        <v>150</v>
      </c>
      <c r="C237" s="52">
        <v>371.08757000000003</v>
      </c>
      <c r="D237" s="350">
        <v>371087.57</v>
      </c>
      <c r="E237" s="67">
        <v>33030</v>
      </c>
      <c r="F237" s="68">
        <v>4122</v>
      </c>
      <c r="G237" s="45"/>
      <c r="I237" s="390"/>
      <c r="J237" s="387"/>
      <c r="K237" s="391"/>
    </row>
    <row r="238" spans="1:11" x14ac:dyDescent="0.25">
      <c r="A238" s="43">
        <v>42184</v>
      </c>
      <c r="B238" s="276" t="s">
        <v>256</v>
      </c>
      <c r="C238" s="52">
        <v>120</v>
      </c>
      <c r="D238" s="350">
        <v>120000</v>
      </c>
      <c r="E238" s="67">
        <v>311</v>
      </c>
      <c r="F238" s="68">
        <v>4122</v>
      </c>
      <c r="G238" s="45"/>
      <c r="I238" s="390"/>
      <c r="J238" s="387"/>
      <c r="K238" s="391"/>
    </row>
    <row r="239" spans="1:11" x14ac:dyDescent="0.25">
      <c r="A239" s="43">
        <v>42184</v>
      </c>
      <c r="B239" s="276" t="s">
        <v>255</v>
      </c>
      <c r="C239" s="52">
        <v>60</v>
      </c>
      <c r="D239" s="350">
        <v>60000</v>
      </c>
      <c r="E239" s="67">
        <v>311</v>
      </c>
      <c r="F239" s="68">
        <v>4122</v>
      </c>
      <c r="G239" s="45"/>
      <c r="I239" s="390"/>
      <c r="J239" s="387"/>
      <c r="K239" s="391"/>
    </row>
    <row r="240" spans="1:11" x14ac:dyDescent="0.25">
      <c r="A240" s="43">
        <v>42187</v>
      </c>
      <c r="B240" s="276" t="s">
        <v>281</v>
      </c>
      <c r="C240" s="52">
        <v>50</v>
      </c>
      <c r="D240" s="350">
        <v>50000</v>
      </c>
      <c r="E240" s="67">
        <v>311</v>
      </c>
      <c r="F240" s="68">
        <v>4122</v>
      </c>
      <c r="G240" s="45"/>
      <c r="I240" s="390"/>
      <c r="J240" s="387"/>
      <c r="K240" s="391"/>
    </row>
    <row r="241" spans="1:11" x14ac:dyDescent="0.25">
      <c r="A241" s="43">
        <v>42187</v>
      </c>
      <c r="B241" s="276" t="s">
        <v>282</v>
      </c>
      <c r="C241" s="52">
        <v>50</v>
      </c>
      <c r="D241" s="350">
        <v>50000</v>
      </c>
      <c r="E241" s="67">
        <v>311</v>
      </c>
      <c r="F241" s="68">
        <v>4122</v>
      </c>
      <c r="G241" s="45"/>
      <c r="I241" s="390"/>
      <c r="J241" s="387"/>
      <c r="K241" s="391"/>
    </row>
    <row r="242" spans="1:11" x14ac:dyDescent="0.25">
      <c r="A242" s="43">
        <v>42192</v>
      </c>
      <c r="B242" s="276" t="s">
        <v>285</v>
      </c>
      <c r="C242" s="53">
        <v>0</v>
      </c>
      <c r="D242" s="350">
        <v>100000</v>
      </c>
      <c r="E242" s="67">
        <v>331</v>
      </c>
      <c r="F242" s="68">
        <v>4122</v>
      </c>
      <c r="G242" s="45"/>
      <c r="I242" s="390"/>
      <c r="J242" s="387"/>
      <c r="K242" s="391"/>
    </row>
    <row r="243" spans="1:11" x14ac:dyDescent="0.25">
      <c r="A243" s="43">
        <v>42192</v>
      </c>
      <c r="B243" s="276" t="s">
        <v>286</v>
      </c>
      <c r="C243" s="53">
        <v>0</v>
      </c>
      <c r="D243" s="350">
        <v>100000</v>
      </c>
      <c r="E243" s="67">
        <v>331</v>
      </c>
      <c r="F243" s="68">
        <v>4122</v>
      </c>
      <c r="G243" s="45"/>
      <c r="I243" s="390"/>
      <c r="J243" s="387"/>
      <c r="K243" s="391"/>
    </row>
    <row r="244" spans="1:11" x14ac:dyDescent="0.25">
      <c r="A244" s="43">
        <v>42192</v>
      </c>
      <c r="B244" s="276" t="s">
        <v>287</v>
      </c>
      <c r="C244" s="53">
        <v>0</v>
      </c>
      <c r="D244" s="350">
        <v>200000</v>
      </c>
      <c r="E244" s="67">
        <v>331</v>
      </c>
      <c r="F244" s="68">
        <v>4122</v>
      </c>
      <c r="G244" s="45"/>
      <c r="I244" s="390"/>
      <c r="J244" s="387"/>
      <c r="K244" s="391"/>
    </row>
    <row r="245" spans="1:11" x14ac:dyDescent="0.25">
      <c r="A245" s="43">
        <v>42192</v>
      </c>
      <c r="B245" s="276" t="s">
        <v>288</v>
      </c>
      <c r="C245" s="53">
        <v>0</v>
      </c>
      <c r="D245" s="350">
        <v>600000</v>
      </c>
      <c r="E245" s="67">
        <v>331</v>
      </c>
      <c r="F245" s="68">
        <v>4122</v>
      </c>
      <c r="G245" s="45"/>
      <c r="I245" s="390"/>
      <c r="J245" s="387"/>
      <c r="K245" s="391"/>
    </row>
    <row r="246" spans="1:11" x14ac:dyDescent="0.25">
      <c r="A246" s="43">
        <v>42192</v>
      </c>
      <c r="B246" s="276" t="s">
        <v>289</v>
      </c>
      <c r="C246" s="53">
        <v>0</v>
      </c>
      <c r="D246" s="350">
        <v>400000</v>
      </c>
      <c r="E246" s="67">
        <v>331</v>
      </c>
      <c r="F246" s="68">
        <v>4122</v>
      </c>
      <c r="G246" s="45"/>
      <c r="I246" s="390"/>
      <c r="J246" s="387"/>
      <c r="K246" s="391"/>
    </row>
    <row r="247" spans="1:11" x14ac:dyDescent="0.25">
      <c r="A247" s="43">
        <v>42192</v>
      </c>
      <c r="B247" s="276" t="s">
        <v>290</v>
      </c>
      <c r="C247" s="53">
        <v>0</v>
      </c>
      <c r="D247" s="350">
        <v>600000</v>
      </c>
      <c r="E247" s="67">
        <v>331</v>
      </c>
      <c r="F247" s="68">
        <v>4122</v>
      </c>
      <c r="G247" s="45"/>
      <c r="I247" s="390"/>
      <c r="J247" s="387"/>
      <c r="K247" s="391"/>
    </row>
    <row r="248" spans="1:11" x14ac:dyDescent="0.25">
      <c r="A248" s="43">
        <v>42192</v>
      </c>
      <c r="B248" s="276" t="s">
        <v>291</v>
      </c>
      <c r="C248" s="53">
        <v>0</v>
      </c>
      <c r="D248" s="350">
        <v>600000</v>
      </c>
      <c r="E248" s="67">
        <v>331</v>
      </c>
      <c r="F248" s="68">
        <v>4122</v>
      </c>
      <c r="G248" s="45"/>
      <c r="I248" s="390"/>
      <c r="J248" s="387"/>
      <c r="K248" s="391"/>
    </row>
    <row r="249" spans="1:11" x14ac:dyDescent="0.25">
      <c r="A249" s="43">
        <v>42192</v>
      </c>
      <c r="B249" s="276" t="s">
        <v>292</v>
      </c>
      <c r="C249" s="53">
        <v>0</v>
      </c>
      <c r="D249" s="350">
        <v>600000</v>
      </c>
      <c r="E249" s="67">
        <v>331</v>
      </c>
      <c r="F249" s="68">
        <v>4122</v>
      </c>
      <c r="G249" s="45"/>
      <c r="I249" s="390"/>
      <c r="J249" s="387"/>
      <c r="K249" s="391"/>
    </row>
    <row r="250" spans="1:11" x14ac:dyDescent="0.25">
      <c r="A250" s="43">
        <v>42192</v>
      </c>
      <c r="B250" s="276" t="s">
        <v>293</v>
      </c>
      <c r="C250" s="53">
        <v>0</v>
      </c>
      <c r="D250" s="350">
        <v>600000</v>
      </c>
      <c r="E250" s="67">
        <v>331</v>
      </c>
      <c r="F250" s="68">
        <v>4122</v>
      </c>
      <c r="G250" s="45"/>
      <c r="I250" s="390"/>
      <c r="J250" s="387"/>
      <c r="K250" s="391"/>
    </row>
    <row r="251" spans="1:11" x14ac:dyDescent="0.25">
      <c r="A251" s="43">
        <v>42213</v>
      </c>
      <c r="B251" s="276" t="s">
        <v>333</v>
      </c>
      <c r="C251" s="52">
        <v>40231.040000000001</v>
      </c>
      <c r="D251" s="350">
        <v>40231040</v>
      </c>
      <c r="E251" s="67">
        <v>13305</v>
      </c>
      <c r="F251" s="68">
        <v>4122</v>
      </c>
      <c r="G251" s="45"/>
      <c r="H251" s="384"/>
      <c r="I251" s="394"/>
      <c r="J251" s="387"/>
      <c r="K251" s="391"/>
    </row>
    <row r="252" spans="1:11" x14ac:dyDescent="0.25">
      <c r="A252" s="43"/>
      <c r="B252" s="276"/>
      <c r="C252" s="373"/>
      <c r="D252" s="374"/>
      <c r="E252" s="67"/>
      <c r="F252" s="68">
        <v>4122</v>
      </c>
      <c r="G252" s="45"/>
      <c r="H252" s="384"/>
      <c r="I252" s="394"/>
      <c r="J252" s="387"/>
      <c r="K252" s="391"/>
    </row>
    <row r="253" spans="1:11" x14ac:dyDescent="0.25">
      <c r="A253" s="43"/>
      <c r="B253" s="276"/>
      <c r="C253" s="373"/>
      <c r="D253" s="374"/>
      <c r="E253" s="67"/>
      <c r="F253" s="68">
        <v>4122</v>
      </c>
      <c r="G253" s="45"/>
      <c r="I253" s="390"/>
      <c r="J253" s="387"/>
      <c r="K253" s="391"/>
    </row>
    <row r="254" spans="1:11" x14ac:dyDescent="0.25">
      <c r="A254" s="43"/>
      <c r="B254" s="276"/>
      <c r="C254" s="373"/>
      <c r="D254" s="374"/>
      <c r="E254" s="67"/>
      <c r="F254" s="68">
        <v>4122</v>
      </c>
      <c r="G254" s="45"/>
      <c r="I254" s="390"/>
      <c r="J254" s="387"/>
      <c r="K254" s="391"/>
    </row>
    <row r="255" spans="1:11" x14ac:dyDescent="0.25">
      <c r="A255" s="43"/>
      <c r="B255" s="276"/>
      <c r="C255" s="373"/>
      <c r="D255" s="374"/>
      <c r="E255" s="67"/>
      <c r="F255" s="68">
        <v>4122</v>
      </c>
      <c r="G255" s="45"/>
      <c r="I255" s="390"/>
      <c r="J255" s="387"/>
      <c r="K255" s="391"/>
    </row>
    <row r="256" spans="1:11" x14ac:dyDescent="0.25">
      <c r="A256" s="43"/>
      <c r="B256" s="276"/>
      <c r="C256" s="373"/>
      <c r="D256" s="374"/>
      <c r="E256" s="67"/>
      <c r="F256" s="68">
        <v>4122</v>
      </c>
      <c r="G256" s="45"/>
      <c r="I256" s="390"/>
      <c r="J256" s="387"/>
      <c r="K256" s="391"/>
    </row>
    <row r="257" spans="1:11" x14ac:dyDescent="0.25">
      <c r="A257" s="43"/>
      <c r="B257" s="276"/>
      <c r="C257" s="373"/>
      <c r="D257" s="374"/>
      <c r="E257" s="67"/>
      <c r="F257" s="68">
        <v>4122</v>
      </c>
      <c r="G257" s="45"/>
      <c r="I257" s="390"/>
      <c r="J257" s="387"/>
      <c r="K257" s="391"/>
    </row>
    <row r="258" spans="1:11" x14ac:dyDescent="0.25">
      <c r="A258" s="43"/>
      <c r="B258" s="276"/>
      <c r="C258" s="373"/>
      <c r="D258" s="374"/>
      <c r="E258" s="67"/>
      <c r="F258" s="68">
        <v>4122</v>
      </c>
      <c r="G258" s="45"/>
      <c r="I258" s="390"/>
      <c r="J258" s="387"/>
      <c r="K258" s="391"/>
    </row>
    <row r="259" spans="1:11" x14ac:dyDescent="0.25">
      <c r="A259" s="43"/>
      <c r="B259" s="276"/>
      <c r="C259" s="373"/>
      <c r="D259" s="374"/>
      <c r="E259" s="67"/>
      <c r="F259" s="68">
        <v>4122</v>
      </c>
      <c r="G259" s="45"/>
      <c r="I259" s="390"/>
      <c r="J259" s="387"/>
      <c r="K259" s="391"/>
    </row>
    <row r="260" spans="1:11" x14ac:dyDescent="0.25">
      <c r="A260" s="43"/>
      <c r="B260" s="276"/>
      <c r="C260" s="374"/>
      <c r="D260" s="374"/>
      <c r="E260" s="67"/>
      <c r="F260" s="68">
        <v>4122</v>
      </c>
      <c r="G260" s="45"/>
      <c r="I260" s="390"/>
      <c r="J260" s="387"/>
      <c r="K260" s="391"/>
    </row>
    <row r="261" spans="1:11" x14ac:dyDescent="0.25">
      <c r="A261" s="43"/>
      <c r="B261" s="276"/>
      <c r="C261" s="374"/>
      <c r="D261" s="374"/>
      <c r="E261" s="67"/>
      <c r="F261" s="68">
        <v>4122</v>
      </c>
      <c r="G261" s="45"/>
      <c r="I261" s="390"/>
      <c r="J261" s="387"/>
      <c r="K261" s="391"/>
    </row>
    <row r="262" spans="1:11" x14ac:dyDescent="0.25">
      <c r="A262" s="43"/>
      <c r="B262" s="276"/>
      <c r="C262" s="374"/>
      <c r="D262" s="374"/>
      <c r="E262" s="67"/>
      <c r="F262" s="68">
        <v>4122</v>
      </c>
      <c r="G262" s="45"/>
      <c r="I262" s="390"/>
      <c r="J262" s="387"/>
      <c r="K262" s="391"/>
    </row>
    <row r="263" spans="1:11" x14ac:dyDescent="0.25">
      <c r="A263" s="43"/>
      <c r="B263" s="276"/>
      <c r="C263" s="374"/>
      <c r="D263" s="374"/>
      <c r="E263" s="67"/>
      <c r="F263" s="68">
        <v>4122</v>
      </c>
      <c r="G263" s="45"/>
      <c r="I263" s="390"/>
      <c r="J263" s="387"/>
      <c r="K263" s="391"/>
    </row>
    <row r="264" spans="1:11" x14ac:dyDescent="0.25">
      <c r="A264" s="43"/>
      <c r="B264" s="276"/>
      <c r="C264" s="374"/>
      <c r="D264" s="374"/>
      <c r="E264" s="67"/>
      <c r="F264" s="68">
        <v>4122</v>
      </c>
      <c r="G264" s="45"/>
      <c r="I264" s="390"/>
      <c r="J264" s="387"/>
      <c r="K264" s="391"/>
    </row>
    <row r="265" spans="1:11" x14ac:dyDescent="0.25">
      <c r="A265" s="43"/>
      <c r="B265" s="276"/>
      <c r="C265" s="374"/>
      <c r="D265" s="374"/>
      <c r="E265" s="67"/>
      <c r="F265" s="68">
        <v>4122</v>
      </c>
      <c r="G265" s="45"/>
      <c r="I265" s="390"/>
      <c r="J265" s="387"/>
      <c r="K265" s="391"/>
    </row>
    <row r="266" spans="1:11" x14ac:dyDescent="0.25">
      <c r="A266" s="43"/>
      <c r="B266" s="276"/>
      <c r="C266" s="374"/>
      <c r="D266" s="374"/>
      <c r="E266" s="67"/>
      <c r="F266" s="68">
        <v>4122</v>
      </c>
      <c r="G266" s="45"/>
      <c r="I266" s="390"/>
      <c r="J266" s="387"/>
      <c r="K266" s="391"/>
    </row>
    <row r="267" spans="1:11" x14ac:dyDescent="0.25">
      <c r="A267" s="43"/>
      <c r="B267" s="276"/>
      <c r="C267" s="374"/>
      <c r="D267" s="374"/>
      <c r="E267" s="67"/>
      <c r="F267" s="68">
        <v>4122</v>
      </c>
      <c r="G267" s="45"/>
      <c r="I267" s="390"/>
      <c r="J267" s="387"/>
      <c r="K267" s="391"/>
    </row>
    <row r="268" spans="1:11" x14ac:dyDescent="0.25">
      <c r="A268" s="43"/>
      <c r="B268" s="276"/>
      <c r="C268" s="373"/>
      <c r="D268" s="374"/>
      <c r="E268" s="67"/>
      <c r="F268" s="68">
        <v>4122</v>
      </c>
      <c r="G268" s="45"/>
      <c r="I268" s="390"/>
      <c r="J268" s="387"/>
      <c r="K268" s="391"/>
    </row>
    <row r="269" spans="1:11" x14ac:dyDescent="0.25">
      <c r="A269" s="43"/>
      <c r="B269" s="276" t="s">
        <v>309</v>
      </c>
      <c r="C269" s="52">
        <v>0</v>
      </c>
      <c r="D269" s="350">
        <v>50000</v>
      </c>
      <c r="E269" s="67">
        <v>551</v>
      </c>
      <c r="F269" s="68">
        <v>4122</v>
      </c>
      <c r="G269" s="384" t="s">
        <v>349</v>
      </c>
      <c r="H269" s="384">
        <v>50000</v>
      </c>
      <c r="I269" s="390"/>
      <c r="J269" s="387"/>
      <c r="K269" s="395">
        <v>50000</v>
      </c>
    </row>
    <row r="270" spans="1:11" x14ac:dyDescent="0.25">
      <c r="A270" s="43"/>
      <c r="B270" s="276" t="s">
        <v>311</v>
      </c>
      <c r="C270" s="52">
        <v>0</v>
      </c>
      <c r="D270" s="350">
        <v>130000</v>
      </c>
      <c r="E270" s="67">
        <v>551</v>
      </c>
      <c r="F270" s="68">
        <v>4122</v>
      </c>
      <c r="G270" s="384" t="s">
        <v>349</v>
      </c>
      <c r="H270" s="384">
        <v>130000</v>
      </c>
      <c r="I270" s="390"/>
      <c r="J270" s="387"/>
      <c r="K270" s="395">
        <v>130000</v>
      </c>
    </row>
    <row r="271" spans="1:11" x14ac:dyDescent="0.25">
      <c r="A271" s="43"/>
      <c r="B271" s="276" t="s">
        <v>249</v>
      </c>
      <c r="C271" s="176">
        <v>60</v>
      </c>
      <c r="D271" s="197">
        <v>60000</v>
      </c>
      <c r="E271" s="67">
        <v>539</v>
      </c>
      <c r="F271" s="68">
        <v>4122</v>
      </c>
      <c r="G271" s="45"/>
      <c r="I271" s="390"/>
      <c r="J271" s="387">
        <v>60000</v>
      </c>
      <c r="K271" s="391"/>
    </row>
    <row r="272" spans="1:11" x14ac:dyDescent="0.25">
      <c r="A272" s="43"/>
      <c r="B272" s="276" t="s">
        <v>69</v>
      </c>
      <c r="C272" s="176">
        <f>674.88547+191.22315+33.74527</f>
        <v>899.85389000000009</v>
      </c>
      <c r="D272" s="197">
        <f>674885.47+224968.42</f>
        <v>899853.89</v>
      </c>
      <c r="E272" s="268">
        <v>33030</v>
      </c>
      <c r="F272" s="68">
        <v>4122</v>
      </c>
      <c r="G272" s="45"/>
      <c r="I272" s="390"/>
      <c r="J272" s="387">
        <f>674885.47+224968.42</f>
        <v>899853.89</v>
      </c>
      <c r="K272" s="391"/>
    </row>
    <row r="273" spans="1:11" x14ac:dyDescent="0.25">
      <c r="A273" s="43"/>
      <c r="B273" s="276" t="s">
        <v>259</v>
      </c>
      <c r="C273" s="176">
        <v>35</v>
      </c>
      <c r="D273" s="197">
        <v>35000</v>
      </c>
      <c r="E273" s="268">
        <v>539</v>
      </c>
      <c r="F273" s="68">
        <v>4122</v>
      </c>
      <c r="G273" s="45"/>
      <c r="I273" s="390"/>
      <c r="J273" s="387">
        <v>35000</v>
      </c>
      <c r="K273" s="391"/>
    </row>
    <row r="274" spans="1:11" x14ac:dyDescent="0.25">
      <c r="A274" s="43"/>
      <c r="B274" s="276" t="s">
        <v>139</v>
      </c>
      <c r="C274" s="176">
        <f>669.36+446.24</f>
        <v>1115.5999999999999</v>
      </c>
      <c r="D274" s="197">
        <f>669360+446240</f>
        <v>1115600</v>
      </c>
      <c r="E274" s="268">
        <v>13305</v>
      </c>
      <c r="F274" s="68">
        <v>4122</v>
      </c>
      <c r="G274" s="45"/>
      <c r="I274" s="390"/>
      <c r="J274" s="387">
        <f>669360+446240</f>
        <v>1115600</v>
      </c>
      <c r="K274" s="391"/>
    </row>
    <row r="275" spans="1:11" x14ac:dyDescent="0.25">
      <c r="A275" s="43"/>
      <c r="B275" s="276" t="s">
        <v>151</v>
      </c>
      <c r="C275" s="176">
        <v>964</v>
      </c>
      <c r="D275" s="197">
        <f>578400+385600</f>
        <v>964000</v>
      </c>
      <c r="E275" s="268">
        <v>13305</v>
      </c>
      <c r="F275" s="68">
        <v>4122</v>
      </c>
      <c r="G275" s="45"/>
      <c r="I275" s="390"/>
      <c r="J275" s="387">
        <f>578400+385600</f>
        <v>964000</v>
      </c>
      <c r="K275" s="391"/>
    </row>
    <row r="276" spans="1:11" x14ac:dyDescent="0.25">
      <c r="A276" s="43"/>
      <c r="B276" s="276" t="s">
        <v>332</v>
      </c>
      <c r="C276" s="52">
        <v>0</v>
      </c>
      <c r="D276" s="350">
        <v>80000</v>
      </c>
      <c r="E276" s="268">
        <v>551</v>
      </c>
      <c r="F276" s="68">
        <v>4122</v>
      </c>
      <c r="G276" s="384" t="s">
        <v>349</v>
      </c>
      <c r="H276" s="384">
        <v>80000</v>
      </c>
      <c r="I276" s="390"/>
      <c r="J276" s="387"/>
      <c r="K276" s="391"/>
    </row>
    <row r="277" spans="1:11" x14ac:dyDescent="0.25">
      <c r="A277" s="43"/>
      <c r="B277" s="276"/>
      <c r="C277" s="52"/>
      <c r="D277" s="374"/>
      <c r="E277" s="268"/>
      <c r="F277" s="68"/>
      <c r="G277" s="45"/>
      <c r="I277" s="390"/>
      <c r="J277" s="387"/>
      <c r="K277" s="395">
        <v>80000</v>
      </c>
    </row>
    <row r="278" spans="1:11" x14ac:dyDescent="0.25">
      <c r="A278" s="43"/>
      <c r="B278" s="276"/>
      <c r="C278" s="52"/>
      <c r="D278" s="374"/>
      <c r="E278" s="268"/>
      <c r="F278" s="68"/>
      <c r="G278" s="45"/>
      <c r="I278" s="390"/>
      <c r="J278" s="387"/>
      <c r="K278" s="396"/>
    </row>
    <row r="279" spans="1:11" x14ac:dyDescent="0.25">
      <c r="A279" s="43"/>
      <c r="B279" s="276" t="s">
        <v>304</v>
      </c>
      <c r="C279" s="52">
        <v>0</v>
      </c>
      <c r="D279" s="350">
        <v>55000</v>
      </c>
      <c r="E279" s="268">
        <v>551</v>
      </c>
      <c r="F279" s="68">
        <v>4122</v>
      </c>
      <c r="G279" s="384" t="s">
        <v>349</v>
      </c>
      <c r="H279" s="384">
        <v>55000</v>
      </c>
      <c r="I279" s="390"/>
      <c r="J279" s="387"/>
      <c r="K279" s="396"/>
    </row>
    <row r="280" spans="1:11" x14ac:dyDescent="0.25">
      <c r="A280" s="43"/>
      <c r="B280" s="276" t="s">
        <v>331</v>
      </c>
      <c r="C280" s="52">
        <v>0</v>
      </c>
      <c r="D280" s="350">
        <v>90000</v>
      </c>
      <c r="E280" s="268">
        <v>551</v>
      </c>
      <c r="F280" s="68">
        <v>4122</v>
      </c>
      <c r="G280" s="384" t="s">
        <v>349</v>
      </c>
      <c r="H280" s="384">
        <v>90000</v>
      </c>
      <c r="I280" s="390"/>
      <c r="J280" s="387"/>
      <c r="K280" s="395">
        <v>55000</v>
      </c>
    </row>
    <row r="281" spans="1:11" x14ac:dyDescent="0.25">
      <c r="A281" s="43"/>
      <c r="B281" s="276" t="s">
        <v>310</v>
      </c>
      <c r="C281" s="52">
        <v>0</v>
      </c>
      <c r="D281" s="350">
        <v>55000</v>
      </c>
      <c r="E281" s="268">
        <v>551</v>
      </c>
      <c r="F281" s="68">
        <v>4122</v>
      </c>
      <c r="G281" s="384" t="s">
        <v>349</v>
      </c>
      <c r="H281" s="384">
        <v>55000</v>
      </c>
      <c r="I281" s="390"/>
      <c r="J281" s="387"/>
      <c r="K281" s="395">
        <v>90000</v>
      </c>
    </row>
    <row r="282" spans="1:11" x14ac:dyDescent="0.25">
      <c r="A282" s="43"/>
      <c r="B282" s="276"/>
      <c r="C282" s="373"/>
      <c r="D282" s="374"/>
      <c r="E282" s="268"/>
      <c r="F282" s="68">
        <v>4122</v>
      </c>
      <c r="G282" s="45"/>
      <c r="H282" s="269"/>
      <c r="I282" s="390"/>
      <c r="J282" s="387"/>
      <c r="K282" s="395">
        <v>55000</v>
      </c>
    </row>
    <row r="283" spans="1:11" x14ac:dyDescent="0.25">
      <c r="A283" s="43"/>
      <c r="B283" s="276"/>
      <c r="C283" s="373"/>
      <c r="D283" s="374"/>
      <c r="E283" s="268"/>
      <c r="F283" s="68">
        <v>4122</v>
      </c>
      <c r="G283" s="45"/>
      <c r="H283" s="269"/>
      <c r="I283" s="390"/>
      <c r="J283" s="387"/>
      <c r="K283" s="391"/>
    </row>
    <row r="284" spans="1:11" x14ac:dyDescent="0.25">
      <c r="A284" s="43"/>
      <c r="B284" s="276"/>
      <c r="C284" s="373"/>
      <c r="D284" s="374"/>
      <c r="E284" s="268"/>
      <c r="F284" s="68">
        <v>4122</v>
      </c>
      <c r="G284" s="45"/>
      <c r="H284" s="269"/>
      <c r="I284" s="390"/>
      <c r="J284" s="387"/>
      <c r="K284" s="391"/>
    </row>
    <row r="285" spans="1:11" x14ac:dyDescent="0.25">
      <c r="A285" s="43"/>
      <c r="B285" s="276"/>
      <c r="C285" s="373"/>
      <c r="D285" s="374"/>
      <c r="E285" s="268"/>
      <c r="F285" s="68">
        <v>4122</v>
      </c>
      <c r="G285" s="45"/>
      <c r="H285" s="269"/>
      <c r="I285" s="390"/>
      <c r="J285" s="387"/>
      <c r="K285" s="391"/>
    </row>
    <row r="286" spans="1:11" x14ac:dyDescent="0.25">
      <c r="A286" s="43"/>
      <c r="B286" s="276"/>
      <c r="C286" s="373"/>
      <c r="D286" s="374"/>
      <c r="E286" s="268"/>
      <c r="F286" s="68">
        <v>4122</v>
      </c>
      <c r="G286" s="45"/>
      <c r="H286" s="269"/>
      <c r="I286" s="390"/>
      <c r="J286" s="387"/>
      <c r="K286" s="391"/>
    </row>
    <row r="287" spans="1:11" x14ac:dyDescent="0.25">
      <c r="A287" s="43"/>
      <c r="B287" s="276"/>
      <c r="C287" s="373"/>
      <c r="D287" s="374"/>
      <c r="E287" s="268"/>
      <c r="F287" s="68">
        <v>4122</v>
      </c>
      <c r="G287" s="45"/>
      <c r="H287" s="269"/>
      <c r="I287" s="390"/>
      <c r="J287" s="387"/>
      <c r="K287" s="391"/>
    </row>
    <row r="288" spans="1:11" x14ac:dyDescent="0.25">
      <c r="A288" s="43"/>
      <c r="B288" s="276"/>
      <c r="C288" s="373"/>
      <c r="D288" s="374"/>
      <c r="E288" s="268"/>
      <c r="F288" s="68">
        <v>4122</v>
      </c>
      <c r="G288" s="45"/>
      <c r="H288" s="269"/>
      <c r="I288" s="390"/>
      <c r="J288" s="387"/>
      <c r="K288" s="391"/>
    </row>
    <row r="289" spans="1:11" x14ac:dyDescent="0.25">
      <c r="A289" s="43"/>
      <c r="B289" s="276"/>
      <c r="C289" s="373"/>
      <c r="D289" s="374"/>
      <c r="E289" s="268"/>
      <c r="F289" s="68">
        <v>4122</v>
      </c>
      <c r="G289" s="45"/>
      <c r="H289" s="269"/>
      <c r="I289" s="390"/>
      <c r="J289" s="387"/>
      <c r="K289" s="391"/>
    </row>
    <row r="290" spans="1:11" x14ac:dyDescent="0.25">
      <c r="A290" s="43"/>
      <c r="B290" s="276"/>
      <c r="C290" s="373"/>
      <c r="D290" s="374"/>
      <c r="E290" s="268"/>
      <c r="F290" s="68">
        <v>4122</v>
      </c>
      <c r="G290" s="45"/>
      <c r="H290" s="269"/>
      <c r="I290" s="390"/>
      <c r="J290" s="387"/>
      <c r="K290" s="391"/>
    </row>
    <row r="291" spans="1:11" x14ac:dyDescent="0.25">
      <c r="A291" s="43"/>
      <c r="B291" s="276"/>
      <c r="C291" s="373"/>
      <c r="D291" s="374"/>
      <c r="E291" s="268"/>
      <c r="F291" s="68">
        <v>4122</v>
      </c>
      <c r="G291" s="45"/>
      <c r="H291" s="269"/>
      <c r="I291" s="390"/>
      <c r="J291" s="387"/>
      <c r="K291" s="391"/>
    </row>
    <row r="292" spans="1:11" x14ac:dyDescent="0.25">
      <c r="A292" s="43"/>
      <c r="B292" s="276"/>
      <c r="C292" s="373"/>
      <c r="D292" s="374"/>
      <c r="E292" s="268"/>
      <c r="F292" s="68">
        <v>4122</v>
      </c>
      <c r="G292" s="45"/>
      <c r="H292" s="269"/>
      <c r="I292" s="390"/>
      <c r="J292" s="387"/>
      <c r="K292" s="391"/>
    </row>
    <row r="293" spans="1:11" x14ac:dyDescent="0.25">
      <c r="A293" s="43"/>
      <c r="B293" s="276"/>
      <c r="C293" s="373"/>
      <c r="D293" s="374"/>
      <c r="E293" s="268"/>
      <c r="F293" s="68">
        <v>4122</v>
      </c>
      <c r="G293" s="45"/>
      <c r="H293" s="269"/>
      <c r="I293" s="390"/>
      <c r="J293" s="387"/>
      <c r="K293" s="391"/>
    </row>
    <row r="294" spans="1:11" x14ac:dyDescent="0.25">
      <c r="A294" s="43"/>
      <c r="B294" s="276"/>
      <c r="C294" s="373"/>
      <c r="D294" s="374"/>
      <c r="E294" s="268"/>
      <c r="F294" s="68">
        <v>4122</v>
      </c>
      <c r="G294" s="45"/>
      <c r="H294" s="269"/>
      <c r="I294" s="390"/>
      <c r="J294" s="387"/>
      <c r="K294" s="391"/>
    </row>
    <row r="295" spans="1:11" x14ac:dyDescent="0.25">
      <c r="A295" s="43"/>
      <c r="B295" s="276"/>
      <c r="C295" s="373"/>
      <c r="D295" s="374"/>
      <c r="E295" s="268"/>
      <c r="F295" s="68">
        <v>4122</v>
      </c>
      <c r="G295" s="45"/>
      <c r="H295" s="269"/>
      <c r="I295" s="390"/>
      <c r="J295" s="387"/>
      <c r="K295" s="391"/>
    </row>
    <row r="296" spans="1:11" x14ac:dyDescent="0.25">
      <c r="A296" s="43"/>
      <c r="B296" s="276"/>
      <c r="C296" s="373"/>
      <c r="D296" s="374"/>
      <c r="E296" s="268"/>
      <c r="F296" s="68">
        <v>4122</v>
      </c>
      <c r="G296" s="45"/>
      <c r="H296" s="269"/>
      <c r="I296" s="390"/>
      <c r="J296" s="387"/>
      <c r="K296" s="391"/>
    </row>
    <row r="297" spans="1:11" x14ac:dyDescent="0.25">
      <c r="A297" s="43"/>
      <c r="B297" s="276"/>
      <c r="C297" s="373"/>
      <c r="D297" s="374"/>
      <c r="E297" s="268"/>
      <c r="F297" s="68">
        <v>4122</v>
      </c>
      <c r="G297" s="45"/>
      <c r="H297" s="269"/>
      <c r="I297" s="390"/>
      <c r="J297" s="387"/>
      <c r="K297" s="391"/>
    </row>
    <row r="298" spans="1:11" x14ac:dyDescent="0.25">
      <c r="A298" s="43"/>
      <c r="B298" s="276"/>
      <c r="C298" s="373"/>
      <c r="D298" s="374"/>
      <c r="E298" s="268"/>
      <c r="F298" s="68">
        <v>4122</v>
      </c>
      <c r="G298" s="45"/>
      <c r="H298" s="269"/>
      <c r="I298" s="390"/>
      <c r="J298" s="387"/>
      <c r="K298" s="391"/>
    </row>
    <row r="299" spans="1:11" x14ac:dyDescent="0.25">
      <c r="A299" s="43"/>
      <c r="B299" s="276"/>
      <c r="C299" s="373"/>
      <c r="D299" s="374"/>
      <c r="E299" s="268"/>
      <c r="F299" s="68">
        <v>4122</v>
      </c>
      <c r="G299" s="45"/>
      <c r="H299" s="269"/>
      <c r="I299" s="390"/>
      <c r="J299" s="387"/>
      <c r="K299" s="391"/>
    </row>
    <row r="300" spans="1:11" x14ac:dyDescent="0.25">
      <c r="A300" s="43"/>
      <c r="B300" s="276"/>
      <c r="C300" s="373"/>
      <c r="D300" s="374"/>
      <c r="E300" s="268"/>
      <c r="F300" s="68">
        <v>4122</v>
      </c>
      <c r="G300" s="45"/>
      <c r="H300" s="269"/>
      <c r="I300" s="390"/>
      <c r="J300" s="387"/>
      <c r="K300" s="391"/>
    </row>
    <row r="301" spans="1:11" x14ac:dyDescent="0.25">
      <c r="A301" s="43"/>
      <c r="B301" s="276"/>
      <c r="C301" s="373"/>
      <c r="D301" s="374"/>
      <c r="E301" s="268"/>
      <c r="F301" s="68">
        <v>4122</v>
      </c>
      <c r="G301" s="45"/>
      <c r="H301" s="269"/>
      <c r="I301" s="390"/>
      <c r="J301" s="387"/>
      <c r="K301" s="391"/>
    </row>
    <row r="302" spans="1:11" x14ac:dyDescent="0.25">
      <c r="A302" s="43"/>
      <c r="B302" s="276"/>
      <c r="C302" s="373"/>
      <c r="D302" s="374"/>
      <c r="E302" s="268"/>
      <c r="F302" s="68">
        <v>4122</v>
      </c>
      <c r="G302" s="45"/>
      <c r="H302" s="269"/>
      <c r="I302" s="390"/>
      <c r="J302" s="387"/>
      <c r="K302" s="391"/>
    </row>
    <row r="303" spans="1:11" x14ac:dyDescent="0.25">
      <c r="A303" s="43"/>
      <c r="B303" s="276"/>
      <c r="C303" s="373"/>
      <c r="D303" s="374"/>
      <c r="E303" s="268"/>
      <c r="F303" s="68">
        <v>4122</v>
      </c>
      <c r="G303" s="45"/>
      <c r="H303" s="269"/>
      <c r="I303" s="390"/>
      <c r="J303" s="387"/>
      <c r="K303" s="391"/>
    </row>
    <row r="304" spans="1:11" x14ac:dyDescent="0.25">
      <c r="A304" s="43"/>
      <c r="B304" s="276"/>
      <c r="C304" s="373"/>
      <c r="D304" s="374"/>
      <c r="E304" s="268"/>
      <c r="F304" s="68">
        <v>4122</v>
      </c>
      <c r="G304" s="45"/>
      <c r="H304" s="269"/>
      <c r="I304" s="390"/>
      <c r="J304" s="387"/>
      <c r="K304" s="391"/>
    </row>
    <row r="305" spans="1:11" x14ac:dyDescent="0.25">
      <c r="A305" s="43"/>
      <c r="B305" s="276"/>
      <c r="C305" s="373"/>
      <c r="D305" s="374"/>
      <c r="E305" s="268"/>
      <c r="F305" s="68">
        <v>4122</v>
      </c>
      <c r="G305" s="45"/>
      <c r="H305" s="269"/>
      <c r="I305" s="390"/>
      <c r="J305" s="387"/>
      <c r="K305" s="391"/>
    </row>
    <row r="306" spans="1:11" x14ac:dyDescent="0.25">
      <c r="A306" s="43"/>
      <c r="B306" s="276"/>
      <c r="C306" s="373"/>
      <c r="D306" s="374"/>
      <c r="E306" s="268"/>
      <c r="F306" s="68">
        <v>4122</v>
      </c>
      <c r="G306" s="45"/>
      <c r="H306" s="269"/>
      <c r="I306" s="390"/>
      <c r="J306" s="387"/>
      <c r="K306" s="391"/>
    </row>
    <row r="307" spans="1:11" x14ac:dyDescent="0.25">
      <c r="A307" s="43"/>
      <c r="B307" s="276"/>
      <c r="C307" s="373"/>
      <c r="D307" s="374"/>
      <c r="E307" s="268"/>
      <c r="F307" s="68">
        <v>4122</v>
      </c>
      <c r="G307" s="45"/>
      <c r="H307" s="269"/>
      <c r="I307" s="390"/>
      <c r="J307" s="387"/>
      <c r="K307" s="391"/>
    </row>
    <row r="308" spans="1:11" x14ac:dyDescent="0.25">
      <c r="A308" s="43"/>
      <c r="B308" s="276"/>
      <c r="C308" s="373"/>
      <c r="D308" s="374"/>
      <c r="E308" s="268"/>
      <c r="F308" s="68">
        <v>4122</v>
      </c>
      <c r="G308" s="45"/>
      <c r="H308" s="269"/>
      <c r="I308" s="390"/>
      <c r="J308" s="387"/>
      <c r="K308" s="391"/>
    </row>
    <row r="309" spans="1:11" x14ac:dyDescent="0.25">
      <c r="A309" s="43"/>
      <c r="B309" s="276"/>
      <c r="C309" s="374"/>
      <c r="D309" s="374"/>
      <c r="E309" s="67"/>
      <c r="F309" s="68">
        <v>4122</v>
      </c>
      <c r="G309" s="45"/>
      <c r="H309" s="269"/>
      <c r="I309" s="390"/>
      <c r="J309" s="387"/>
      <c r="K309" s="391"/>
    </row>
    <row r="310" spans="1:11" x14ac:dyDescent="0.25">
      <c r="A310" s="43"/>
      <c r="B310" s="276"/>
      <c r="C310" s="374"/>
      <c r="D310" s="374"/>
      <c r="E310" s="67"/>
      <c r="F310" s="68">
        <v>4122</v>
      </c>
      <c r="G310" s="45"/>
      <c r="H310" s="269"/>
      <c r="I310" s="390"/>
      <c r="J310" s="387"/>
      <c r="K310" s="391"/>
    </row>
    <row r="311" spans="1:11" x14ac:dyDescent="0.25">
      <c r="A311" s="43"/>
      <c r="B311" s="276"/>
      <c r="C311" s="374"/>
      <c r="D311" s="374"/>
      <c r="E311" s="67"/>
      <c r="F311" s="68">
        <v>4122</v>
      </c>
      <c r="G311" s="45"/>
      <c r="H311" s="269"/>
      <c r="I311" s="390"/>
      <c r="J311" s="387"/>
      <c r="K311" s="391"/>
    </row>
    <row r="312" spans="1:11" x14ac:dyDescent="0.25">
      <c r="A312" s="43"/>
      <c r="B312" s="276"/>
      <c r="C312" s="374"/>
      <c r="D312" s="374"/>
      <c r="E312" s="67"/>
      <c r="F312" s="68">
        <v>4122</v>
      </c>
      <c r="G312" s="45"/>
      <c r="H312" s="269"/>
      <c r="I312" s="390"/>
      <c r="J312" s="387"/>
      <c r="K312" s="391"/>
    </row>
    <row r="313" spans="1:11" x14ac:dyDescent="0.25">
      <c r="A313" s="43"/>
      <c r="B313" s="276"/>
      <c r="C313" s="374"/>
      <c r="D313" s="374"/>
      <c r="E313" s="67"/>
      <c r="F313" s="68">
        <v>4122</v>
      </c>
      <c r="G313" s="45"/>
      <c r="H313" s="269"/>
      <c r="I313" s="390"/>
      <c r="J313" s="387"/>
      <c r="K313" s="391"/>
    </row>
    <row r="314" spans="1:11" x14ac:dyDescent="0.25">
      <c r="A314" s="43"/>
      <c r="B314" s="276"/>
      <c r="C314" s="374"/>
      <c r="D314" s="374"/>
      <c r="E314" s="67"/>
      <c r="F314" s="68">
        <v>4122</v>
      </c>
      <c r="G314" s="45"/>
      <c r="H314" s="269"/>
      <c r="I314" s="390"/>
      <c r="J314" s="387"/>
      <c r="K314" s="391"/>
    </row>
    <row r="315" spans="1:11" x14ac:dyDescent="0.25">
      <c r="A315" s="43"/>
      <c r="B315" s="276"/>
      <c r="C315" s="374"/>
      <c r="D315" s="374"/>
      <c r="E315" s="67"/>
      <c r="F315" s="68">
        <v>4122</v>
      </c>
      <c r="G315" s="45"/>
      <c r="H315" s="269"/>
      <c r="I315" s="390"/>
      <c r="J315" s="387"/>
      <c r="K315" s="391"/>
    </row>
    <row r="316" spans="1:11" x14ac:dyDescent="0.25">
      <c r="A316" s="43"/>
      <c r="B316" s="276"/>
      <c r="C316" s="374"/>
      <c r="D316" s="374"/>
      <c r="E316" s="67"/>
      <c r="F316" s="68">
        <v>4122</v>
      </c>
      <c r="G316" s="45"/>
      <c r="H316" s="269"/>
      <c r="I316" s="390"/>
      <c r="J316" s="387"/>
      <c r="K316" s="391"/>
    </row>
    <row r="317" spans="1:11" x14ac:dyDescent="0.25">
      <c r="A317" s="43"/>
      <c r="B317" s="276"/>
      <c r="C317" s="374"/>
      <c r="D317" s="374"/>
      <c r="E317" s="67"/>
      <c r="F317" s="68">
        <v>4122</v>
      </c>
      <c r="G317" s="45"/>
      <c r="H317" s="269"/>
      <c r="I317" s="390"/>
      <c r="J317" s="387"/>
      <c r="K317" s="391"/>
    </row>
    <row r="318" spans="1:11" x14ac:dyDescent="0.25">
      <c r="A318" s="43"/>
      <c r="B318" s="276"/>
      <c r="C318" s="374"/>
      <c r="D318" s="374"/>
      <c r="E318" s="67"/>
      <c r="F318" s="68">
        <v>4122</v>
      </c>
      <c r="G318" s="45"/>
      <c r="H318" s="269"/>
      <c r="I318" s="390"/>
      <c r="J318" s="387"/>
      <c r="K318" s="391"/>
    </row>
    <row r="319" spans="1:11" x14ac:dyDescent="0.25">
      <c r="A319" s="43"/>
      <c r="B319" s="276"/>
      <c r="C319" s="374"/>
      <c r="D319" s="374"/>
      <c r="E319" s="67"/>
      <c r="F319" s="68">
        <v>4122</v>
      </c>
      <c r="G319" s="45"/>
      <c r="H319" s="269"/>
      <c r="I319" s="390"/>
      <c r="J319" s="387"/>
      <c r="K319" s="391"/>
    </row>
    <row r="320" spans="1:11" x14ac:dyDescent="0.25">
      <c r="A320" s="43"/>
      <c r="B320" s="276"/>
      <c r="C320" s="374"/>
      <c r="D320" s="374"/>
      <c r="E320" s="67"/>
      <c r="F320" s="68">
        <v>4122</v>
      </c>
      <c r="G320" s="45"/>
      <c r="H320" s="269"/>
      <c r="I320" s="390"/>
      <c r="J320" s="387"/>
      <c r="K320" s="391"/>
    </row>
    <row r="321" spans="1:11" x14ac:dyDescent="0.25">
      <c r="A321" s="43"/>
      <c r="B321" s="276"/>
      <c r="C321" s="374"/>
      <c r="D321" s="374"/>
      <c r="E321" s="67"/>
      <c r="F321" s="68">
        <v>4122</v>
      </c>
      <c r="G321" s="45"/>
      <c r="I321" s="390"/>
      <c r="J321" s="387"/>
      <c r="K321" s="391"/>
    </row>
    <row r="322" spans="1:11" x14ac:dyDescent="0.25">
      <c r="A322" s="43"/>
      <c r="B322" s="276"/>
      <c r="C322" s="374"/>
      <c r="D322" s="374"/>
      <c r="E322" s="67"/>
      <c r="F322" s="68">
        <v>4122</v>
      </c>
      <c r="G322" s="45"/>
      <c r="I322" s="390"/>
      <c r="J322" s="387"/>
      <c r="K322" s="391"/>
    </row>
    <row r="323" spans="1:11" x14ac:dyDescent="0.25">
      <c r="A323" s="43"/>
      <c r="B323" s="276"/>
      <c r="C323" s="374"/>
      <c r="D323" s="374"/>
      <c r="E323" s="67"/>
      <c r="F323" s="68">
        <v>4122</v>
      </c>
      <c r="G323" s="45"/>
      <c r="I323" s="390"/>
      <c r="J323" s="387"/>
      <c r="K323" s="391"/>
    </row>
    <row r="324" spans="1:11" x14ac:dyDescent="0.25">
      <c r="A324" s="43"/>
      <c r="B324" s="276"/>
      <c r="C324" s="374"/>
      <c r="D324" s="374"/>
      <c r="E324" s="67"/>
      <c r="F324" s="277"/>
      <c r="G324" s="45"/>
      <c r="I324" s="390"/>
      <c r="J324" s="387"/>
      <c r="K324" s="391"/>
    </row>
    <row r="325" spans="1:11" x14ac:dyDescent="0.25">
      <c r="A325" s="43"/>
      <c r="B325" s="31" t="s">
        <v>50</v>
      </c>
      <c r="C325" s="27">
        <f>SUM(C326:C330)</f>
        <v>1808.6522100000002</v>
      </c>
      <c r="D325" s="27">
        <f>+SUM(D326:D330)</f>
        <v>1808652.21</v>
      </c>
      <c r="E325" s="67"/>
      <c r="F325" s="277"/>
      <c r="G325" s="45"/>
      <c r="I325" s="390"/>
      <c r="J325" s="387"/>
      <c r="K325" s="391"/>
    </row>
    <row r="326" spans="1:11" x14ac:dyDescent="0.25">
      <c r="A326" s="272">
        <v>42101</v>
      </c>
      <c r="B326" s="276" t="s">
        <v>138</v>
      </c>
      <c r="C326" s="53">
        <v>131.06369000000001</v>
      </c>
      <c r="D326" s="55">
        <v>131063.69</v>
      </c>
      <c r="E326" s="268">
        <v>86005</v>
      </c>
      <c r="F326" s="68">
        <v>4123</v>
      </c>
      <c r="G326" s="45"/>
      <c r="I326" s="390"/>
      <c r="J326" s="387"/>
      <c r="K326" s="391"/>
    </row>
    <row r="327" spans="1:11" x14ac:dyDescent="0.25">
      <c r="A327" s="287">
        <v>42131</v>
      </c>
      <c r="B327" s="276" t="s">
        <v>180</v>
      </c>
      <c r="C327" s="53">
        <v>853.73328000000004</v>
      </c>
      <c r="D327" s="55">
        <v>853733.28</v>
      </c>
      <c r="E327" s="290">
        <v>86005</v>
      </c>
      <c r="F327" s="68">
        <v>4123</v>
      </c>
      <c r="G327" s="45"/>
      <c r="I327" s="390"/>
      <c r="J327" s="387"/>
      <c r="K327" s="391"/>
    </row>
    <row r="328" spans="1:11" x14ac:dyDescent="0.25">
      <c r="A328" s="287">
        <v>42178</v>
      </c>
      <c r="B328" s="276" t="s">
        <v>245</v>
      </c>
      <c r="C328" s="53">
        <v>823.85523999999998</v>
      </c>
      <c r="D328" s="55">
        <v>823855.24</v>
      </c>
      <c r="E328" s="290">
        <v>86005</v>
      </c>
      <c r="F328" s="68">
        <v>4123</v>
      </c>
      <c r="G328" s="45"/>
      <c r="I328" s="390"/>
      <c r="J328" s="387"/>
      <c r="K328" s="391"/>
    </row>
    <row r="329" spans="1:11" x14ac:dyDescent="0.25">
      <c r="A329" s="287"/>
      <c r="B329" s="276"/>
      <c r="C329" s="373"/>
      <c r="D329" s="374"/>
      <c r="E329" s="290"/>
      <c r="F329" s="68">
        <v>4123</v>
      </c>
      <c r="G329" s="45"/>
      <c r="I329" s="390"/>
      <c r="J329" s="387"/>
      <c r="K329" s="391"/>
    </row>
    <row r="330" spans="1:11" x14ac:dyDescent="0.25">
      <c r="A330" s="43"/>
      <c r="B330" s="291"/>
      <c r="C330" s="375"/>
      <c r="D330" s="375"/>
      <c r="E330" s="67"/>
      <c r="F330" s="68"/>
      <c r="G330" s="45"/>
      <c r="I330" s="390"/>
      <c r="J330" s="387"/>
      <c r="K330" s="391"/>
    </row>
    <row r="331" spans="1:11" x14ac:dyDescent="0.25">
      <c r="A331" s="43"/>
      <c r="B331" s="292" t="s">
        <v>51</v>
      </c>
      <c r="C331" s="31">
        <f>+C332</f>
        <v>0</v>
      </c>
      <c r="D331" s="31">
        <f>+D332</f>
        <v>0</v>
      </c>
      <c r="E331" s="67"/>
      <c r="F331" s="277"/>
      <c r="G331" s="45"/>
      <c r="I331" s="390"/>
      <c r="J331" s="387"/>
      <c r="K331" s="391"/>
    </row>
    <row r="332" spans="1:11" x14ac:dyDescent="0.25">
      <c r="A332" s="43"/>
      <c r="B332" s="44"/>
      <c r="C332" s="47"/>
      <c r="D332" s="47"/>
      <c r="E332" s="67"/>
      <c r="F332" s="68">
        <v>4151</v>
      </c>
      <c r="G332" s="45"/>
      <c r="I332" s="390"/>
      <c r="J332" s="387"/>
      <c r="K332" s="391"/>
    </row>
    <row r="333" spans="1:11" x14ac:dyDescent="0.25">
      <c r="A333" s="43"/>
      <c r="B333" s="44"/>
      <c r="C333" s="47"/>
      <c r="D333" s="47"/>
      <c r="E333" s="67"/>
      <c r="F333" s="68"/>
      <c r="G333" s="45"/>
      <c r="I333" s="390"/>
      <c r="J333" s="387"/>
      <c r="K333" s="391"/>
    </row>
    <row r="334" spans="1:11" x14ac:dyDescent="0.25">
      <c r="A334" s="43"/>
      <c r="B334" s="293" t="s">
        <v>52</v>
      </c>
      <c r="C334" s="31">
        <f>+SUM(C335:C338)</f>
        <v>582</v>
      </c>
      <c r="D334" s="31">
        <f>+SUM(D335:D338)</f>
        <v>2376443.1100000003</v>
      </c>
      <c r="E334" s="67"/>
      <c r="F334" s="68"/>
      <c r="G334" s="45"/>
      <c r="I334" s="390"/>
      <c r="J334" s="387"/>
      <c r="K334" s="391"/>
    </row>
    <row r="335" spans="1:11" x14ac:dyDescent="0.25">
      <c r="A335" s="43">
        <v>42075</v>
      </c>
      <c r="B335" s="276" t="s">
        <v>124</v>
      </c>
      <c r="C335" s="53">
        <v>582</v>
      </c>
      <c r="D335" s="55">
        <v>581714.24</v>
      </c>
      <c r="E335" s="67"/>
      <c r="F335" s="68">
        <v>4152</v>
      </c>
      <c r="G335" s="45"/>
      <c r="I335" s="390"/>
      <c r="J335" s="387"/>
      <c r="K335" s="391"/>
    </row>
    <row r="336" spans="1:11" x14ac:dyDescent="0.25">
      <c r="A336" s="43">
        <v>42174</v>
      </c>
      <c r="B336" s="276" t="s">
        <v>244</v>
      </c>
      <c r="C336" s="53">
        <v>0</v>
      </c>
      <c r="D336" s="55">
        <v>1794728.87</v>
      </c>
      <c r="E336" s="67"/>
      <c r="F336" s="68">
        <v>4152</v>
      </c>
      <c r="G336" s="45"/>
      <c r="I336" s="390"/>
      <c r="J336" s="387"/>
      <c r="K336" s="391"/>
    </row>
    <row r="337" spans="1:11" x14ac:dyDescent="0.25">
      <c r="A337" s="43"/>
      <c r="B337" s="276"/>
      <c r="C337" s="53"/>
      <c r="D337" s="55"/>
      <c r="E337" s="67"/>
      <c r="F337" s="68">
        <v>4152</v>
      </c>
      <c r="G337" s="45"/>
      <c r="I337" s="390"/>
      <c r="J337" s="387"/>
      <c r="K337" s="391"/>
    </row>
    <row r="338" spans="1:11" x14ac:dyDescent="0.25">
      <c r="A338" s="43"/>
      <c r="B338" s="276"/>
      <c r="C338" s="53"/>
      <c r="D338" s="55"/>
      <c r="E338" s="67"/>
      <c r="F338" s="68">
        <v>4152</v>
      </c>
      <c r="G338" s="45"/>
      <c r="I338" s="390"/>
      <c r="J338" s="387"/>
      <c r="K338" s="391"/>
    </row>
    <row r="339" spans="1:11" x14ac:dyDescent="0.25">
      <c r="A339" s="43"/>
      <c r="B339" s="276"/>
      <c r="C339" s="47"/>
      <c r="D339" s="55"/>
      <c r="E339" s="67"/>
      <c r="F339" s="68"/>
      <c r="G339" s="45"/>
      <c r="I339" s="390"/>
      <c r="J339" s="387"/>
      <c r="K339" s="391"/>
    </row>
    <row r="340" spans="1:11" x14ac:dyDescent="0.25">
      <c r="A340" s="43"/>
      <c r="B340" s="294" t="s">
        <v>53</v>
      </c>
      <c r="C340" s="27">
        <f>+C334+C331+C325+C218+C215+C200+C192+C175+C158+C155+C147+C142+C103+C66+C61+C36+C32+C18+C12+C7</f>
        <v>222781.87840999998</v>
      </c>
      <c r="D340" s="27">
        <f>+D334+D331+D325+D218+D215+D200+D192+D175+D158+D155+D147+D142+D103+D66+D61+D36+D32+D18+D12+D7</f>
        <v>237745492.32000002</v>
      </c>
      <c r="E340" s="295"/>
      <c r="F340" s="268"/>
      <c r="G340" s="45"/>
      <c r="I340" s="390"/>
      <c r="J340" s="387"/>
      <c r="K340" s="391"/>
    </row>
    <row r="341" spans="1:11" ht="16.5" thickBot="1" x14ac:dyDescent="0.3">
      <c r="A341" s="296"/>
      <c r="B341" s="297"/>
      <c r="C341" s="75"/>
      <c r="D341" s="75"/>
      <c r="E341" s="298"/>
      <c r="F341" s="299"/>
      <c r="G341" s="45"/>
      <c r="I341" s="390"/>
      <c r="J341" s="387"/>
      <c r="K341" s="391"/>
    </row>
    <row r="342" spans="1:11" x14ac:dyDescent="0.25">
      <c r="A342" s="300"/>
      <c r="B342" s="79"/>
      <c r="C342" s="377"/>
      <c r="D342" s="377"/>
      <c r="E342" s="301"/>
      <c r="F342" s="301"/>
      <c r="G342" s="45"/>
      <c r="I342" s="390"/>
      <c r="J342" s="387"/>
      <c r="K342" s="391"/>
    </row>
    <row r="343" spans="1:11" ht="16.5" thickBot="1" x14ac:dyDescent="0.3">
      <c r="A343" s="300"/>
      <c r="B343" s="79"/>
      <c r="C343" s="377"/>
      <c r="D343" s="377"/>
      <c r="E343" s="301"/>
      <c r="F343" s="301"/>
      <c r="G343" s="45"/>
      <c r="I343" s="390"/>
      <c r="J343" s="387"/>
      <c r="K343" s="391"/>
    </row>
    <row r="344" spans="1:11" x14ac:dyDescent="0.25">
      <c r="A344" s="690" t="s">
        <v>141</v>
      </c>
      <c r="B344" s="5"/>
      <c r="C344" s="378"/>
      <c r="D344" s="378"/>
      <c r="E344" s="302"/>
      <c r="F344" s="302"/>
      <c r="G344" s="45"/>
      <c r="I344" s="390"/>
      <c r="J344" s="387"/>
      <c r="K344" s="391"/>
    </row>
    <row r="345" spans="1:11" ht="16.5" thickBot="1" x14ac:dyDescent="0.3">
      <c r="A345" s="691"/>
      <c r="B345" s="10" t="s">
        <v>54</v>
      </c>
      <c r="C345" s="10" t="s">
        <v>3</v>
      </c>
      <c r="D345" s="10" t="s">
        <v>4</v>
      </c>
      <c r="E345" s="303" t="s">
        <v>5</v>
      </c>
      <c r="F345" s="303" t="s">
        <v>6</v>
      </c>
      <c r="G345" s="45"/>
      <c r="I345" s="390"/>
      <c r="J345" s="387"/>
      <c r="K345" s="391"/>
    </row>
    <row r="346" spans="1:11" x14ac:dyDescent="0.25">
      <c r="A346" s="43"/>
      <c r="B346" s="273" t="s">
        <v>14</v>
      </c>
      <c r="C346" s="40">
        <f>+SUM(C347:C377)</f>
        <v>314.97379000000006</v>
      </c>
      <c r="D346" s="40">
        <f>+SUM(D347:D377)</f>
        <v>1089124.77</v>
      </c>
      <c r="E346" s="68"/>
      <c r="F346" s="68"/>
      <c r="G346" s="45"/>
      <c r="I346" s="390"/>
      <c r="J346" s="387"/>
      <c r="K346" s="391"/>
    </row>
    <row r="347" spans="1:11" x14ac:dyDescent="0.25">
      <c r="A347" s="43">
        <v>42069</v>
      </c>
      <c r="B347" s="44" t="s">
        <v>114</v>
      </c>
      <c r="C347" s="52">
        <v>141.55572000000001</v>
      </c>
      <c r="D347" s="20">
        <v>141555.72</v>
      </c>
      <c r="E347" s="68">
        <v>90877</v>
      </c>
      <c r="F347" s="68">
        <v>4213</v>
      </c>
      <c r="G347" s="45"/>
      <c r="I347" s="390"/>
      <c r="J347" s="387"/>
      <c r="K347" s="391"/>
    </row>
    <row r="348" spans="1:11" x14ac:dyDescent="0.25">
      <c r="A348" s="43">
        <v>42114</v>
      </c>
      <c r="B348" s="44" t="s">
        <v>156</v>
      </c>
      <c r="C348" s="52">
        <v>47.117789999999999</v>
      </c>
      <c r="D348" s="20">
        <v>47117.79</v>
      </c>
      <c r="E348" s="68">
        <v>90877</v>
      </c>
      <c r="F348" s="68">
        <v>4213</v>
      </c>
      <c r="G348" s="45"/>
      <c r="I348" s="390"/>
      <c r="J348" s="387"/>
      <c r="K348" s="391"/>
    </row>
    <row r="349" spans="1:11" x14ac:dyDescent="0.25">
      <c r="A349" s="43">
        <v>42142</v>
      </c>
      <c r="B349" s="44" t="s">
        <v>169</v>
      </c>
      <c r="C349" s="52">
        <v>21.145890000000001</v>
      </c>
      <c r="D349" s="20">
        <v>21145.89</v>
      </c>
      <c r="E349" s="68">
        <v>90877</v>
      </c>
      <c r="F349" s="68">
        <v>4213</v>
      </c>
      <c r="G349" s="45"/>
      <c r="I349" s="390"/>
      <c r="J349" s="387"/>
      <c r="K349" s="391"/>
    </row>
    <row r="350" spans="1:11" x14ac:dyDescent="0.25">
      <c r="A350" s="43">
        <v>42150</v>
      </c>
      <c r="B350" s="44" t="s">
        <v>218</v>
      </c>
      <c r="C350" s="52">
        <v>32.193080000000002</v>
      </c>
      <c r="D350" s="20">
        <v>32193.08</v>
      </c>
      <c r="E350" s="68">
        <v>90877</v>
      </c>
      <c r="F350" s="68">
        <v>4213</v>
      </c>
      <c r="G350" s="45"/>
      <c r="I350" s="390"/>
      <c r="J350" s="387"/>
      <c r="K350" s="391"/>
    </row>
    <row r="351" spans="1:11" x14ac:dyDescent="0.25">
      <c r="A351" s="43">
        <v>42150</v>
      </c>
      <c r="B351" s="44" t="s">
        <v>219</v>
      </c>
      <c r="C351" s="52">
        <v>21.296060000000001</v>
      </c>
      <c r="D351" s="20">
        <v>21296.06</v>
      </c>
      <c r="E351" s="68">
        <v>90877</v>
      </c>
      <c r="F351" s="68">
        <v>4213</v>
      </c>
      <c r="G351" s="45"/>
      <c r="I351" s="390"/>
      <c r="J351" s="387"/>
      <c r="K351" s="391"/>
    </row>
    <row r="352" spans="1:11" x14ac:dyDescent="0.25">
      <c r="A352" s="43">
        <v>42167</v>
      </c>
      <c r="B352" s="44" t="s">
        <v>232</v>
      </c>
      <c r="C352" s="52">
        <v>28.64677</v>
      </c>
      <c r="D352" s="20">
        <v>28646.77</v>
      </c>
      <c r="E352" s="68">
        <v>90877</v>
      </c>
      <c r="F352" s="68">
        <v>4213</v>
      </c>
      <c r="G352" s="45"/>
      <c r="I352" s="390"/>
      <c r="J352" s="387"/>
      <c r="K352" s="391"/>
    </row>
    <row r="353" spans="1:11" x14ac:dyDescent="0.25">
      <c r="A353" s="43">
        <v>42199</v>
      </c>
      <c r="B353" s="44" t="s">
        <v>280</v>
      </c>
      <c r="C353" s="52">
        <v>0</v>
      </c>
      <c r="D353" s="20">
        <v>120050.96</v>
      </c>
      <c r="E353" s="68">
        <v>90877</v>
      </c>
      <c r="F353" s="68">
        <v>4213</v>
      </c>
      <c r="G353" s="45"/>
      <c r="I353" s="390"/>
      <c r="J353" s="387"/>
      <c r="K353" s="391"/>
    </row>
    <row r="354" spans="1:11" x14ac:dyDescent="0.25">
      <c r="A354" s="43">
        <v>42195</v>
      </c>
      <c r="B354" s="44" t="s">
        <v>294</v>
      </c>
      <c r="C354" s="52">
        <v>0</v>
      </c>
      <c r="D354" s="20">
        <v>20106.37</v>
      </c>
      <c r="E354" s="68">
        <v>90877</v>
      </c>
      <c r="F354" s="68">
        <v>4213</v>
      </c>
      <c r="G354" s="45"/>
      <c r="I354" s="390"/>
      <c r="J354" s="387"/>
      <c r="K354" s="391"/>
    </row>
    <row r="355" spans="1:11" x14ac:dyDescent="0.25">
      <c r="A355" s="43">
        <v>42205</v>
      </c>
      <c r="B355" s="44" t="s">
        <v>303</v>
      </c>
      <c r="C355" s="52">
        <v>0</v>
      </c>
      <c r="D355" s="20">
        <v>19518.5</v>
      </c>
      <c r="E355" s="68">
        <v>90877</v>
      </c>
      <c r="F355" s="68">
        <v>4213</v>
      </c>
      <c r="G355" s="45"/>
      <c r="I355" s="390"/>
      <c r="J355" s="387"/>
      <c r="K355" s="391"/>
    </row>
    <row r="356" spans="1:11" x14ac:dyDescent="0.25">
      <c r="A356" s="43">
        <v>42209</v>
      </c>
      <c r="B356" s="44" t="s">
        <v>330</v>
      </c>
      <c r="C356" s="52">
        <v>0</v>
      </c>
      <c r="D356" s="20">
        <v>20354.62</v>
      </c>
      <c r="E356" s="68">
        <v>90877</v>
      </c>
      <c r="F356" s="68">
        <v>4213</v>
      </c>
      <c r="G356" s="45"/>
      <c r="I356" s="390"/>
      <c r="J356" s="387"/>
      <c r="K356" s="391"/>
    </row>
    <row r="357" spans="1:11" x14ac:dyDescent="0.25">
      <c r="A357" s="357"/>
      <c r="B357" s="44" t="s">
        <v>343</v>
      </c>
      <c r="C357" s="53">
        <v>0</v>
      </c>
      <c r="D357" s="21">
        <v>0</v>
      </c>
      <c r="E357" s="68">
        <v>90877</v>
      </c>
      <c r="F357" s="68">
        <v>4213</v>
      </c>
      <c r="G357" s="45"/>
      <c r="I357" s="390"/>
      <c r="J357" s="387"/>
      <c r="K357" s="391"/>
    </row>
    <row r="358" spans="1:11" x14ac:dyDescent="0.25">
      <c r="A358" s="43"/>
      <c r="B358" s="44"/>
      <c r="C358" s="373"/>
      <c r="D358" s="115"/>
      <c r="E358" s="68"/>
      <c r="F358" s="68">
        <v>4213</v>
      </c>
      <c r="G358" s="45"/>
      <c r="I358" s="390"/>
      <c r="J358" s="387"/>
      <c r="K358" s="391"/>
    </row>
    <row r="359" spans="1:11" x14ac:dyDescent="0.25">
      <c r="A359" s="43"/>
      <c r="B359" s="44"/>
      <c r="C359" s="373"/>
      <c r="D359" s="115"/>
      <c r="E359" s="68"/>
      <c r="F359" s="68">
        <v>4213</v>
      </c>
      <c r="G359" s="45"/>
      <c r="I359" s="390"/>
      <c r="J359" s="387"/>
      <c r="K359" s="391"/>
    </row>
    <row r="360" spans="1:11" x14ac:dyDescent="0.25">
      <c r="A360" s="43"/>
      <c r="B360" s="44"/>
      <c r="C360" s="373"/>
      <c r="D360" s="115"/>
      <c r="E360" s="68"/>
      <c r="F360" s="68">
        <v>4213</v>
      </c>
      <c r="G360" s="45"/>
      <c r="I360" s="390"/>
      <c r="J360" s="387"/>
      <c r="K360" s="391"/>
    </row>
    <row r="361" spans="1:11" x14ac:dyDescent="0.25">
      <c r="A361" s="43"/>
      <c r="B361" s="44"/>
      <c r="C361" s="373"/>
      <c r="D361" s="115"/>
      <c r="E361" s="68"/>
      <c r="F361" s="68">
        <v>4213</v>
      </c>
      <c r="G361" s="45"/>
      <c r="I361" s="390"/>
      <c r="J361" s="387"/>
      <c r="K361" s="391"/>
    </row>
    <row r="362" spans="1:11" x14ac:dyDescent="0.25">
      <c r="A362" s="43"/>
      <c r="B362" s="44"/>
      <c r="C362" s="373"/>
      <c r="D362" s="115"/>
      <c r="E362" s="68"/>
      <c r="F362" s="68">
        <v>4213</v>
      </c>
      <c r="G362" s="45"/>
      <c r="I362" s="390"/>
      <c r="J362" s="387"/>
      <c r="K362" s="391"/>
    </row>
    <row r="363" spans="1:11" x14ac:dyDescent="0.25">
      <c r="A363" s="43"/>
      <c r="B363" s="44"/>
      <c r="C363" s="373"/>
      <c r="D363" s="115"/>
      <c r="E363" s="68"/>
      <c r="F363" s="68">
        <v>4213</v>
      </c>
      <c r="G363" s="45"/>
      <c r="I363" s="390"/>
      <c r="J363" s="387"/>
      <c r="K363" s="391"/>
    </row>
    <row r="364" spans="1:11" x14ac:dyDescent="0.25">
      <c r="A364" s="43"/>
      <c r="B364" s="44"/>
      <c r="C364" s="373"/>
      <c r="D364" s="115"/>
      <c r="E364" s="68"/>
      <c r="F364" s="68">
        <v>4213</v>
      </c>
      <c r="G364" s="45"/>
      <c r="I364" s="390"/>
      <c r="J364" s="387"/>
      <c r="K364" s="391"/>
    </row>
    <row r="365" spans="1:11" x14ac:dyDescent="0.25">
      <c r="A365" s="43"/>
      <c r="B365" s="44"/>
      <c r="C365" s="115"/>
      <c r="D365" s="115"/>
      <c r="E365" s="68"/>
      <c r="F365" s="68">
        <v>4213</v>
      </c>
      <c r="G365" s="45"/>
      <c r="I365" s="390"/>
      <c r="J365" s="387"/>
      <c r="K365" s="391"/>
    </row>
    <row r="366" spans="1:11" x14ac:dyDescent="0.25">
      <c r="A366" s="43"/>
      <c r="B366" s="276"/>
      <c r="C366" s="115"/>
      <c r="D366" s="115"/>
      <c r="E366" s="68"/>
      <c r="F366" s="68">
        <v>4213</v>
      </c>
      <c r="G366" s="45"/>
      <c r="I366" s="390"/>
      <c r="J366" s="387"/>
      <c r="K366" s="391"/>
    </row>
    <row r="367" spans="1:11" x14ac:dyDescent="0.25">
      <c r="A367" s="43"/>
      <c r="B367" s="44"/>
      <c r="C367" s="115"/>
      <c r="D367" s="115"/>
      <c r="E367" s="68"/>
      <c r="F367" s="68">
        <v>4213</v>
      </c>
      <c r="G367" s="45"/>
      <c r="I367" s="390"/>
      <c r="J367" s="387"/>
      <c r="K367" s="391"/>
    </row>
    <row r="368" spans="1:11" x14ac:dyDescent="0.25">
      <c r="A368" s="43"/>
      <c r="B368" s="44"/>
      <c r="C368" s="115"/>
      <c r="D368" s="115"/>
      <c r="E368" s="68"/>
      <c r="F368" s="68">
        <v>4213</v>
      </c>
      <c r="G368" s="45"/>
      <c r="I368" s="390"/>
      <c r="J368" s="387"/>
      <c r="K368" s="391"/>
    </row>
    <row r="369" spans="1:11" x14ac:dyDescent="0.25">
      <c r="A369" s="43"/>
      <c r="B369" s="44"/>
      <c r="C369" s="115"/>
      <c r="D369" s="115"/>
      <c r="E369" s="68"/>
      <c r="F369" s="68">
        <v>4213</v>
      </c>
      <c r="G369" s="45"/>
      <c r="I369" s="390"/>
      <c r="J369" s="387"/>
      <c r="K369" s="391"/>
    </row>
    <row r="370" spans="1:11" x14ac:dyDescent="0.25">
      <c r="A370" s="43"/>
      <c r="B370" s="44"/>
      <c r="C370" s="115"/>
      <c r="D370" s="115"/>
      <c r="E370" s="68"/>
      <c r="F370" s="68">
        <v>4213</v>
      </c>
      <c r="G370" s="45"/>
      <c r="I370" s="390"/>
      <c r="J370" s="387"/>
      <c r="K370" s="391"/>
    </row>
    <row r="371" spans="1:11" x14ac:dyDescent="0.25">
      <c r="A371" s="43"/>
      <c r="B371" s="44"/>
      <c r="C371" s="115"/>
      <c r="D371" s="115"/>
      <c r="E371" s="68"/>
      <c r="F371" s="68">
        <v>4213</v>
      </c>
      <c r="G371" s="45"/>
      <c r="I371" s="390"/>
      <c r="J371" s="389">
        <v>975</v>
      </c>
      <c r="K371" s="391"/>
    </row>
    <row r="372" spans="1:11" x14ac:dyDescent="0.25">
      <c r="A372" s="43"/>
      <c r="B372" s="44" t="s">
        <v>121</v>
      </c>
      <c r="C372" s="347">
        <v>19.5185</v>
      </c>
      <c r="D372" s="348">
        <v>975</v>
      </c>
      <c r="E372" s="68">
        <v>90877</v>
      </c>
      <c r="F372" s="68">
        <v>4213</v>
      </c>
      <c r="G372" s="347">
        <v>392.03399999999999</v>
      </c>
      <c r="I372" s="390"/>
      <c r="J372" s="389">
        <v>1423.02</v>
      </c>
      <c r="K372" s="391"/>
    </row>
    <row r="373" spans="1:11" x14ac:dyDescent="0.25">
      <c r="A373" s="43"/>
      <c r="B373" s="44" t="s">
        <v>301</v>
      </c>
      <c r="C373" s="347">
        <v>0</v>
      </c>
      <c r="D373" s="348">
        <v>1423.02</v>
      </c>
      <c r="E373" s="68">
        <v>90877</v>
      </c>
      <c r="F373" s="68">
        <v>4213</v>
      </c>
      <c r="G373" s="347">
        <v>217.08201</v>
      </c>
      <c r="I373" s="404">
        <v>392034</v>
      </c>
      <c r="J373" s="387"/>
      <c r="K373" s="391"/>
    </row>
    <row r="374" spans="1:11" x14ac:dyDescent="0.25">
      <c r="A374" s="43"/>
      <c r="B374" s="44" t="s">
        <v>110</v>
      </c>
      <c r="C374" s="347"/>
      <c r="D374" s="348">
        <v>392034</v>
      </c>
      <c r="E374" s="68">
        <v>90909</v>
      </c>
      <c r="F374" s="68">
        <v>4213</v>
      </c>
      <c r="G374" s="347">
        <v>2.125</v>
      </c>
      <c r="I374" s="390"/>
      <c r="J374" s="389">
        <v>217082.01</v>
      </c>
      <c r="K374" s="391"/>
    </row>
    <row r="375" spans="1:11" x14ac:dyDescent="0.25">
      <c r="A375" s="43"/>
      <c r="B375" s="44" t="s">
        <v>283</v>
      </c>
      <c r="C375" s="347"/>
      <c r="D375" s="348">
        <v>217082.01</v>
      </c>
      <c r="E375" s="68">
        <v>90877</v>
      </c>
      <c r="F375" s="68">
        <v>4213</v>
      </c>
      <c r="G375" s="45"/>
      <c r="I375" s="390"/>
      <c r="J375" s="389">
        <v>2125</v>
      </c>
      <c r="K375" s="391"/>
    </row>
    <row r="376" spans="1:11" x14ac:dyDescent="0.25">
      <c r="A376" s="43"/>
      <c r="B376" s="44" t="s">
        <v>228</v>
      </c>
      <c r="C376" s="347"/>
      <c r="D376" s="348">
        <v>2125</v>
      </c>
      <c r="E376" s="68">
        <v>90877</v>
      </c>
      <c r="F376" s="68">
        <v>4213</v>
      </c>
      <c r="G376" s="45"/>
      <c r="I376" s="390"/>
      <c r="J376" s="389">
        <v>3499.98</v>
      </c>
      <c r="K376" s="391"/>
    </row>
    <row r="377" spans="1:11" x14ac:dyDescent="0.25">
      <c r="A377" s="43"/>
      <c r="B377" s="44" t="s">
        <v>230</v>
      </c>
      <c r="C377" s="347">
        <v>3.4999799999999999</v>
      </c>
      <c r="D377" s="347">
        <v>3499.98</v>
      </c>
      <c r="E377" s="68">
        <v>90877</v>
      </c>
      <c r="F377" s="68">
        <v>4213</v>
      </c>
      <c r="G377" s="45"/>
      <c r="I377" s="390"/>
      <c r="J377" s="387"/>
      <c r="K377" s="391"/>
    </row>
    <row r="378" spans="1:11" x14ac:dyDescent="0.25">
      <c r="A378" s="43"/>
      <c r="B378" s="44"/>
      <c r="C378" s="115"/>
      <c r="D378" s="115"/>
      <c r="E378" s="68"/>
      <c r="F378" s="68"/>
      <c r="G378" s="45"/>
      <c r="I378" s="390"/>
      <c r="J378" s="387"/>
      <c r="K378" s="391"/>
    </row>
    <row r="379" spans="1:11" x14ac:dyDescent="0.25">
      <c r="A379" s="43"/>
      <c r="B379" s="285" t="s">
        <v>33</v>
      </c>
      <c r="C379" s="40">
        <v>0</v>
      </c>
      <c r="D379" s="40">
        <f>+D380</f>
        <v>0</v>
      </c>
      <c r="E379" s="68"/>
      <c r="F379" s="68"/>
      <c r="G379" s="45"/>
      <c r="I379" s="390"/>
      <c r="J379" s="387"/>
      <c r="K379" s="391"/>
    </row>
    <row r="380" spans="1:11" x14ac:dyDescent="0.25">
      <c r="A380" s="357"/>
      <c r="B380" s="44" t="s">
        <v>322</v>
      </c>
      <c r="C380" s="21">
        <v>0</v>
      </c>
      <c r="D380" s="21">
        <v>0</v>
      </c>
      <c r="E380" s="68">
        <v>34941</v>
      </c>
      <c r="F380" s="68">
        <v>4216</v>
      </c>
      <c r="G380" s="45"/>
      <c r="I380" s="390"/>
      <c r="J380" s="387"/>
      <c r="K380" s="391"/>
    </row>
    <row r="381" spans="1:11" x14ac:dyDescent="0.25">
      <c r="A381" s="43"/>
      <c r="B381" s="44"/>
      <c r="C381" s="115"/>
      <c r="D381" s="372"/>
      <c r="E381" s="68"/>
      <c r="F381" s="68"/>
      <c r="G381" s="45"/>
      <c r="I381" s="390"/>
      <c r="J381" s="387"/>
      <c r="K381" s="391"/>
    </row>
    <row r="382" spans="1:11" x14ac:dyDescent="0.25">
      <c r="A382" s="43"/>
      <c r="B382" s="273" t="s">
        <v>45</v>
      </c>
      <c r="C382" s="39">
        <f>+SUM(C383:C432)</f>
        <v>6385.0019599999996</v>
      </c>
      <c r="D382" s="39">
        <f>+SUM(D383:D432)</f>
        <v>9444096.8500000015</v>
      </c>
      <c r="E382" s="68"/>
      <c r="F382" s="68"/>
      <c r="G382" s="45"/>
      <c r="I382" s="390"/>
      <c r="J382" s="387"/>
      <c r="K382" s="391"/>
    </row>
    <row r="383" spans="1:11" x14ac:dyDescent="0.25">
      <c r="A383" s="43">
        <v>42114</v>
      </c>
      <c r="B383" s="44" t="s">
        <v>156</v>
      </c>
      <c r="C383" s="52">
        <v>801.00243</v>
      </c>
      <c r="D383" s="20">
        <v>801002.43</v>
      </c>
      <c r="E383" s="68">
        <v>15827</v>
      </c>
      <c r="F383" s="68">
        <v>4216</v>
      </c>
      <c r="G383" s="45"/>
      <c r="I383" s="390"/>
      <c r="J383" s="387"/>
      <c r="K383" s="391"/>
    </row>
    <row r="384" spans="1:11" x14ac:dyDescent="0.25">
      <c r="A384" s="43">
        <v>42139</v>
      </c>
      <c r="B384" s="44" t="s">
        <v>169</v>
      </c>
      <c r="C384" s="52">
        <v>359.48018999999999</v>
      </c>
      <c r="D384" s="20">
        <v>359480.19</v>
      </c>
      <c r="E384" s="68">
        <v>15835</v>
      </c>
      <c r="F384" s="68">
        <v>4216</v>
      </c>
      <c r="G384" s="45"/>
      <c r="I384" s="390"/>
      <c r="J384" s="387"/>
      <c r="K384" s="391"/>
    </row>
    <row r="385" spans="1:11" x14ac:dyDescent="0.25">
      <c r="A385" s="43">
        <v>42150</v>
      </c>
      <c r="B385" s="44" t="s">
        <v>218</v>
      </c>
      <c r="C385" s="52">
        <v>547.28240000000005</v>
      </c>
      <c r="D385" s="20">
        <v>547282.4</v>
      </c>
      <c r="E385" s="68">
        <v>15835</v>
      </c>
      <c r="F385" s="68">
        <v>4216</v>
      </c>
      <c r="G385" s="45"/>
      <c r="I385" s="390"/>
      <c r="J385" s="387"/>
      <c r="K385" s="391"/>
    </row>
    <row r="386" spans="1:11" x14ac:dyDescent="0.25">
      <c r="A386" s="43">
        <v>42150</v>
      </c>
      <c r="B386" s="44" t="s">
        <v>219</v>
      </c>
      <c r="C386" s="52">
        <v>362.03313000000003</v>
      </c>
      <c r="D386" s="20">
        <v>362033.13</v>
      </c>
      <c r="E386" s="68">
        <v>15835</v>
      </c>
      <c r="F386" s="68">
        <v>4216</v>
      </c>
      <c r="G386" s="45"/>
      <c r="I386" s="390"/>
      <c r="J386" s="387"/>
      <c r="K386" s="391"/>
    </row>
    <row r="387" spans="1:11" x14ac:dyDescent="0.25">
      <c r="A387" s="43">
        <v>42167</v>
      </c>
      <c r="B387" s="44" t="s">
        <v>232</v>
      </c>
      <c r="C387" s="52">
        <v>486.99520000000001</v>
      </c>
      <c r="D387" s="20">
        <v>486995.20000000001</v>
      </c>
      <c r="E387" s="68">
        <v>15835</v>
      </c>
      <c r="F387" s="68">
        <v>4216</v>
      </c>
      <c r="G387" s="45"/>
      <c r="I387" s="390"/>
      <c r="J387" s="387"/>
      <c r="K387" s="391"/>
    </row>
    <row r="388" spans="1:11" x14ac:dyDescent="0.25">
      <c r="A388" s="43">
        <v>42198</v>
      </c>
      <c r="B388" s="44" t="s">
        <v>280</v>
      </c>
      <c r="C388" s="52">
        <v>0</v>
      </c>
      <c r="D388" s="20">
        <v>2040866.39</v>
      </c>
      <c r="E388" s="68">
        <v>15835</v>
      </c>
      <c r="F388" s="68">
        <v>4216</v>
      </c>
      <c r="G388" s="45"/>
      <c r="I388" s="390"/>
      <c r="J388" s="387"/>
      <c r="K388" s="391"/>
    </row>
    <row r="389" spans="1:11" x14ac:dyDescent="0.25">
      <c r="A389" s="43">
        <v>42194</v>
      </c>
      <c r="B389" s="44" t="s">
        <v>294</v>
      </c>
      <c r="C389" s="52">
        <v>1.42302</v>
      </c>
      <c r="D389" s="20">
        <v>341808.32</v>
      </c>
      <c r="E389" s="68">
        <v>15835</v>
      </c>
      <c r="F389" s="68">
        <v>4216</v>
      </c>
      <c r="G389" s="45"/>
      <c r="I389" s="390"/>
      <c r="J389" s="387"/>
      <c r="K389" s="391"/>
    </row>
    <row r="390" spans="1:11" x14ac:dyDescent="0.25">
      <c r="A390" s="43">
        <v>42205</v>
      </c>
      <c r="B390" s="44" t="s">
        <v>303</v>
      </c>
      <c r="C390" s="52">
        <v>0</v>
      </c>
      <c r="D390" s="20">
        <v>331814.53000000003</v>
      </c>
      <c r="E390" s="68">
        <v>15835</v>
      </c>
      <c r="F390" s="68">
        <v>4216</v>
      </c>
      <c r="G390" s="45"/>
      <c r="I390" s="390"/>
      <c r="J390" s="387"/>
      <c r="K390" s="391"/>
    </row>
    <row r="391" spans="1:11" x14ac:dyDescent="0.25">
      <c r="A391" s="43">
        <v>42209</v>
      </c>
      <c r="B391" s="44" t="s">
        <v>329</v>
      </c>
      <c r="C391" s="373">
        <v>0</v>
      </c>
      <c r="D391" s="115">
        <v>346028.67</v>
      </c>
      <c r="E391" s="68">
        <v>15835</v>
      </c>
      <c r="F391" s="68">
        <v>4216</v>
      </c>
      <c r="G391" s="45"/>
      <c r="H391" s="160"/>
      <c r="I391" s="390"/>
      <c r="J391" s="387"/>
      <c r="K391" s="391"/>
    </row>
    <row r="392" spans="1:11" x14ac:dyDescent="0.25">
      <c r="A392" s="357"/>
      <c r="B392" s="44" t="s">
        <v>343</v>
      </c>
      <c r="C392" s="52">
        <v>0</v>
      </c>
      <c r="D392" s="20">
        <v>0</v>
      </c>
      <c r="E392" s="68">
        <v>15835</v>
      </c>
      <c r="F392" s="68">
        <v>4216</v>
      </c>
      <c r="G392" s="115"/>
      <c r="H392" s="160"/>
      <c r="I392" s="390"/>
      <c r="J392" s="387"/>
      <c r="K392" s="391"/>
    </row>
    <row r="393" spans="1:11" x14ac:dyDescent="0.25">
      <c r="A393" s="43"/>
      <c r="B393" s="44"/>
      <c r="C393" s="373"/>
      <c r="D393" s="115"/>
      <c r="E393" s="68"/>
      <c r="F393" s="68">
        <v>4216</v>
      </c>
      <c r="G393" s="45"/>
      <c r="H393" s="160"/>
      <c r="I393" s="390"/>
      <c r="J393" s="387"/>
      <c r="K393" s="391"/>
    </row>
    <row r="394" spans="1:11" x14ac:dyDescent="0.25">
      <c r="A394" s="43"/>
      <c r="B394" s="44"/>
      <c r="C394" s="373"/>
      <c r="D394" s="115"/>
      <c r="E394" s="68"/>
      <c r="F394" s="68">
        <v>4216</v>
      </c>
      <c r="G394" s="45"/>
      <c r="H394" s="160"/>
      <c r="I394" s="390"/>
      <c r="J394" s="387"/>
      <c r="K394" s="391"/>
    </row>
    <row r="395" spans="1:11" x14ac:dyDescent="0.25">
      <c r="A395" s="43"/>
      <c r="B395" s="44"/>
      <c r="C395" s="373"/>
      <c r="D395" s="115"/>
      <c r="E395" s="68"/>
      <c r="F395" s="68">
        <v>4216</v>
      </c>
      <c r="G395" s="45"/>
      <c r="H395" s="160"/>
      <c r="I395" s="390"/>
      <c r="J395" s="387"/>
      <c r="K395" s="391"/>
    </row>
    <row r="396" spans="1:11" x14ac:dyDescent="0.25">
      <c r="A396" s="43"/>
      <c r="B396" s="44"/>
      <c r="C396" s="373"/>
      <c r="D396" s="115"/>
      <c r="E396" s="68"/>
      <c r="F396" s="68">
        <v>4216</v>
      </c>
      <c r="G396" s="45"/>
      <c r="H396" s="160"/>
      <c r="I396" s="390"/>
      <c r="J396" s="387"/>
      <c r="K396" s="391"/>
    </row>
    <row r="397" spans="1:11" x14ac:dyDescent="0.25">
      <c r="A397" s="43"/>
      <c r="B397" s="44"/>
      <c r="C397" s="373"/>
      <c r="D397" s="115"/>
      <c r="E397" s="68"/>
      <c r="F397" s="68">
        <v>4216</v>
      </c>
      <c r="G397" s="45"/>
      <c r="I397" s="390"/>
      <c r="J397" s="387"/>
      <c r="K397" s="391"/>
    </row>
    <row r="398" spans="1:11" x14ac:dyDescent="0.25">
      <c r="A398" s="43"/>
      <c r="B398" s="44"/>
      <c r="C398" s="373"/>
      <c r="D398" s="115"/>
      <c r="E398" s="68"/>
      <c r="F398" s="68">
        <v>4216</v>
      </c>
      <c r="G398" s="45"/>
      <c r="I398" s="390"/>
      <c r="J398" s="387"/>
      <c r="K398" s="391"/>
    </row>
    <row r="399" spans="1:11" x14ac:dyDescent="0.25">
      <c r="A399" s="43"/>
      <c r="B399" s="44"/>
      <c r="C399" s="373"/>
      <c r="D399" s="115"/>
      <c r="E399" s="68"/>
      <c r="F399" s="68">
        <v>4216</v>
      </c>
      <c r="G399" s="45"/>
      <c r="I399" s="390"/>
      <c r="J399" s="387"/>
      <c r="K399" s="391"/>
    </row>
    <row r="400" spans="1:11" x14ac:dyDescent="0.25">
      <c r="A400" s="43"/>
      <c r="B400" s="44"/>
      <c r="C400" s="373"/>
      <c r="D400" s="115"/>
      <c r="E400" s="68"/>
      <c r="F400" s="68">
        <v>4216</v>
      </c>
      <c r="G400" s="45"/>
      <c r="I400" s="390"/>
      <c r="J400" s="387"/>
      <c r="K400" s="391"/>
    </row>
    <row r="401" spans="1:11" x14ac:dyDescent="0.25">
      <c r="A401" s="43"/>
      <c r="B401" s="44"/>
      <c r="C401" s="373"/>
      <c r="D401" s="115"/>
      <c r="E401" s="68"/>
      <c r="F401" s="68">
        <v>4216</v>
      </c>
      <c r="G401" s="45"/>
      <c r="I401" s="390"/>
      <c r="J401" s="387"/>
      <c r="K401" s="391"/>
    </row>
    <row r="402" spans="1:11" x14ac:dyDescent="0.25">
      <c r="A402" s="43"/>
      <c r="B402" s="44"/>
      <c r="C402" s="373"/>
      <c r="D402" s="115"/>
      <c r="E402" s="68"/>
      <c r="F402" s="68">
        <v>4216</v>
      </c>
      <c r="G402" s="45"/>
      <c r="I402" s="390"/>
      <c r="J402" s="387"/>
      <c r="K402" s="391"/>
    </row>
    <row r="403" spans="1:11" x14ac:dyDescent="0.25">
      <c r="A403" s="43"/>
      <c r="B403" s="44"/>
      <c r="C403" s="373"/>
      <c r="D403" s="115"/>
      <c r="E403" s="68"/>
      <c r="F403" s="68">
        <v>4216</v>
      </c>
      <c r="G403" s="45"/>
      <c r="I403" s="390"/>
      <c r="J403" s="387"/>
      <c r="K403" s="391"/>
    </row>
    <row r="404" spans="1:11" x14ac:dyDescent="0.25">
      <c r="A404" s="43"/>
      <c r="B404" s="44" t="s">
        <v>121</v>
      </c>
      <c r="C404" s="174">
        <v>16.574999999999999</v>
      </c>
      <c r="D404" s="174">
        <v>16575</v>
      </c>
      <c r="E404" s="68">
        <v>15835</v>
      </c>
      <c r="F404" s="68">
        <v>4216</v>
      </c>
      <c r="G404" s="45"/>
      <c r="I404" s="390"/>
      <c r="J404" s="402">
        <v>16575</v>
      </c>
      <c r="K404" s="391"/>
    </row>
    <row r="405" spans="1:11" x14ac:dyDescent="0.25">
      <c r="A405" s="43"/>
      <c r="B405" s="44" t="s">
        <v>301</v>
      </c>
      <c r="C405" s="174">
        <v>0</v>
      </c>
      <c r="D405" s="174">
        <v>24191.34</v>
      </c>
      <c r="E405" s="68">
        <v>15835</v>
      </c>
      <c r="F405" s="68">
        <v>4216</v>
      </c>
      <c r="G405" s="45"/>
      <c r="I405" s="390"/>
      <c r="J405" s="402">
        <v>24191.34</v>
      </c>
      <c r="K405" s="391"/>
    </row>
    <row r="406" spans="1:11" x14ac:dyDescent="0.25">
      <c r="A406" s="43"/>
      <c r="B406" s="44" t="s">
        <v>284</v>
      </c>
      <c r="C406" s="174">
        <v>3690.3942699999998</v>
      </c>
      <c r="D406" s="174">
        <v>3690394.27</v>
      </c>
      <c r="E406" s="68">
        <v>15835</v>
      </c>
      <c r="F406" s="68">
        <v>4216</v>
      </c>
      <c r="G406" s="45"/>
      <c r="I406" s="390"/>
      <c r="J406" s="402">
        <v>3690394.27</v>
      </c>
      <c r="K406" s="391"/>
    </row>
    <row r="407" spans="1:11" x14ac:dyDescent="0.25">
      <c r="A407" s="43"/>
      <c r="B407" s="44" t="s">
        <v>228</v>
      </c>
      <c r="C407" s="174">
        <v>36.125</v>
      </c>
      <c r="D407" s="174">
        <v>36125</v>
      </c>
      <c r="E407" s="68">
        <v>15835</v>
      </c>
      <c r="F407" s="68">
        <v>4216</v>
      </c>
      <c r="G407" s="45"/>
      <c r="I407" s="390"/>
      <c r="J407" s="402">
        <v>36125</v>
      </c>
      <c r="K407" s="391"/>
    </row>
    <row r="408" spans="1:11" x14ac:dyDescent="0.25">
      <c r="A408" s="43"/>
      <c r="B408" s="44" t="s">
        <v>230</v>
      </c>
      <c r="C408" s="174">
        <v>59.499980000000001</v>
      </c>
      <c r="D408" s="179">
        <v>59499.98</v>
      </c>
      <c r="E408" s="68">
        <v>15835</v>
      </c>
      <c r="F408" s="68">
        <v>4216</v>
      </c>
      <c r="G408" s="45"/>
      <c r="I408" s="390"/>
      <c r="J408" s="402">
        <v>59499.98</v>
      </c>
      <c r="K408" s="391"/>
    </row>
    <row r="409" spans="1:11" x14ac:dyDescent="0.25">
      <c r="A409" s="43"/>
      <c r="B409" s="44"/>
      <c r="C409" s="115"/>
      <c r="D409" s="116"/>
      <c r="E409" s="68"/>
      <c r="F409" s="68">
        <v>4216</v>
      </c>
      <c r="G409" s="45"/>
      <c r="I409" s="390"/>
      <c r="J409" s="387"/>
      <c r="K409" s="391"/>
    </row>
    <row r="410" spans="1:11" x14ac:dyDescent="0.25">
      <c r="A410" s="43"/>
      <c r="B410" s="44"/>
      <c r="C410" s="115"/>
      <c r="D410" s="116"/>
      <c r="E410" s="68"/>
      <c r="F410" s="68">
        <v>4216</v>
      </c>
      <c r="G410" s="45"/>
      <c r="I410" s="390"/>
      <c r="J410" s="387"/>
      <c r="K410" s="391"/>
    </row>
    <row r="411" spans="1:11" x14ac:dyDescent="0.25">
      <c r="A411" s="43"/>
      <c r="B411" s="44"/>
      <c r="C411" s="115"/>
      <c r="D411" s="116"/>
      <c r="E411" s="68"/>
      <c r="F411" s="68">
        <v>4216</v>
      </c>
      <c r="G411" s="115"/>
      <c r="I411" s="390"/>
      <c r="J411" s="387"/>
      <c r="K411" s="391"/>
    </row>
    <row r="412" spans="1:11" x14ac:dyDescent="0.25">
      <c r="A412" s="43"/>
      <c r="B412" s="276"/>
      <c r="C412" s="115"/>
      <c r="D412" s="116"/>
      <c r="E412" s="68"/>
      <c r="F412" s="68">
        <v>4216</v>
      </c>
      <c r="G412" s="115"/>
      <c r="I412" s="390"/>
      <c r="J412" s="387"/>
      <c r="K412" s="391"/>
    </row>
    <row r="413" spans="1:11" x14ac:dyDescent="0.25">
      <c r="A413" s="43"/>
      <c r="B413" s="276"/>
      <c r="C413" s="373"/>
      <c r="D413" s="116"/>
      <c r="E413" s="68"/>
      <c r="F413" s="68">
        <v>4216</v>
      </c>
      <c r="G413" s="373"/>
      <c r="I413" s="390"/>
      <c r="J413" s="387"/>
      <c r="K413" s="391"/>
    </row>
    <row r="414" spans="1:11" x14ac:dyDescent="0.25">
      <c r="A414" s="43"/>
      <c r="B414" s="276"/>
      <c r="C414" s="373"/>
      <c r="D414" s="116"/>
      <c r="E414" s="68"/>
      <c r="F414" s="68">
        <v>4216</v>
      </c>
      <c r="G414" s="45"/>
      <c r="I414" s="390"/>
      <c r="J414" s="387"/>
      <c r="K414" s="391"/>
    </row>
    <row r="415" spans="1:11" x14ac:dyDescent="0.25">
      <c r="A415" s="43"/>
      <c r="B415" s="276"/>
      <c r="C415" s="373"/>
      <c r="D415" s="115"/>
      <c r="E415" s="68"/>
      <c r="F415" s="68">
        <v>4216</v>
      </c>
      <c r="G415" s="45"/>
      <c r="I415" s="390"/>
      <c r="J415" s="387"/>
      <c r="K415" s="391"/>
    </row>
    <row r="416" spans="1:11" x14ac:dyDescent="0.25">
      <c r="A416" s="43"/>
      <c r="B416" s="276"/>
      <c r="C416" s="373"/>
      <c r="D416" s="115"/>
      <c r="E416" s="68"/>
      <c r="F416" s="68">
        <v>4216</v>
      </c>
      <c r="G416" s="45"/>
      <c r="I416" s="390"/>
      <c r="J416" s="387"/>
      <c r="K416" s="391"/>
    </row>
    <row r="417" spans="1:11" x14ac:dyDescent="0.25">
      <c r="A417" s="43"/>
      <c r="B417" s="276"/>
      <c r="C417" s="373"/>
      <c r="D417" s="115"/>
      <c r="E417" s="68"/>
      <c r="F417" s="68">
        <v>4216</v>
      </c>
      <c r="G417" s="45"/>
      <c r="I417" s="390"/>
      <c r="J417" s="387"/>
      <c r="K417" s="391"/>
    </row>
    <row r="418" spans="1:11" x14ac:dyDescent="0.25">
      <c r="A418" s="43"/>
      <c r="B418" s="276"/>
      <c r="C418" s="373"/>
      <c r="D418" s="115"/>
      <c r="E418" s="68"/>
      <c r="F418" s="68">
        <v>4216</v>
      </c>
      <c r="G418" s="45"/>
      <c r="I418" s="390"/>
      <c r="J418" s="387"/>
      <c r="K418" s="391"/>
    </row>
    <row r="419" spans="1:11" x14ac:dyDescent="0.25">
      <c r="A419" s="43"/>
      <c r="B419" s="276"/>
      <c r="C419" s="373"/>
      <c r="D419" s="115"/>
      <c r="E419" s="68"/>
      <c r="F419" s="68">
        <v>4216</v>
      </c>
      <c r="G419" s="45"/>
      <c r="I419" s="390"/>
      <c r="J419" s="387"/>
      <c r="K419" s="391"/>
    </row>
    <row r="420" spans="1:11" x14ac:dyDescent="0.25">
      <c r="A420" s="43"/>
      <c r="B420" s="276"/>
      <c r="C420" s="373"/>
      <c r="D420" s="115"/>
      <c r="E420" s="68"/>
      <c r="F420" s="68">
        <v>4216</v>
      </c>
      <c r="G420" s="45"/>
      <c r="I420" s="390"/>
      <c r="J420" s="387"/>
      <c r="K420" s="391"/>
    </row>
    <row r="421" spans="1:11" x14ac:dyDescent="0.25">
      <c r="A421" s="43"/>
      <c r="B421" s="276"/>
      <c r="C421" s="373"/>
      <c r="D421" s="115"/>
      <c r="E421" s="68"/>
      <c r="F421" s="68">
        <v>4216</v>
      </c>
      <c r="G421" s="45"/>
      <c r="I421" s="390"/>
      <c r="J421" s="387"/>
      <c r="K421" s="391"/>
    </row>
    <row r="422" spans="1:11" x14ac:dyDescent="0.25">
      <c r="A422" s="43"/>
      <c r="B422" s="276"/>
      <c r="C422" s="373"/>
      <c r="D422" s="115"/>
      <c r="E422" s="68"/>
      <c r="F422" s="68">
        <v>4216</v>
      </c>
      <c r="G422" s="45"/>
      <c r="I422" s="390"/>
      <c r="J422" s="387"/>
      <c r="K422" s="391"/>
    </row>
    <row r="423" spans="1:11" x14ac:dyDescent="0.25">
      <c r="A423" s="43"/>
      <c r="B423" s="276"/>
      <c r="C423" s="373">
        <v>24.19134</v>
      </c>
      <c r="D423" s="115"/>
      <c r="E423" s="68"/>
      <c r="F423" s="68">
        <v>4216</v>
      </c>
      <c r="G423" s="45"/>
      <c r="I423" s="390"/>
      <c r="J423" s="387"/>
      <c r="K423" s="391"/>
    </row>
    <row r="424" spans="1:11" x14ac:dyDescent="0.25">
      <c r="A424" s="43"/>
      <c r="B424" s="276"/>
      <c r="C424" s="373"/>
      <c r="D424" s="115"/>
      <c r="E424" s="68"/>
      <c r="F424" s="68">
        <v>4216</v>
      </c>
      <c r="G424" s="45"/>
      <c r="I424" s="390"/>
      <c r="J424" s="387"/>
      <c r="K424" s="391"/>
    </row>
    <row r="425" spans="1:11" x14ac:dyDescent="0.25">
      <c r="A425" s="43"/>
      <c r="B425" s="276"/>
      <c r="C425" s="373"/>
      <c r="D425" s="115"/>
      <c r="E425" s="68"/>
      <c r="F425" s="68">
        <v>4216</v>
      </c>
      <c r="G425" s="45"/>
      <c r="I425" s="390"/>
      <c r="J425" s="387"/>
      <c r="K425" s="391"/>
    </row>
    <row r="426" spans="1:11" x14ac:dyDescent="0.25">
      <c r="A426" s="43"/>
      <c r="B426" s="276"/>
      <c r="C426" s="373"/>
      <c r="D426" s="115"/>
      <c r="E426" s="68"/>
      <c r="F426" s="68">
        <v>4216</v>
      </c>
      <c r="G426" s="45"/>
      <c r="I426" s="390"/>
      <c r="J426" s="387"/>
      <c r="K426" s="391"/>
    </row>
    <row r="427" spans="1:11" x14ac:dyDescent="0.25">
      <c r="A427" s="43"/>
      <c r="B427" s="276"/>
      <c r="C427" s="373"/>
      <c r="D427" s="115"/>
      <c r="E427" s="68"/>
      <c r="F427" s="68">
        <v>4216</v>
      </c>
      <c r="G427" s="45"/>
      <c r="I427" s="390"/>
      <c r="J427" s="387"/>
      <c r="K427" s="391"/>
    </row>
    <row r="428" spans="1:11" x14ac:dyDescent="0.25">
      <c r="A428" s="43"/>
      <c r="B428" s="276"/>
      <c r="C428" s="373"/>
      <c r="D428" s="115"/>
      <c r="E428" s="68"/>
      <c r="F428" s="68">
        <v>4216</v>
      </c>
      <c r="G428" s="45"/>
      <c r="I428" s="390"/>
      <c r="J428" s="387"/>
      <c r="K428" s="391"/>
    </row>
    <row r="429" spans="1:11" x14ac:dyDescent="0.25">
      <c r="A429" s="43"/>
      <c r="B429" s="276"/>
      <c r="C429" s="373"/>
      <c r="D429" s="115"/>
      <c r="E429" s="68"/>
      <c r="F429" s="68">
        <v>4216</v>
      </c>
      <c r="G429" s="45"/>
      <c r="I429" s="390"/>
      <c r="J429" s="387"/>
      <c r="K429" s="391"/>
    </row>
    <row r="430" spans="1:11" x14ac:dyDescent="0.25">
      <c r="A430" s="43"/>
      <c r="B430" s="276"/>
      <c r="C430" s="373"/>
      <c r="D430" s="115"/>
      <c r="E430" s="68"/>
      <c r="F430" s="68">
        <v>4216</v>
      </c>
      <c r="G430" s="45"/>
      <c r="I430" s="390"/>
      <c r="J430" s="387"/>
      <c r="K430" s="391"/>
    </row>
    <row r="431" spans="1:11" x14ac:dyDescent="0.25">
      <c r="A431" s="43"/>
      <c r="B431" s="276"/>
      <c r="C431" s="373"/>
      <c r="D431" s="115"/>
      <c r="E431" s="68"/>
      <c r="F431" s="68">
        <v>4216</v>
      </c>
      <c r="G431" s="45"/>
      <c r="I431" s="390"/>
      <c r="J431" s="387"/>
      <c r="K431" s="391"/>
    </row>
    <row r="432" spans="1:11" x14ac:dyDescent="0.25">
      <c r="A432" s="43"/>
      <c r="B432" s="276"/>
      <c r="C432" s="115"/>
      <c r="D432" s="115"/>
      <c r="E432" s="68"/>
      <c r="F432" s="68">
        <v>4216</v>
      </c>
      <c r="G432" s="45"/>
      <c r="I432" s="390"/>
      <c r="J432" s="387"/>
      <c r="K432" s="391"/>
    </row>
    <row r="433" spans="1:11" x14ac:dyDescent="0.25">
      <c r="A433" s="43"/>
      <c r="B433" s="31" t="s">
        <v>36</v>
      </c>
      <c r="C433" s="40">
        <f>+C434+C435</f>
        <v>0</v>
      </c>
      <c r="D433" s="40">
        <f>+D434+D435</f>
        <v>0</v>
      </c>
      <c r="E433" s="68"/>
      <c r="F433" s="68"/>
      <c r="G433" s="45"/>
      <c r="I433" s="390"/>
      <c r="J433" s="387"/>
      <c r="K433" s="391"/>
    </row>
    <row r="434" spans="1:11" x14ac:dyDescent="0.25">
      <c r="A434" s="43"/>
      <c r="B434" s="276"/>
      <c r="C434" s="21"/>
      <c r="D434" s="21"/>
      <c r="E434" s="68"/>
      <c r="F434" s="68">
        <v>4216</v>
      </c>
      <c r="G434" s="45"/>
      <c r="I434" s="390"/>
      <c r="J434" s="387"/>
      <c r="K434" s="391"/>
    </row>
    <row r="435" spans="1:11" x14ac:dyDescent="0.25">
      <c r="A435" s="43"/>
      <c r="B435" s="276"/>
      <c r="C435" s="115"/>
      <c r="D435" s="115"/>
      <c r="E435" s="68"/>
      <c r="F435" s="68">
        <v>4216</v>
      </c>
      <c r="G435" s="45"/>
      <c r="I435" s="390"/>
      <c r="J435" s="387"/>
      <c r="K435" s="391"/>
    </row>
    <row r="436" spans="1:11" x14ac:dyDescent="0.25">
      <c r="A436" s="43"/>
      <c r="B436" s="285" t="s">
        <v>91</v>
      </c>
      <c r="C436" s="39">
        <f>+C438+C437+C439</f>
        <v>27949.130580000001</v>
      </c>
      <c r="D436" s="40">
        <f>+D438+D437+D439</f>
        <v>27949130.579999998</v>
      </c>
      <c r="E436" s="68"/>
      <c r="F436" s="68"/>
      <c r="G436" s="45"/>
      <c r="I436" s="390"/>
      <c r="J436" s="387"/>
      <c r="K436" s="391"/>
    </row>
    <row r="437" spans="1:11" x14ac:dyDescent="0.25">
      <c r="A437" s="43">
        <v>42034</v>
      </c>
      <c r="B437" s="276" t="s">
        <v>103</v>
      </c>
      <c r="C437" s="20">
        <v>4395.5924400000004</v>
      </c>
      <c r="D437" s="20">
        <v>4395592.4400000004</v>
      </c>
      <c r="E437" s="68">
        <v>17871</v>
      </c>
      <c r="F437" s="68">
        <v>4216</v>
      </c>
      <c r="G437" s="45"/>
      <c r="I437" s="390"/>
      <c r="J437" s="387"/>
      <c r="K437" s="391"/>
    </row>
    <row r="438" spans="1:11" x14ac:dyDescent="0.25">
      <c r="A438" s="43">
        <v>42034</v>
      </c>
      <c r="B438" s="276" t="s">
        <v>103</v>
      </c>
      <c r="C438" s="20">
        <v>775.69277999999997</v>
      </c>
      <c r="D438" s="20">
        <v>775692.78</v>
      </c>
      <c r="E438" s="68">
        <v>17870</v>
      </c>
      <c r="F438" s="68">
        <v>4216</v>
      </c>
      <c r="G438" s="45"/>
      <c r="I438" s="390"/>
      <c r="J438" s="387"/>
      <c r="K438" s="391"/>
    </row>
    <row r="439" spans="1:11" x14ac:dyDescent="0.25">
      <c r="A439" s="43">
        <v>42151</v>
      </c>
      <c r="B439" s="276" t="s">
        <v>220</v>
      </c>
      <c r="C439" s="20">
        <v>22777.845359999999</v>
      </c>
      <c r="D439" s="20">
        <v>22777845.359999999</v>
      </c>
      <c r="E439" s="68">
        <v>17871</v>
      </c>
      <c r="F439" s="68">
        <v>4216</v>
      </c>
      <c r="G439" s="45"/>
      <c r="I439" s="390"/>
      <c r="J439" s="387"/>
      <c r="K439" s="391"/>
    </row>
    <row r="440" spans="1:11" x14ac:dyDescent="0.25">
      <c r="A440" s="43"/>
      <c r="B440" s="276"/>
      <c r="C440" s="115"/>
      <c r="D440" s="115"/>
      <c r="E440" s="68"/>
      <c r="F440" s="68"/>
      <c r="G440" s="45"/>
      <c r="I440" s="390"/>
      <c r="J440" s="387"/>
      <c r="K440" s="391"/>
    </row>
    <row r="441" spans="1:11" x14ac:dyDescent="0.25">
      <c r="A441" s="43"/>
      <c r="B441" s="31" t="s">
        <v>149</v>
      </c>
      <c r="C441" s="39">
        <f>+C442</f>
        <v>450</v>
      </c>
      <c r="D441" s="39">
        <f>+D442</f>
        <v>450000</v>
      </c>
      <c r="E441" s="68"/>
      <c r="F441" s="68"/>
      <c r="G441" s="45"/>
      <c r="I441" s="390"/>
      <c r="J441" s="387"/>
      <c r="K441" s="391"/>
    </row>
    <row r="442" spans="1:11" x14ac:dyDescent="0.25">
      <c r="A442" s="43">
        <v>42121</v>
      </c>
      <c r="B442" s="276" t="s">
        <v>155</v>
      </c>
      <c r="C442" s="20">
        <v>450</v>
      </c>
      <c r="D442" s="20">
        <v>450000</v>
      </c>
      <c r="E442" s="68">
        <v>35621</v>
      </c>
      <c r="F442" s="68">
        <v>4216</v>
      </c>
      <c r="G442" s="45"/>
      <c r="I442" s="390"/>
      <c r="J442" s="387"/>
      <c r="K442" s="391"/>
    </row>
    <row r="443" spans="1:11" x14ac:dyDescent="0.25">
      <c r="A443" s="43"/>
      <c r="B443" s="273"/>
      <c r="C443" s="372"/>
      <c r="D443" s="372"/>
      <c r="E443" s="68"/>
      <c r="F443" s="68"/>
      <c r="G443" s="45"/>
      <c r="I443" s="390"/>
      <c r="J443" s="387"/>
      <c r="K443" s="391"/>
    </row>
    <row r="444" spans="1:11" x14ac:dyDescent="0.25">
      <c r="A444" s="43"/>
      <c r="B444" s="273" t="s">
        <v>48</v>
      </c>
      <c r="C444" s="39">
        <f>SUM(C445:C459)</f>
        <v>0</v>
      </c>
      <c r="D444" s="39">
        <f>SUM(D445:D459)</f>
        <v>2720000</v>
      </c>
      <c r="E444" s="68"/>
      <c r="F444" s="68"/>
      <c r="G444" s="45"/>
      <c r="I444" s="390"/>
      <c r="J444" s="387"/>
      <c r="K444" s="391"/>
    </row>
    <row r="445" spans="1:11" x14ac:dyDescent="0.25">
      <c r="A445" s="43"/>
      <c r="B445" s="44"/>
      <c r="C445" s="373"/>
      <c r="D445" s="374"/>
      <c r="E445" s="268"/>
      <c r="F445" s="68">
        <v>4222</v>
      </c>
      <c r="G445" s="45"/>
      <c r="H445" s="269"/>
      <c r="I445" s="390"/>
      <c r="J445" s="387"/>
      <c r="K445" s="391"/>
    </row>
    <row r="446" spans="1:11" x14ac:dyDescent="0.25">
      <c r="A446" s="43"/>
      <c r="B446" s="44"/>
      <c r="C446" s="373"/>
      <c r="D446" s="374"/>
      <c r="E446" s="268"/>
      <c r="F446" s="68">
        <v>4222</v>
      </c>
      <c r="G446" s="45"/>
      <c r="H446" s="269"/>
      <c r="I446" s="390"/>
      <c r="J446" s="387"/>
      <c r="K446" s="391"/>
    </row>
    <row r="447" spans="1:11" x14ac:dyDescent="0.25">
      <c r="A447" s="43"/>
      <c r="B447" s="44"/>
      <c r="C447" s="115"/>
      <c r="D447" s="374"/>
      <c r="E447" s="68"/>
      <c r="F447" s="68">
        <v>4222</v>
      </c>
      <c r="G447" s="45"/>
      <c r="I447" s="390"/>
      <c r="J447" s="387"/>
      <c r="K447" s="391"/>
    </row>
    <row r="448" spans="1:11" x14ac:dyDescent="0.25">
      <c r="A448" s="43"/>
      <c r="B448" s="44"/>
      <c r="C448" s="115"/>
      <c r="D448" s="374"/>
      <c r="E448" s="68"/>
      <c r="F448" s="68">
        <v>4222</v>
      </c>
      <c r="G448" s="45"/>
      <c r="I448" s="390"/>
      <c r="J448" s="387"/>
      <c r="K448" s="391"/>
    </row>
    <row r="449" spans="1:11" x14ac:dyDescent="0.25">
      <c r="A449" s="43"/>
      <c r="B449" s="44"/>
      <c r="C449" s="115"/>
      <c r="D449" s="374"/>
      <c r="E449" s="68"/>
      <c r="F449" s="68">
        <v>4222</v>
      </c>
      <c r="G449" s="45"/>
      <c r="I449" s="390"/>
      <c r="J449" s="387"/>
      <c r="K449" s="391"/>
    </row>
    <row r="450" spans="1:11" x14ac:dyDescent="0.25">
      <c r="A450" s="43"/>
      <c r="B450" s="44"/>
      <c r="C450" s="115"/>
      <c r="D450" s="374"/>
      <c r="E450" s="68"/>
      <c r="F450" s="68">
        <v>4222</v>
      </c>
      <c r="G450" s="45"/>
      <c r="I450" s="390"/>
      <c r="J450" s="387"/>
      <c r="K450" s="391"/>
    </row>
    <row r="451" spans="1:11" x14ac:dyDescent="0.25">
      <c r="A451" s="43"/>
      <c r="B451" s="44"/>
      <c r="C451" s="115"/>
      <c r="D451" s="374"/>
      <c r="E451" s="68"/>
      <c r="F451" s="68">
        <v>4222</v>
      </c>
      <c r="G451" s="45"/>
      <c r="I451" s="390"/>
      <c r="J451" s="387"/>
      <c r="K451" s="391"/>
    </row>
    <row r="452" spans="1:11" x14ac:dyDescent="0.25">
      <c r="A452" s="43"/>
      <c r="B452" s="44" t="s">
        <v>308</v>
      </c>
      <c r="C452" s="20">
        <v>0</v>
      </c>
      <c r="D452" s="350">
        <v>200000</v>
      </c>
      <c r="E452" s="68">
        <v>551</v>
      </c>
      <c r="F452" s="68">
        <v>4222</v>
      </c>
      <c r="G452" s="45"/>
      <c r="I452" s="390"/>
      <c r="J452" s="387"/>
      <c r="K452" s="395">
        <v>200000</v>
      </c>
    </row>
    <row r="453" spans="1:11" x14ac:dyDescent="0.25">
      <c r="A453" s="43"/>
      <c r="B453" s="44" t="s">
        <v>305</v>
      </c>
      <c r="C453" s="20">
        <v>0</v>
      </c>
      <c r="D453" s="350">
        <v>500000</v>
      </c>
      <c r="E453" s="68">
        <v>551</v>
      </c>
      <c r="F453" s="68">
        <v>4222</v>
      </c>
      <c r="G453" s="45"/>
      <c r="I453" s="390"/>
      <c r="J453" s="387"/>
      <c r="K453" s="395">
        <v>500000</v>
      </c>
    </row>
    <row r="454" spans="1:11" x14ac:dyDescent="0.25">
      <c r="A454" s="43"/>
      <c r="B454" s="44" t="s">
        <v>312</v>
      </c>
      <c r="C454" s="20">
        <v>0</v>
      </c>
      <c r="D454" s="350">
        <v>90000</v>
      </c>
      <c r="E454" s="68">
        <v>551</v>
      </c>
      <c r="F454" s="68">
        <v>4222</v>
      </c>
      <c r="G454" s="45"/>
      <c r="I454" s="390"/>
      <c r="J454" s="387"/>
      <c r="K454" s="395">
        <v>90000</v>
      </c>
    </row>
    <row r="455" spans="1:11" x14ac:dyDescent="0.25">
      <c r="A455" s="43"/>
      <c r="B455" s="44" t="s">
        <v>345</v>
      </c>
      <c r="C455" s="20">
        <v>0</v>
      </c>
      <c r="D455" s="350">
        <v>500000</v>
      </c>
      <c r="E455" s="68">
        <v>551</v>
      </c>
      <c r="F455" s="68">
        <v>4222</v>
      </c>
      <c r="G455" s="45"/>
      <c r="I455" s="390"/>
      <c r="J455" s="387"/>
      <c r="K455" s="395">
        <v>500000</v>
      </c>
    </row>
    <row r="456" spans="1:11" x14ac:dyDescent="0.25">
      <c r="A456" s="43"/>
      <c r="B456" s="44" t="s">
        <v>306</v>
      </c>
      <c r="C456" s="20">
        <v>0</v>
      </c>
      <c r="D456" s="350">
        <v>300000</v>
      </c>
      <c r="E456" s="68">
        <v>551</v>
      </c>
      <c r="F456" s="68">
        <v>4222</v>
      </c>
      <c r="G456" s="45"/>
      <c r="I456" s="390"/>
      <c r="J456" s="387"/>
      <c r="K456" s="395">
        <v>300000</v>
      </c>
    </row>
    <row r="457" spans="1:11" x14ac:dyDescent="0.25">
      <c r="A457" s="43"/>
      <c r="B457" s="44" t="s">
        <v>313</v>
      </c>
      <c r="C457" s="20">
        <v>0</v>
      </c>
      <c r="D457" s="350">
        <v>700000</v>
      </c>
      <c r="E457" s="68">
        <v>551</v>
      </c>
      <c r="F457" s="68">
        <v>4222</v>
      </c>
      <c r="G457" s="45"/>
      <c r="I457" s="390"/>
      <c r="J457" s="387"/>
      <c r="K457" s="395">
        <v>700000</v>
      </c>
    </row>
    <row r="458" spans="1:11" x14ac:dyDescent="0.25">
      <c r="A458" s="43"/>
      <c r="B458" s="44" t="s">
        <v>302</v>
      </c>
      <c r="C458" s="349">
        <v>0</v>
      </c>
      <c r="D458" s="197">
        <v>30000</v>
      </c>
      <c r="E458" s="68">
        <v>433</v>
      </c>
      <c r="F458" s="68">
        <v>4222</v>
      </c>
      <c r="G458" s="45"/>
      <c r="I458" s="390"/>
      <c r="J458" s="387">
        <v>30000</v>
      </c>
      <c r="K458" s="391"/>
    </row>
    <row r="459" spans="1:11" x14ac:dyDescent="0.25">
      <c r="A459" s="43"/>
      <c r="B459" s="44" t="s">
        <v>307</v>
      </c>
      <c r="C459" s="20">
        <v>0</v>
      </c>
      <c r="D459" s="350">
        <v>400000</v>
      </c>
      <c r="E459" s="68">
        <v>551</v>
      </c>
      <c r="F459" s="68">
        <v>4222</v>
      </c>
      <c r="G459" s="45"/>
      <c r="I459" s="390"/>
      <c r="J459" s="387"/>
      <c r="K459" s="395">
        <v>400000</v>
      </c>
    </row>
    <row r="460" spans="1:11" x14ac:dyDescent="0.25">
      <c r="A460" s="43"/>
      <c r="B460" s="304"/>
      <c r="C460" s="373"/>
      <c r="D460" s="374"/>
      <c r="E460" s="268"/>
      <c r="F460" s="68"/>
      <c r="G460" s="45"/>
      <c r="I460" s="390"/>
      <c r="J460" s="387"/>
      <c r="K460" s="391"/>
    </row>
    <row r="461" spans="1:11" x14ac:dyDescent="0.25">
      <c r="A461" s="43"/>
      <c r="B461" s="31" t="s">
        <v>50</v>
      </c>
      <c r="C461" s="31">
        <f>+SUM(C462:C472)</f>
        <v>87703.473750000005</v>
      </c>
      <c r="D461" s="31">
        <f>+SUM(D462:D472)</f>
        <v>87703473.75</v>
      </c>
      <c r="E461" s="68"/>
      <c r="F461" s="68"/>
      <c r="G461" s="45"/>
      <c r="I461" s="390"/>
      <c r="J461" s="387"/>
      <c r="K461" s="391"/>
    </row>
    <row r="462" spans="1:11" x14ac:dyDescent="0.25">
      <c r="A462" s="43">
        <v>42073</v>
      </c>
      <c r="B462" s="276" t="s">
        <v>112</v>
      </c>
      <c r="C462" s="21">
        <v>24568.326000000001</v>
      </c>
      <c r="D462" s="21">
        <v>24568326</v>
      </c>
      <c r="E462" s="68">
        <v>86505</v>
      </c>
      <c r="F462" s="68">
        <v>4223</v>
      </c>
      <c r="G462" s="45"/>
      <c r="I462" s="390"/>
      <c r="J462" s="387"/>
      <c r="K462" s="391"/>
    </row>
    <row r="463" spans="1:11" x14ac:dyDescent="0.25">
      <c r="A463" s="43">
        <v>42073</v>
      </c>
      <c r="B463" s="276" t="s">
        <v>112</v>
      </c>
      <c r="C463" s="21">
        <v>2167.7934799999998</v>
      </c>
      <c r="D463" s="21">
        <v>2167793.48</v>
      </c>
      <c r="E463" s="68">
        <v>86501</v>
      </c>
      <c r="F463" s="68">
        <v>4223</v>
      </c>
      <c r="G463" s="45"/>
      <c r="I463" s="390"/>
      <c r="J463" s="387"/>
      <c r="K463" s="391"/>
    </row>
    <row r="464" spans="1:11" x14ac:dyDescent="0.25">
      <c r="A464" s="43">
        <v>42087</v>
      </c>
      <c r="B464" s="44" t="s">
        <v>123</v>
      </c>
      <c r="C464" s="47">
        <v>17507.565600000002</v>
      </c>
      <c r="D464" s="47">
        <v>17507565.600000001</v>
      </c>
      <c r="E464" s="268">
        <v>86505</v>
      </c>
      <c r="F464" s="68">
        <v>4223</v>
      </c>
      <c r="G464" s="45"/>
      <c r="I464" s="390"/>
      <c r="J464" s="387"/>
      <c r="K464" s="391"/>
    </row>
    <row r="465" spans="1:12" x14ac:dyDescent="0.25">
      <c r="A465" s="43">
        <v>42101</v>
      </c>
      <c r="B465" s="44" t="s">
        <v>138</v>
      </c>
      <c r="C465" s="47">
        <v>3893.92481</v>
      </c>
      <c r="D465" s="47">
        <v>3893924.81</v>
      </c>
      <c r="E465" s="268">
        <v>86505</v>
      </c>
      <c r="F465" s="68">
        <v>4223</v>
      </c>
      <c r="G465" s="45"/>
      <c r="I465" s="390"/>
      <c r="J465" s="387"/>
      <c r="K465" s="391"/>
    </row>
    <row r="466" spans="1:12" x14ac:dyDescent="0.25">
      <c r="A466" s="43">
        <v>42122</v>
      </c>
      <c r="B466" s="44" t="s">
        <v>152</v>
      </c>
      <c r="C466" s="47">
        <v>4191.1944100000001</v>
      </c>
      <c r="D466" s="47">
        <v>4191194.41</v>
      </c>
      <c r="E466" s="268">
        <v>86505</v>
      </c>
      <c r="F466" s="68">
        <v>4223</v>
      </c>
      <c r="G466" s="45"/>
      <c r="I466" s="390"/>
      <c r="J466" s="387"/>
      <c r="K466" s="391"/>
    </row>
    <row r="467" spans="1:12" x14ac:dyDescent="0.25">
      <c r="A467" s="43">
        <v>42143</v>
      </c>
      <c r="B467" s="44" t="s">
        <v>171</v>
      </c>
      <c r="C467" s="47">
        <v>18985.09273</v>
      </c>
      <c r="D467" s="21">
        <v>18985092.73</v>
      </c>
      <c r="E467" s="268">
        <v>86505</v>
      </c>
      <c r="F467" s="68">
        <v>4223</v>
      </c>
      <c r="G467" s="45"/>
      <c r="I467" s="390"/>
      <c r="J467" s="387"/>
      <c r="K467" s="391"/>
    </row>
    <row r="468" spans="1:12" x14ac:dyDescent="0.25">
      <c r="A468" s="43">
        <v>42178</v>
      </c>
      <c r="B468" s="44" t="s">
        <v>246</v>
      </c>
      <c r="C468" s="47">
        <v>10777.64892</v>
      </c>
      <c r="D468" s="21">
        <v>10777648.92</v>
      </c>
      <c r="E468" s="268">
        <v>86505</v>
      </c>
      <c r="F468" s="68">
        <v>4223</v>
      </c>
      <c r="G468" s="45"/>
      <c r="I468" s="390"/>
      <c r="J468" s="387"/>
      <c r="K468" s="391"/>
    </row>
    <row r="469" spans="1:12" x14ac:dyDescent="0.25">
      <c r="A469" s="43"/>
      <c r="B469" s="44"/>
      <c r="C469" s="116"/>
      <c r="D469" s="115"/>
      <c r="E469" s="268"/>
      <c r="F469" s="68">
        <v>4223</v>
      </c>
      <c r="G469" s="45"/>
      <c r="I469" s="390"/>
      <c r="J469" s="387"/>
      <c r="K469" s="391"/>
    </row>
    <row r="470" spans="1:12" x14ac:dyDescent="0.25">
      <c r="A470" s="43"/>
      <c r="B470" s="44"/>
      <c r="C470" s="116"/>
      <c r="D470" s="115"/>
      <c r="E470" s="268"/>
      <c r="F470" s="68">
        <v>4223</v>
      </c>
      <c r="G470" s="45"/>
      <c r="I470" s="390"/>
      <c r="J470" s="387"/>
      <c r="K470" s="391"/>
    </row>
    <row r="471" spans="1:12" x14ac:dyDescent="0.25">
      <c r="A471" s="43"/>
      <c r="B471" s="44" t="s">
        <v>262</v>
      </c>
      <c r="C471" s="349">
        <v>5611.9278000000004</v>
      </c>
      <c r="D471" s="347">
        <v>5611927.7999999998</v>
      </c>
      <c r="E471" s="268">
        <v>86505</v>
      </c>
      <c r="F471" s="68">
        <v>4223</v>
      </c>
      <c r="G471" s="384" t="s">
        <v>351</v>
      </c>
      <c r="I471" s="404">
        <v>5611927.7999999998</v>
      </c>
      <c r="J471" s="387"/>
      <c r="K471" s="391"/>
    </row>
    <row r="472" spans="1:12" x14ac:dyDescent="0.25">
      <c r="A472" s="43"/>
      <c r="B472" s="44"/>
      <c r="C472" s="116"/>
      <c r="D472" s="115"/>
      <c r="E472" s="268"/>
      <c r="F472" s="68"/>
      <c r="G472" s="45"/>
      <c r="I472" s="390"/>
      <c r="J472" s="387"/>
      <c r="K472" s="391"/>
    </row>
    <row r="473" spans="1:12" x14ac:dyDescent="0.25">
      <c r="A473" s="43"/>
      <c r="B473" s="293" t="s">
        <v>52</v>
      </c>
      <c r="C473" s="31">
        <v>0</v>
      </c>
      <c r="D473" s="40">
        <f>+D474</f>
        <v>876199.86</v>
      </c>
      <c r="E473" s="268"/>
      <c r="F473" s="68"/>
      <c r="G473" s="45"/>
      <c r="I473" s="390"/>
      <c r="J473" s="387"/>
      <c r="K473" s="391"/>
    </row>
    <row r="474" spans="1:12" x14ac:dyDescent="0.25">
      <c r="A474" s="43">
        <v>42174</v>
      </c>
      <c r="B474" s="44" t="s">
        <v>244</v>
      </c>
      <c r="C474" s="47">
        <v>0</v>
      </c>
      <c r="D474" s="21">
        <v>876199.86</v>
      </c>
      <c r="E474" s="268"/>
      <c r="F474" s="68">
        <v>4232</v>
      </c>
      <c r="G474" s="45"/>
      <c r="I474" s="390"/>
      <c r="J474" s="387"/>
      <c r="K474" s="391"/>
    </row>
    <row r="475" spans="1:12" x14ac:dyDescent="0.25">
      <c r="A475" s="43"/>
      <c r="B475" s="44"/>
      <c r="C475" s="116"/>
      <c r="D475" s="115"/>
      <c r="E475" s="268"/>
      <c r="F475" s="68"/>
      <c r="I475" s="390"/>
      <c r="J475" s="387"/>
      <c r="K475" s="391"/>
    </row>
    <row r="476" spans="1:12" x14ac:dyDescent="0.25">
      <c r="A476" s="43"/>
      <c r="B476" s="276"/>
      <c r="C476" s="116"/>
      <c r="D476" s="379"/>
      <c r="E476" s="68"/>
      <c r="F476" s="68"/>
      <c r="I476" s="390"/>
      <c r="J476" s="387"/>
      <c r="K476" s="391"/>
    </row>
    <row r="477" spans="1:12" x14ac:dyDescent="0.25">
      <c r="A477" s="43"/>
      <c r="B477" s="294" t="s">
        <v>55</v>
      </c>
      <c r="C477" s="26">
        <f>+C473+C461+C444+C441+C436+C433+C382+C379+C346</f>
        <v>122802.58008</v>
      </c>
      <c r="D477" s="26">
        <f>+D473+D461+D444+D441+D436+D433+D382+D379+D346</f>
        <v>130232025.80999999</v>
      </c>
      <c r="E477" s="295"/>
      <c r="F477" s="67"/>
      <c r="I477" s="390"/>
      <c r="J477" s="387"/>
      <c r="K477" s="391"/>
    </row>
    <row r="478" spans="1:12" ht="16.5" thickBot="1" x14ac:dyDescent="0.3">
      <c r="A478" s="296"/>
      <c r="B478" s="297"/>
      <c r="C478" s="376"/>
      <c r="D478" s="376"/>
      <c r="E478" s="298"/>
      <c r="F478" s="298"/>
      <c r="I478" s="390"/>
      <c r="J478" s="387"/>
      <c r="K478" s="391"/>
    </row>
    <row r="479" spans="1:12" ht="16.5" thickBot="1" x14ac:dyDescent="0.3">
      <c r="I479" s="405"/>
      <c r="J479" s="406"/>
      <c r="K479" s="407"/>
    </row>
    <row r="480" spans="1:12" ht="16.5" thickBot="1" x14ac:dyDescent="0.3">
      <c r="A480" s="307"/>
      <c r="B480" s="91"/>
      <c r="C480" s="380"/>
      <c r="D480" s="380"/>
      <c r="E480" s="308"/>
      <c r="F480" s="308"/>
      <c r="I480" s="408">
        <f>SUM(I6:I478)</f>
        <v>12696836.800000001</v>
      </c>
      <c r="J480" s="409">
        <f t="shared" ref="J480:L480" si="0">SUM(J6:J478)</f>
        <v>61441344.560000002</v>
      </c>
      <c r="K480" s="401">
        <f t="shared" si="0"/>
        <v>3417791</v>
      </c>
      <c r="L480" s="45">
        <f t="shared" si="0"/>
        <v>0</v>
      </c>
    </row>
    <row r="481" spans="1:11" x14ac:dyDescent="0.25">
      <c r="A481" s="309"/>
      <c r="B481" s="310"/>
      <c r="C481" s="94"/>
      <c r="D481" s="4"/>
      <c r="E481" s="311"/>
      <c r="F481" s="312"/>
      <c r="G481" s="306"/>
      <c r="H481" s="269"/>
    </row>
    <row r="482" spans="1:11" ht="16.5" thickBot="1" x14ac:dyDescent="0.3">
      <c r="A482" s="309"/>
      <c r="B482" s="10" t="s">
        <v>56</v>
      </c>
      <c r="C482" s="9" t="s">
        <v>3</v>
      </c>
      <c r="D482" s="9" t="s">
        <v>4</v>
      </c>
      <c r="E482" s="311"/>
      <c r="F482" s="312"/>
      <c r="G482" s="306"/>
      <c r="H482" s="269"/>
    </row>
    <row r="483" spans="1:11" x14ac:dyDescent="0.25">
      <c r="A483" s="309"/>
      <c r="B483" s="313"/>
      <c r="C483" s="96"/>
      <c r="D483" s="361"/>
      <c r="E483" s="311"/>
      <c r="F483" s="312"/>
      <c r="G483" s="306"/>
      <c r="H483" s="269"/>
    </row>
    <row r="484" spans="1:11" x14ac:dyDescent="0.25">
      <c r="A484" s="314"/>
      <c r="B484" s="122" t="s">
        <v>57</v>
      </c>
      <c r="C484" s="99">
        <f>+C340</f>
        <v>222781.87840999998</v>
      </c>
      <c r="D484" s="358">
        <f>+D340</f>
        <v>237745492.32000002</v>
      </c>
      <c r="E484" s="315"/>
      <c r="F484" s="301"/>
      <c r="G484" s="306" t="s">
        <v>61</v>
      </c>
      <c r="H484" s="269">
        <f>'[1]Vstupni Seznam'!$M$1</f>
        <v>951693271.66000009</v>
      </c>
    </row>
    <row r="485" spans="1:11" x14ac:dyDescent="0.25">
      <c r="A485" s="314"/>
      <c r="B485" s="122" t="s">
        <v>58</v>
      </c>
      <c r="C485" s="99">
        <f>+C477</f>
        <v>122802.58008</v>
      </c>
      <c r="D485" s="99">
        <f>+D477</f>
        <v>130232025.80999999</v>
      </c>
      <c r="E485" s="316"/>
      <c r="F485" s="308"/>
      <c r="G485" s="306" t="s">
        <v>62</v>
      </c>
      <c r="H485" s="269">
        <f>27388800*8</f>
        <v>219110400</v>
      </c>
    </row>
    <row r="486" spans="1:11" x14ac:dyDescent="0.25">
      <c r="A486" s="314"/>
      <c r="B486" s="122"/>
      <c r="C486" s="99"/>
      <c r="D486" s="358"/>
      <c r="E486" s="316"/>
      <c r="F486" s="308"/>
      <c r="G486" s="306" t="s">
        <v>64</v>
      </c>
      <c r="H486" s="269">
        <f>+D42+D43+D46+D45+D47+D48+D49+D50+D51+D52+D53+D54+D55+D56+D57+D58+D59+D44+D471+D374</f>
        <v>12696836.800000001</v>
      </c>
      <c r="J486" s="45">
        <f>5996137.26+H488</f>
        <v>-371306053.07000005</v>
      </c>
    </row>
    <row r="487" spans="1:11" x14ac:dyDescent="0.25">
      <c r="A487" s="314"/>
      <c r="B487" s="317" t="s">
        <v>59</v>
      </c>
      <c r="C487" s="102">
        <f>+C484+C485</f>
        <v>345584.45848999999</v>
      </c>
      <c r="D487" s="26">
        <f>SUM(D484:D485)</f>
        <v>367977518.13</v>
      </c>
      <c r="E487" s="316"/>
      <c r="F487" s="308"/>
      <c r="G487" s="45" t="s">
        <v>63</v>
      </c>
      <c r="H487" s="269">
        <f>+H484-H485+H486-H483</f>
        <v>745279708.46000004</v>
      </c>
    </row>
    <row r="488" spans="1:11" ht="16.5" thickBot="1" x14ac:dyDescent="0.3">
      <c r="A488" s="314"/>
      <c r="B488" s="318"/>
      <c r="C488" s="103"/>
      <c r="D488" s="103"/>
      <c r="E488" s="315"/>
      <c r="F488" s="301"/>
      <c r="G488" s="45"/>
      <c r="H488" s="269">
        <f>+D487-H487</f>
        <v>-377302190.33000004</v>
      </c>
      <c r="I488" s="319" t="s">
        <v>101</v>
      </c>
      <c r="J488" s="367" t="s">
        <v>344</v>
      </c>
    </row>
    <row r="489" spans="1:11" x14ac:dyDescent="0.25">
      <c r="C489" s="38"/>
      <c r="D489" s="362"/>
      <c r="E489" s="269"/>
      <c r="F489" s="45"/>
      <c r="H489" s="269">
        <f>27388800*9</f>
        <v>246499200</v>
      </c>
      <c r="I489" s="320"/>
    </row>
    <row r="490" spans="1:11" ht="16.5" thickBot="1" x14ac:dyDescent="0.3">
      <c r="B490" s="321"/>
      <c r="C490" s="131"/>
      <c r="D490" s="131"/>
      <c r="E490" s="305"/>
      <c r="F490" s="305"/>
      <c r="H490" s="269">
        <f>+H488-H489</f>
        <v>-623801390.33000004</v>
      </c>
      <c r="I490" s="45" t="s">
        <v>342</v>
      </c>
    </row>
    <row r="491" spans="1:11" ht="16.5" thickBot="1" x14ac:dyDescent="0.3">
      <c r="B491" s="322" t="s">
        <v>79</v>
      </c>
      <c r="C491" s="140" t="s">
        <v>80</v>
      </c>
      <c r="D491" s="140" t="s">
        <v>80</v>
      </c>
      <c r="E491" s="137" t="s">
        <v>82</v>
      </c>
      <c r="F491" s="137" t="s">
        <v>81</v>
      </c>
      <c r="G491" s="323" t="s">
        <v>83</v>
      </c>
      <c r="H491" s="324" t="s">
        <v>84</v>
      </c>
    </row>
    <row r="492" spans="1:11" s="329" customFormat="1" x14ac:dyDescent="0.25">
      <c r="A492" s="325"/>
      <c r="B492" s="326">
        <v>4111</v>
      </c>
      <c r="C492" s="143"/>
      <c r="D492" s="363">
        <f>SUMIF(C508:C535,B492,G508:G535)</f>
        <v>0</v>
      </c>
      <c r="E492" s="328">
        <f t="shared" ref="E492:E504" si="1">SUMIF($F$7:$F$537,B492,$C$7:$C$537)</f>
        <v>0</v>
      </c>
      <c r="F492" s="328">
        <f t="shared" ref="F492:F504" si="2">SUMIF($F$7:$F$490,B492,$D$7:$D$490)</f>
        <v>0</v>
      </c>
      <c r="G492" s="328">
        <f>C492-E492*1000</f>
        <v>0</v>
      </c>
      <c r="H492" s="328">
        <f>+D492-F492</f>
        <v>0</v>
      </c>
    </row>
    <row r="493" spans="1:11" x14ac:dyDescent="0.25">
      <c r="B493" s="330">
        <v>4113</v>
      </c>
      <c r="C493" s="144">
        <v>5941925.21</v>
      </c>
      <c r="D493" s="363">
        <v>2221253.21</v>
      </c>
      <c r="E493" s="331">
        <f t="shared" si="1"/>
        <v>5947.4719100000011</v>
      </c>
      <c r="F493" s="328">
        <f t="shared" si="2"/>
        <v>2790001.91</v>
      </c>
      <c r="G493" s="328">
        <f t="shared" ref="G493:G504" si="3">C493-E493*1000</f>
        <v>-5546.7000000011176</v>
      </c>
      <c r="H493" s="328">
        <f t="shared" ref="H493:H504" si="4">+D493-F493</f>
        <v>-568748.70000000019</v>
      </c>
      <c r="I493" s="329"/>
    </row>
    <row r="494" spans="1:11" x14ac:dyDescent="0.25">
      <c r="B494" s="330">
        <v>4116</v>
      </c>
      <c r="C494" s="144">
        <v>82126721.180000007</v>
      </c>
      <c r="D494" s="363">
        <v>96129922.269999996</v>
      </c>
      <c r="E494" s="331">
        <f t="shared" si="1"/>
        <v>105566.44873</v>
      </c>
      <c r="F494" s="328">
        <f t="shared" si="2"/>
        <v>117633089.52999999</v>
      </c>
      <c r="G494" s="328">
        <f>C494-E494*1000</f>
        <v>-23439727.549999997</v>
      </c>
      <c r="H494" s="328">
        <f t="shared" si="4"/>
        <v>-21503167.25999999</v>
      </c>
      <c r="I494" s="329"/>
      <c r="J494" s="45">
        <v>60000</v>
      </c>
      <c r="K494" s="45" t="s">
        <v>412</v>
      </c>
    </row>
    <row r="495" spans="1:11" x14ac:dyDescent="0.25">
      <c r="B495" s="330">
        <v>4119</v>
      </c>
      <c r="C495" s="144">
        <v>0</v>
      </c>
      <c r="D495" s="363">
        <f>SUMIF(C511:C538,B495,G509:G538)</f>
        <v>0</v>
      </c>
      <c r="E495" s="331">
        <f t="shared" si="1"/>
        <v>0</v>
      </c>
      <c r="F495" s="328">
        <f t="shared" si="2"/>
        <v>0</v>
      </c>
      <c r="G495" s="328">
        <f t="shared" si="3"/>
        <v>0</v>
      </c>
      <c r="H495" s="328">
        <f t="shared" si="4"/>
        <v>0</v>
      </c>
      <c r="I495" s="329">
        <v>346028.67</v>
      </c>
    </row>
    <row r="496" spans="1:11" x14ac:dyDescent="0.25">
      <c r="B496" s="330">
        <v>4122</v>
      </c>
      <c r="C496" s="144">
        <v>106315949.68000001</v>
      </c>
      <c r="D496" s="363">
        <v>67714425.560000002</v>
      </c>
      <c r="E496" s="331">
        <f t="shared" si="1"/>
        <v>108877.30556000001</v>
      </c>
      <c r="F496" s="328">
        <f t="shared" si="2"/>
        <v>113137305.56</v>
      </c>
      <c r="G496" s="328">
        <f t="shared" si="3"/>
        <v>-2561355.8799999952</v>
      </c>
      <c r="H496" s="328">
        <f t="shared" si="4"/>
        <v>-45422880</v>
      </c>
      <c r="I496" s="329">
        <v>20354.62</v>
      </c>
    </row>
    <row r="497" spans="2:10" x14ac:dyDescent="0.25">
      <c r="B497" s="330">
        <v>4123</v>
      </c>
      <c r="C497" s="144">
        <v>984796.97</v>
      </c>
      <c r="D497" s="363">
        <v>1808652.21</v>
      </c>
      <c r="E497" s="331">
        <f t="shared" si="1"/>
        <v>1808.6522100000002</v>
      </c>
      <c r="F497" s="328">
        <f t="shared" si="2"/>
        <v>1808652.21</v>
      </c>
      <c r="G497" s="328">
        <f t="shared" si="3"/>
        <v>-823855.24000000022</v>
      </c>
      <c r="H497" s="328">
        <f t="shared" si="4"/>
        <v>0</v>
      </c>
      <c r="I497" s="329"/>
      <c r="J497" s="45">
        <f>SUM(J488:J496)</f>
        <v>60000</v>
      </c>
    </row>
    <row r="498" spans="2:10" x14ac:dyDescent="0.25">
      <c r="B498" s="330">
        <v>4151</v>
      </c>
      <c r="C498" s="144"/>
      <c r="D498" s="363">
        <f>SUMIF(C512:C541,B498,G512:G541)</f>
        <v>0</v>
      </c>
      <c r="E498" s="331">
        <f t="shared" si="1"/>
        <v>0</v>
      </c>
      <c r="F498" s="328">
        <f t="shared" si="2"/>
        <v>0</v>
      </c>
      <c r="G498" s="328">
        <f t="shared" si="3"/>
        <v>0</v>
      </c>
      <c r="H498" s="328">
        <f t="shared" si="4"/>
        <v>0</v>
      </c>
      <c r="I498" s="329">
        <v>715238</v>
      </c>
      <c r="J498" s="45">
        <f>+H494+J497</f>
        <v>-21443167.25999999</v>
      </c>
    </row>
    <row r="499" spans="2:10" x14ac:dyDescent="0.25">
      <c r="B499" s="330">
        <v>4152</v>
      </c>
      <c r="C499" s="144">
        <v>582000</v>
      </c>
      <c r="D499" s="363">
        <v>2376443.11</v>
      </c>
      <c r="E499" s="331">
        <f t="shared" si="1"/>
        <v>582</v>
      </c>
      <c r="F499" s="328">
        <f t="shared" si="2"/>
        <v>2376443.1100000003</v>
      </c>
      <c r="G499" s="328">
        <f t="shared" si="3"/>
        <v>0</v>
      </c>
      <c r="H499" s="328">
        <f t="shared" si="4"/>
        <v>0</v>
      </c>
      <c r="I499" s="329">
        <v>692150</v>
      </c>
    </row>
    <row r="500" spans="2:10" x14ac:dyDescent="0.25">
      <c r="B500" s="330">
        <v>4213</v>
      </c>
      <c r="C500" s="144">
        <v>656317.54</v>
      </c>
      <c r="D500" s="363">
        <v>690589.29</v>
      </c>
      <c r="E500" s="331">
        <f t="shared" si="1"/>
        <v>314.97379000000006</v>
      </c>
      <c r="F500" s="328">
        <f t="shared" si="2"/>
        <v>1089124.77</v>
      </c>
      <c r="G500" s="328">
        <f t="shared" si="3"/>
        <v>341343.75</v>
      </c>
      <c r="H500" s="328">
        <f t="shared" si="4"/>
        <v>-398535.48</v>
      </c>
      <c r="I500" s="329">
        <v>903153</v>
      </c>
    </row>
    <row r="501" spans="2:10" x14ac:dyDescent="0.25">
      <c r="B501" s="330">
        <v>4216</v>
      </c>
      <c r="C501" s="144">
        <v>30485503.73</v>
      </c>
      <c r="D501" s="363">
        <v>31068123.91</v>
      </c>
      <c r="E501" s="331">
        <f t="shared" si="1"/>
        <v>34784.132539999999</v>
      </c>
      <c r="F501" s="328">
        <f t="shared" si="2"/>
        <v>37843227.43</v>
      </c>
      <c r="G501" s="328">
        <f t="shared" si="3"/>
        <v>-4298628.8099999987</v>
      </c>
      <c r="H501" s="328">
        <f t="shared" si="4"/>
        <v>-6775103.5199999996</v>
      </c>
      <c r="I501" s="329">
        <v>328987</v>
      </c>
    </row>
    <row r="502" spans="2:10" x14ac:dyDescent="0.25">
      <c r="B502" s="330">
        <v>4222</v>
      </c>
      <c r="C502" s="144">
        <v>0</v>
      </c>
      <c r="D502" s="363">
        <f>SUMIF(C517:C545,B502,G517:G545)</f>
        <v>0</v>
      </c>
      <c r="E502" s="331">
        <f t="shared" si="1"/>
        <v>0</v>
      </c>
      <c r="F502" s="328">
        <f t="shared" si="2"/>
        <v>2720000</v>
      </c>
      <c r="G502" s="328">
        <f t="shared" si="3"/>
        <v>0</v>
      </c>
      <c r="H502" s="328">
        <f t="shared" si="4"/>
        <v>-2720000</v>
      </c>
      <c r="I502" s="329">
        <v>989456</v>
      </c>
    </row>
    <row r="503" spans="2:10" x14ac:dyDescent="0.25">
      <c r="B503" s="330">
        <v>4223</v>
      </c>
      <c r="C503" s="144">
        <v>76925824.829999998</v>
      </c>
      <c r="D503" s="363">
        <v>87703473.75</v>
      </c>
      <c r="E503" s="331">
        <f t="shared" si="1"/>
        <v>87703.473750000005</v>
      </c>
      <c r="F503" s="328">
        <f t="shared" si="2"/>
        <v>87703473.75</v>
      </c>
      <c r="G503" s="328">
        <f t="shared" si="3"/>
        <v>-10777648.920000002</v>
      </c>
      <c r="H503" s="328">
        <f t="shared" si="4"/>
        <v>0</v>
      </c>
      <c r="I503" s="329">
        <v>990111</v>
      </c>
    </row>
    <row r="504" spans="2:10" x14ac:dyDescent="0.25">
      <c r="B504" s="330">
        <v>4232</v>
      </c>
      <c r="C504" s="144">
        <v>0</v>
      </c>
      <c r="D504" s="363">
        <v>876199.86</v>
      </c>
      <c r="E504" s="331">
        <f t="shared" si="1"/>
        <v>0</v>
      </c>
      <c r="F504" s="328">
        <f t="shared" si="2"/>
        <v>876199.86</v>
      </c>
      <c r="G504" s="328">
        <f t="shared" si="3"/>
        <v>0</v>
      </c>
      <c r="H504" s="328">
        <f t="shared" si="4"/>
        <v>0</v>
      </c>
      <c r="I504" s="329"/>
    </row>
    <row r="505" spans="2:10" x14ac:dyDescent="0.25">
      <c r="B505" s="332"/>
      <c r="C505" s="144">
        <f t="shared" ref="C505:H505" si="5">+SUM(C492:C503)</f>
        <v>304019039.13999999</v>
      </c>
      <c r="D505" s="144">
        <f t="shared" si="5"/>
        <v>289712883.31</v>
      </c>
      <c r="E505" s="156">
        <f t="shared" si="5"/>
        <v>345584.45848999999</v>
      </c>
      <c r="F505" s="156">
        <f t="shared" si="5"/>
        <v>367101318.27000004</v>
      </c>
      <c r="G505" s="328">
        <f t="shared" si="5"/>
        <v>-41565419.349999994</v>
      </c>
      <c r="H505" s="328">
        <f t="shared" si="5"/>
        <v>-77388434.959999993</v>
      </c>
      <c r="I505" s="329"/>
    </row>
    <row r="506" spans="2:10" ht="16.5" thickBot="1" x14ac:dyDescent="0.3">
      <c r="B506" s="333"/>
      <c r="C506" s="145"/>
      <c r="D506" s="145"/>
      <c r="E506" s="334"/>
      <c r="F506" s="334"/>
      <c r="G506" s="335" t="s">
        <v>264</v>
      </c>
      <c r="H506" s="336"/>
      <c r="I506" s="329"/>
    </row>
    <row r="507" spans="2:10" x14ac:dyDescent="0.25">
      <c r="C507" s="2"/>
      <c r="D507" s="2"/>
    </row>
    <row r="508" spans="2:10" x14ac:dyDescent="0.25">
      <c r="B508" s="337"/>
      <c r="C508" s="365"/>
      <c r="D508" s="364"/>
      <c r="E508" s="338"/>
      <c r="F508" s="338"/>
      <c r="G508" s="338"/>
      <c r="H508" s="337"/>
    </row>
    <row r="509" spans="2:10" x14ac:dyDescent="0.25">
      <c r="B509" s="337"/>
      <c r="C509" s="2"/>
      <c r="D509" s="364">
        <f>+D487</f>
        <v>367977518.13</v>
      </c>
      <c r="E509" s="338"/>
      <c r="F509" s="338"/>
      <c r="G509" s="337"/>
      <c r="H509" s="338"/>
    </row>
    <row r="510" spans="2:10" x14ac:dyDescent="0.25">
      <c r="B510" s="337"/>
      <c r="C510" s="2" t="s">
        <v>352</v>
      </c>
      <c r="D510" s="364">
        <f>+D471+D374+D42+D43+D44+D45+D46+D47+D48+D49+D50+D51+D52+D53+D54+D55+D56+D57</f>
        <v>12696836.800000001</v>
      </c>
      <c r="E510" s="338"/>
      <c r="F510" s="338"/>
      <c r="G510" s="338"/>
    </row>
    <row r="511" spans="2:10" x14ac:dyDescent="0.25">
      <c r="B511" s="337"/>
      <c r="C511" s="365" t="s">
        <v>353</v>
      </c>
      <c r="D511" s="364">
        <f>+D458+D408+D407+D406+D405+D404+D377+D376+D375+D373+D372+D209+D173+D172+D153+D152+H101+D33+D29+D16+D15+D14+D13-H14+H148-I221+D271+D272+D273+D274+D275-H221</f>
        <v>61441344.560000002</v>
      </c>
      <c r="E511" s="338"/>
      <c r="F511" s="338"/>
      <c r="G511" s="338"/>
    </row>
    <row r="512" spans="2:10" x14ac:dyDescent="0.25">
      <c r="B512" s="337"/>
      <c r="C512" s="365" t="s">
        <v>354</v>
      </c>
      <c r="D512" s="364">
        <f>+D391+D356+H14</f>
        <v>584174.29</v>
      </c>
      <c r="E512" s="338"/>
      <c r="F512" s="338"/>
      <c r="G512" s="338"/>
      <c r="H512" s="337"/>
    </row>
    <row r="513" spans="2:8" x14ac:dyDescent="0.25">
      <c r="B513" s="337"/>
      <c r="C513" s="365" t="s">
        <v>356</v>
      </c>
      <c r="D513" s="364">
        <f>+D473+D334</f>
        <v>3252642.97</v>
      </c>
      <c r="E513" s="338"/>
      <c r="F513" s="338"/>
      <c r="G513" s="338"/>
      <c r="H513" s="337"/>
    </row>
    <row r="514" spans="2:8" x14ac:dyDescent="0.25">
      <c r="B514" s="337"/>
      <c r="C514" s="365"/>
      <c r="D514" s="364">
        <f>+D509-D510-D511-D512-3252642.97</f>
        <v>290002519.50999993</v>
      </c>
      <c r="E514" s="338"/>
      <c r="F514" s="338"/>
      <c r="G514" s="337"/>
      <c r="H514" s="337"/>
    </row>
    <row r="515" spans="2:8" x14ac:dyDescent="0.25">
      <c r="B515" s="337"/>
      <c r="C515" s="365"/>
      <c r="D515" s="364">
        <f>290852554.42-850034.91</f>
        <v>290002519.50999999</v>
      </c>
      <c r="E515" s="338"/>
      <c r="F515" s="338"/>
      <c r="G515" s="338"/>
      <c r="H515" s="337"/>
    </row>
    <row r="516" spans="2:8" x14ac:dyDescent="0.25">
      <c r="B516" s="337"/>
      <c r="C516" s="365" t="s">
        <v>357</v>
      </c>
      <c r="D516" s="364">
        <f>+D514-D515</f>
        <v>0</v>
      </c>
      <c r="E516" s="338"/>
      <c r="F516" s="338"/>
      <c r="G516" s="338"/>
      <c r="H516" s="337"/>
    </row>
    <row r="517" spans="2:8" x14ac:dyDescent="0.25">
      <c r="B517" s="337"/>
      <c r="C517" s="365"/>
      <c r="D517" s="364"/>
      <c r="E517" s="338"/>
      <c r="F517" s="338"/>
      <c r="G517" s="338"/>
      <c r="H517" s="337"/>
    </row>
    <row r="518" spans="2:8" x14ac:dyDescent="0.25">
      <c r="B518" s="337"/>
      <c r="C518" s="365"/>
      <c r="D518" s="365"/>
      <c r="E518" s="338"/>
      <c r="F518" s="338"/>
      <c r="G518" s="338"/>
      <c r="H518" s="337"/>
    </row>
    <row r="519" spans="2:8" x14ac:dyDescent="0.25">
      <c r="B519" s="337"/>
      <c r="C519" s="365"/>
      <c r="D519" s="365"/>
      <c r="E519" s="338"/>
      <c r="F519" s="338"/>
      <c r="G519" s="338"/>
      <c r="H519" s="337"/>
    </row>
    <row r="520" spans="2:8" x14ac:dyDescent="0.25">
      <c r="B520" s="337"/>
      <c r="C520" s="365"/>
      <c r="D520" s="365"/>
      <c r="E520" s="337"/>
      <c r="F520" s="337"/>
      <c r="G520" s="338"/>
      <c r="H520" s="337"/>
    </row>
    <row r="521" spans="2:8" x14ac:dyDescent="0.25">
      <c r="B521" s="337"/>
      <c r="C521" s="365"/>
      <c r="D521" s="365"/>
      <c r="E521" s="338"/>
      <c r="F521" s="338"/>
      <c r="G521" s="338"/>
      <c r="H521" s="337"/>
    </row>
    <row r="522" spans="2:8" x14ac:dyDescent="0.25">
      <c r="B522" s="337"/>
      <c r="C522" s="365"/>
      <c r="D522" s="365"/>
      <c r="E522" s="338"/>
      <c r="F522" s="338"/>
      <c r="G522" s="338"/>
      <c r="H522" s="337"/>
    </row>
    <row r="523" spans="2:8" x14ac:dyDescent="0.25">
      <c r="B523" s="337"/>
      <c r="C523" s="365"/>
      <c r="D523" s="365"/>
      <c r="E523" s="338"/>
      <c r="F523" s="338"/>
      <c r="G523" s="338"/>
      <c r="H523" s="337"/>
    </row>
    <row r="524" spans="2:8" x14ac:dyDescent="0.25">
      <c r="B524" s="337"/>
      <c r="C524" s="365"/>
      <c r="D524" s="365"/>
      <c r="E524" s="337"/>
      <c r="F524" s="337"/>
      <c r="G524" s="337"/>
      <c r="H524" s="337"/>
    </row>
    <row r="525" spans="2:8" x14ac:dyDescent="0.25">
      <c r="B525" s="337"/>
      <c r="C525" s="381"/>
      <c r="D525" s="381"/>
      <c r="E525" s="338"/>
      <c r="F525" s="338"/>
      <c r="G525" s="337"/>
      <c r="H525" s="337"/>
    </row>
    <row r="526" spans="2:8" x14ac:dyDescent="0.25">
      <c r="B526" s="337"/>
      <c r="C526" s="381"/>
      <c r="D526" s="381"/>
      <c r="E526" s="338"/>
      <c r="F526" s="338"/>
      <c r="G526" s="338"/>
      <c r="H526" s="337"/>
    </row>
    <row r="527" spans="2:8" x14ac:dyDescent="0.25">
      <c r="B527" s="337"/>
      <c r="C527" s="381"/>
      <c r="D527" s="381"/>
      <c r="E527" s="338"/>
      <c r="F527" s="338"/>
      <c r="G527" s="338"/>
      <c r="H527" s="337"/>
    </row>
    <row r="528" spans="2:8" x14ac:dyDescent="0.25">
      <c r="B528" s="337"/>
      <c r="C528" s="381"/>
      <c r="D528" s="381"/>
      <c r="E528" s="337"/>
      <c r="F528" s="337"/>
      <c r="G528" s="338"/>
      <c r="H528" s="337"/>
    </row>
    <row r="529" spans="2:8" x14ac:dyDescent="0.25">
      <c r="B529" s="337"/>
      <c r="C529" s="381"/>
      <c r="D529" s="381"/>
      <c r="E529" s="337"/>
      <c r="F529" s="337"/>
      <c r="G529" s="338"/>
      <c r="H529" s="337"/>
    </row>
    <row r="530" spans="2:8" x14ac:dyDescent="0.25">
      <c r="B530" s="337"/>
      <c r="C530" s="381"/>
      <c r="D530" s="381"/>
      <c r="E530" s="338"/>
      <c r="F530" s="338"/>
      <c r="G530" s="338"/>
      <c r="H530" s="337"/>
    </row>
    <row r="531" spans="2:8" x14ac:dyDescent="0.25">
      <c r="B531" s="337"/>
      <c r="C531" s="381"/>
      <c r="D531" s="381"/>
      <c r="E531" s="337"/>
      <c r="F531" s="337"/>
      <c r="G531" s="338"/>
      <c r="H531" s="337"/>
    </row>
    <row r="532" spans="2:8" x14ac:dyDescent="0.25">
      <c r="B532" s="337"/>
      <c r="C532" s="381"/>
      <c r="D532" s="381"/>
      <c r="E532" s="337"/>
      <c r="F532" s="337"/>
      <c r="G532" s="337"/>
      <c r="H532" s="337"/>
    </row>
    <row r="533" spans="2:8" x14ac:dyDescent="0.25">
      <c r="B533" s="337"/>
      <c r="C533" s="381"/>
      <c r="D533" s="381"/>
      <c r="E533" s="337"/>
      <c r="F533" s="337"/>
      <c r="G533" s="337"/>
      <c r="H533" s="337"/>
    </row>
    <row r="534" spans="2:8" x14ac:dyDescent="0.25">
      <c r="B534" s="337"/>
      <c r="C534" s="381"/>
      <c r="D534" s="381"/>
      <c r="E534" s="337"/>
      <c r="F534" s="337"/>
      <c r="G534" s="338"/>
      <c r="H534" s="337"/>
    </row>
    <row r="535" spans="2:8" x14ac:dyDescent="0.25">
      <c r="B535" s="337"/>
      <c r="C535" s="381"/>
      <c r="D535" s="381"/>
      <c r="E535" s="337"/>
      <c r="F535" s="337"/>
      <c r="G535" s="337"/>
      <c r="H535" s="337"/>
    </row>
    <row r="536" spans="2:8" x14ac:dyDescent="0.25">
      <c r="B536" s="337"/>
      <c r="C536" s="381"/>
      <c r="D536" s="381"/>
      <c r="E536" s="337"/>
      <c r="F536" s="337"/>
      <c r="G536" s="337"/>
      <c r="H536" s="337"/>
    </row>
    <row r="573" spans="1:8" x14ac:dyDescent="0.25">
      <c r="A573" s="339"/>
      <c r="B573" s="340"/>
      <c r="C573" s="386"/>
      <c r="D573" s="382"/>
      <c r="E573" s="342"/>
      <c r="F573" s="343"/>
      <c r="G573" s="341"/>
      <c r="H573" s="194"/>
    </row>
    <row r="574" spans="1:8" x14ac:dyDescent="0.25">
      <c r="A574" s="339"/>
      <c r="B574" s="340"/>
      <c r="C574" s="386"/>
      <c r="D574" s="382"/>
      <c r="E574" s="342"/>
      <c r="F574" s="343"/>
      <c r="G574" s="341"/>
      <c r="H574" s="194"/>
    </row>
    <row r="575" spans="1:8" x14ac:dyDescent="0.25">
      <c r="A575" s="339"/>
      <c r="B575" s="340"/>
      <c r="C575" s="386"/>
      <c r="D575" s="382"/>
      <c r="E575" s="342"/>
      <c r="F575" s="343"/>
      <c r="G575" s="341"/>
      <c r="H575" s="194"/>
    </row>
    <row r="576" spans="1:8" x14ac:dyDescent="0.25">
      <c r="A576" s="339"/>
      <c r="B576" s="340"/>
      <c r="C576" s="386"/>
      <c r="D576" s="382"/>
      <c r="E576" s="342"/>
      <c r="F576" s="343"/>
      <c r="G576" s="341"/>
      <c r="H576" s="194"/>
    </row>
    <row r="577" spans="1:8" x14ac:dyDescent="0.25">
      <c r="A577" s="339"/>
      <c r="B577" s="340"/>
      <c r="C577" s="386"/>
      <c r="D577" s="382"/>
      <c r="E577" s="342"/>
      <c r="F577" s="343"/>
      <c r="G577" s="341"/>
      <c r="H577" s="194"/>
    </row>
    <row r="578" spans="1:8" x14ac:dyDescent="0.25">
      <c r="A578" s="339"/>
      <c r="B578" s="340"/>
      <c r="C578" s="386"/>
      <c r="D578" s="382"/>
      <c r="E578" s="342"/>
      <c r="F578" s="343"/>
      <c r="G578" s="341"/>
      <c r="H578" s="194"/>
    </row>
    <row r="579" spans="1:8" x14ac:dyDescent="0.25">
      <c r="A579" s="339"/>
      <c r="B579" s="340"/>
      <c r="C579" s="386"/>
      <c r="D579" s="382"/>
      <c r="E579" s="342"/>
      <c r="F579" s="343"/>
      <c r="G579" s="341"/>
      <c r="H579" s="194"/>
    </row>
    <row r="580" spans="1:8" x14ac:dyDescent="0.25">
      <c r="A580" s="339"/>
      <c r="B580" s="340"/>
      <c r="C580" s="386"/>
      <c r="D580" s="382"/>
      <c r="E580" s="342"/>
      <c r="F580" s="343"/>
      <c r="G580" s="341"/>
      <c r="H580" s="194"/>
    </row>
    <row r="581" spans="1:8" x14ac:dyDescent="0.25">
      <c r="A581" s="339"/>
      <c r="B581" s="340"/>
      <c r="C581" s="386"/>
      <c r="D581" s="382"/>
      <c r="E581" s="342"/>
      <c r="F581" s="343"/>
      <c r="G581" s="341"/>
      <c r="H581" s="194"/>
    </row>
    <row r="582" spans="1:8" x14ac:dyDescent="0.25">
      <c r="A582" s="339"/>
      <c r="B582" s="340"/>
      <c r="C582" s="386"/>
      <c r="D582" s="382"/>
      <c r="E582" s="342"/>
      <c r="F582" s="343"/>
      <c r="G582" s="341"/>
      <c r="H582" s="194"/>
    </row>
    <row r="583" spans="1:8" x14ac:dyDescent="0.25">
      <c r="A583" s="339"/>
      <c r="B583" s="340"/>
      <c r="C583" s="386"/>
      <c r="D583" s="382"/>
      <c r="E583" s="342"/>
      <c r="F583" s="343"/>
      <c r="G583" s="341"/>
      <c r="H583" s="194"/>
    </row>
    <row r="584" spans="1:8" x14ac:dyDescent="0.25">
      <c r="A584" s="339"/>
      <c r="B584" s="340"/>
      <c r="C584" s="386"/>
      <c r="D584" s="382"/>
      <c r="E584" s="342"/>
      <c r="F584" s="343"/>
      <c r="G584" s="341"/>
      <c r="H584" s="194"/>
    </row>
    <row r="585" spans="1:8" x14ac:dyDescent="0.25">
      <c r="A585" s="339"/>
      <c r="B585" s="340"/>
      <c r="C585" s="386"/>
      <c r="D585" s="382"/>
      <c r="E585" s="342"/>
      <c r="F585" s="343"/>
      <c r="G585" s="341"/>
      <c r="H585" s="194"/>
    </row>
    <row r="586" spans="1:8" x14ac:dyDescent="0.25">
      <c r="A586" s="339"/>
      <c r="B586" s="340"/>
      <c r="C586" s="386"/>
      <c r="D586" s="382"/>
      <c r="E586" s="342"/>
      <c r="F586" s="343"/>
      <c r="G586" s="341"/>
      <c r="H586" s="194"/>
    </row>
    <row r="587" spans="1:8" x14ac:dyDescent="0.25">
      <c r="A587" s="339"/>
      <c r="B587" s="340"/>
      <c r="C587" s="386"/>
      <c r="D587" s="382"/>
      <c r="E587" s="342"/>
      <c r="F587" s="343"/>
      <c r="G587" s="341"/>
      <c r="H587" s="194"/>
    </row>
    <row r="588" spans="1:8" x14ac:dyDescent="0.25">
      <c r="A588" s="339"/>
      <c r="B588" s="340"/>
      <c r="C588" s="386"/>
      <c r="D588" s="382"/>
      <c r="E588" s="342"/>
      <c r="F588" s="343"/>
      <c r="G588" s="341"/>
      <c r="H588" s="194"/>
    </row>
    <row r="589" spans="1:8" x14ac:dyDescent="0.25">
      <c r="A589" s="339"/>
      <c r="B589" s="340"/>
      <c r="C589" s="386"/>
      <c r="D589" s="382"/>
      <c r="E589" s="342"/>
      <c r="F589" s="343"/>
      <c r="G589" s="341"/>
      <c r="H589" s="194"/>
    </row>
    <row r="590" spans="1:8" x14ac:dyDescent="0.25">
      <c r="A590" s="339"/>
      <c r="B590" s="340"/>
      <c r="C590" s="386"/>
      <c r="D590" s="382"/>
      <c r="E590" s="342"/>
      <c r="F590" s="343"/>
      <c r="G590" s="341"/>
      <c r="H590" s="194"/>
    </row>
    <row r="591" spans="1:8" x14ac:dyDescent="0.25">
      <c r="A591" s="339"/>
      <c r="B591" s="340"/>
      <c r="C591" s="386"/>
      <c r="D591" s="382"/>
      <c r="E591" s="342"/>
      <c r="F591" s="343"/>
      <c r="G591" s="341"/>
      <c r="H591" s="194"/>
    </row>
    <row r="592" spans="1:8" x14ac:dyDescent="0.25">
      <c r="A592" s="339"/>
      <c r="B592" s="340"/>
      <c r="C592" s="386"/>
      <c r="D592" s="382"/>
      <c r="E592" s="342"/>
      <c r="F592" s="343"/>
      <c r="G592" s="341"/>
      <c r="H592" s="194"/>
    </row>
    <row r="593" spans="1:8" x14ac:dyDescent="0.25">
      <c r="A593" s="339"/>
      <c r="B593" s="340"/>
      <c r="C593" s="386"/>
      <c r="D593" s="382"/>
      <c r="E593" s="342"/>
      <c r="F593" s="343"/>
      <c r="G593" s="341"/>
      <c r="H593" s="194"/>
    </row>
    <row r="594" spans="1:8" x14ac:dyDescent="0.25">
      <c r="A594" s="339"/>
      <c r="B594" s="340"/>
      <c r="C594" s="386"/>
      <c r="D594" s="382"/>
      <c r="E594" s="342"/>
      <c r="F594" s="343"/>
      <c r="G594" s="341"/>
      <c r="H594" s="194"/>
    </row>
    <row r="595" spans="1:8" x14ac:dyDescent="0.25">
      <c r="A595" s="339"/>
      <c r="B595" s="340"/>
      <c r="C595" s="386"/>
      <c r="D595" s="382"/>
      <c r="E595" s="342"/>
      <c r="F595" s="343"/>
      <c r="G595" s="341"/>
      <c r="H595" s="194"/>
    </row>
    <row r="596" spans="1:8" x14ac:dyDescent="0.25">
      <c r="A596" s="339"/>
      <c r="B596" s="340"/>
      <c r="C596" s="386"/>
      <c r="D596" s="382"/>
      <c r="E596" s="342"/>
      <c r="F596" s="343"/>
      <c r="G596" s="341"/>
      <c r="H596" s="194"/>
    </row>
    <row r="597" spans="1:8" x14ac:dyDescent="0.25">
      <c r="A597" s="339"/>
      <c r="B597" s="340"/>
      <c r="C597" s="386"/>
      <c r="D597" s="382"/>
      <c r="E597" s="342"/>
      <c r="F597" s="343"/>
      <c r="G597" s="341"/>
      <c r="H597" s="194"/>
    </row>
    <row r="598" spans="1:8" x14ac:dyDescent="0.25">
      <c r="A598" s="339"/>
      <c r="B598" s="340"/>
      <c r="C598" s="386"/>
      <c r="D598" s="382"/>
      <c r="E598" s="342"/>
      <c r="F598" s="343"/>
      <c r="G598" s="341"/>
      <c r="H598" s="194"/>
    </row>
    <row r="599" spans="1:8" x14ac:dyDescent="0.25">
      <c r="A599" s="339"/>
      <c r="B599" s="340"/>
      <c r="C599" s="386"/>
      <c r="D599" s="382"/>
      <c r="E599" s="342"/>
      <c r="F599" s="343"/>
      <c r="G599" s="341"/>
      <c r="H599" s="194"/>
    </row>
    <row r="600" spans="1:8" x14ac:dyDescent="0.25">
      <c r="A600" s="339"/>
      <c r="B600" s="340"/>
      <c r="C600" s="386"/>
      <c r="D600" s="382"/>
      <c r="E600" s="342"/>
      <c r="F600" s="343"/>
      <c r="G600" s="341"/>
      <c r="H600" s="194"/>
    </row>
    <row r="601" spans="1:8" x14ac:dyDescent="0.25">
      <c r="A601" s="339"/>
      <c r="B601" s="340"/>
      <c r="C601" s="386"/>
      <c r="D601" s="382"/>
      <c r="E601" s="342"/>
      <c r="F601" s="343"/>
      <c r="G601" s="341"/>
      <c r="H601" s="194"/>
    </row>
    <row r="602" spans="1:8" x14ac:dyDescent="0.25">
      <c r="A602" s="339"/>
      <c r="B602" s="340"/>
      <c r="C602" s="386"/>
      <c r="D602" s="382"/>
      <c r="E602" s="342"/>
      <c r="F602" s="343"/>
      <c r="G602" s="341"/>
      <c r="H602" s="194"/>
    </row>
    <row r="603" spans="1:8" x14ac:dyDescent="0.25">
      <c r="A603" s="339"/>
      <c r="B603" s="340"/>
      <c r="C603" s="386"/>
      <c r="D603" s="382"/>
      <c r="E603" s="342"/>
      <c r="F603" s="343"/>
      <c r="G603" s="341"/>
      <c r="H603" s="194"/>
    </row>
    <row r="604" spans="1:8" x14ac:dyDescent="0.25">
      <c r="A604" s="339"/>
      <c r="B604" s="340"/>
      <c r="C604" s="386"/>
      <c r="D604" s="382"/>
      <c r="E604" s="342"/>
      <c r="F604" s="343"/>
      <c r="G604" s="341"/>
      <c r="H604" s="194"/>
    </row>
    <row r="605" spans="1:8" x14ac:dyDescent="0.25">
      <c r="A605" s="339"/>
      <c r="B605" s="340"/>
      <c r="C605" s="386"/>
      <c r="D605" s="382"/>
      <c r="E605" s="342"/>
      <c r="F605" s="343"/>
      <c r="G605" s="341"/>
      <c r="H605" s="194"/>
    </row>
    <row r="606" spans="1:8" x14ac:dyDescent="0.25">
      <c r="A606" s="339"/>
      <c r="B606" s="340"/>
      <c r="C606" s="386"/>
      <c r="D606" s="382"/>
      <c r="E606" s="342"/>
      <c r="F606" s="343"/>
      <c r="G606" s="341"/>
      <c r="H606" s="194"/>
    </row>
    <row r="607" spans="1:8" x14ac:dyDescent="0.25">
      <c r="A607" s="339"/>
      <c r="B607" s="340"/>
      <c r="C607" s="386"/>
      <c r="D607" s="382"/>
      <c r="E607" s="342"/>
      <c r="F607" s="343"/>
      <c r="G607" s="341"/>
      <c r="H607" s="194"/>
    </row>
    <row r="608" spans="1:8" x14ac:dyDescent="0.25">
      <c r="A608" s="339"/>
      <c r="B608" s="340"/>
      <c r="C608" s="386"/>
      <c r="D608" s="382"/>
      <c r="E608" s="342"/>
      <c r="F608" s="343"/>
      <c r="G608" s="341"/>
      <c r="H608" s="194"/>
    </row>
    <row r="609" spans="1:8" x14ac:dyDescent="0.25">
      <c r="A609" s="339"/>
      <c r="B609" s="340"/>
      <c r="C609" s="386"/>
      <c r="D609" s="382"/>
      <c r="E609" s="342"/>
      <c r="F609" s="343"/>
      <c r="G609" s="341"/>
      <c r="H609" s="194"/>
    </row>
    <row r="610" spans="1:8" x14ac:dyDescent="0.25">
      <c r="A610" s="339"/>
      <c r="B610" s="340"/>
      <c r="C610" s="386"/>
      <c r="D610" s="382"/>
      <c r="E610" s="342"/>
      <c r="F610" s="343"/>
      <c r="G610" s="341"/>
      <c r="H610" s="194"/>
    </row>
    <row r="611" spans="1:8" x14ac:dyDescent="0.25">
      <c r="A611" s="339"/>
      <c r="B611" s="340"/>
      <c r="C611" s="386"/>
      <c r="D611" s="382"/>
      <c r="E611" s="342"/>
      <c r="F611" s="343"/>
      <c r="G611" s="341"/>
      <c r="H611" s="194"/>
    </row>
    <row r="612" spans="1:8" x14ac:dyDescent="0.25">
      <c r="A612" s="339"/>
      <c r="B612" s="340"/>
      <c r="C612" s="386"/>
      <c r="D612" s="382"/>
      <c r="E612" s="342"/>
      <c r="F612" s="343"/>
      <c r="G612" s="341"/>
      <c r="H612" s="194"/>
    </row>
    <row r="613" spans="1:8" x14ac:dyDescent="0.25">
      <c r="A613" s="339"/>
      <c r="B613" s="340"/>
      <c r="C613" s="386"/>
      <c r="D613" s="382"/>
      <c r="E613" s="342"/>
      <c r="F613" s="343"/>
      <c r="G613" s="341"/>
      <c r="H613" s="194"/>
    </row>
    <row r="614" spans="1:8" x14ac:dyDescent="0.25">
      <c r="A614" s="339"/>
      <c r="B614" s="340"/>
      <c r="C614" s="386"/>
      <c r="D614" s="382"/>
      <c r="E614" s="342"/>
      <c r="F614" s="343"/>
      <c r="G614" s="341"/>
      <c r="H614" s="194"/>
    </row>
    <row r="615" spans="1:8" x14ac:dyDescent="0.25">
      <c r="A615" s="339"/>
      <c r="B615" s="340"/>
      <c r="C615" s="386"/>
      <c r="D615" s="382"/>
      <c r="E615" s="342"/>
      <c r="F615" s="343"/>
      <c r="G615" s="341"/>
      <c r="H615" s="194"/>
    </row>
    <row r="616" spans="1:8" x14ac:dyDescent="0.25">
      <c r="A616" s="339"/>
      <c r="B616" s="340"/>
      <c r="C616" s="386"/>
      <c r="D616" s="382"/>
      <c r="E616" s="342"/>
      <c r="F616" s="343"/>
      <c r="G616" s="341"/>
      <c r="H616" s="194"/>
    </row>
    <row r="617" spans="1:8" x14ac:dyDescent="0.25">
      <c r="A617" s="339"/>
      <c r="B617" s="340"/>
      <c r="C617" s="386"/>
      <c r="D617" s="382"/>
      <c r="E617" s="342"/>
      <c r="F617" s="343"/>
      <c r="G617" s="341"/>
      <c r="H617" s="194"/>
    </row>
    <row r="618" spans="1:8" x14ac:dyDescent="0.25">
      <c r="A618" s="339"/>
      <c r="B618" s="340"/>
      <c r="C618" s="386"/>
      <c r="D618" s="382"/>
      <c r="E618" s="342"/>
      <c r="F618" s="343"/>
      <c r="G618" s="341"/>
      <c r="H618" s="194"/>
    </row>
    <row r="619" spans="1:8" x14ac:dyDescent="0.25">
      <c r="A619" s="339"/>
      <c r="B619" s="340"/>
      <c r="C619" s="386"/>
      <c r="D619" s="382"/>
      <c r="E619" s="342"/>
      <c r="F619" s="343"/>
      <c r="G619" s="341"/>
      <c r="H619" s="194"/>
    </row>
    <row r="620" spans="1:8" x14ac:dyDescent="0.25">
      <c r="A620" s="339"/>
      <c r="B620" s="340"/>
      <c r="C620" s="386"/>
      <c r="D620" s="382"/>
      <c r="E620" s="342"/>
      <c r="F620" s="343"/>
      <c r="G620" s="341"/>
      <c r="H620" s="194"/>
    </row>
    <row r="621" spans="1:8" x14ac:dyDescent="0.25">
      <c r="A621" s="339"/>
      <c r="B621" s="340"/>
      <c r="C621" s="386"/>
      <c r="D621" s="382"/>
      <c r="E621" s="342"/>
      <c r="F621" s="343"/>
      <c r="G621" s="341"/>
      <c r="H621" s="194"/>
    </row>
    <row r="622" spans="1:8" x14ac:dyDescent="0.25">
      <c r="A622" s="339"/>
      <c r="B622" s="340"/>
      <c r="C622" s="386"/>
      <c r="D622" s="382"/>
      <c r="E622" s="342"/>
      <c r="F622" s="343"/>
      <c r="G622" s="341"/>
      <c r="H622" s="194"/>
    </row>
    <row r="623" spans="1:8" x14ac:dyDescent="0.25">
      <c r="A623" s="339"/>
      <c r="B623" s="340"/>
      <c r="C623" s="386"/>
      <c r="D623" s="382"/>
      <c r="E623" s="342"/>
      <c r="F623" s="343"/>
      <c r="G623" s="341"/>
      <c r="H623" s="194"/>
    </row>
    <row r="624" spans="1:8" x14ac:dyDescent="0.25">
      <c r="A624" s="339"/>
      <c r="B624" s="340"/>
      <c r="C624" s="386"/>
      <c r="D624" s="382"/>
      <c r="E624" s="342"/>
      <c r="F624" s="343"/>
      <c r="G624" s="341"/>
      <c r="H624" s="194"/>
    </row>
    <row r="625" spans="1:8" x14ac:dyDescent="0.25">
      <c r="A625" s="339"/>
      <c r="B625" s="340"/>
      <c r="C625" s="386"/>
      <c r="D625" s="382"/>
      <c r="E625" s="342"/>
      <c r="F625" s="343"/>
      <c r="G625" s="341"/>
      <c r="H625" s="194"/>
    </row>
    <row r="626" spans="1:8" x14ac:dyDescent="0.25">
      <c r="A626" s="339"/>
      <c r="B626" s="340"/>
      <c r="C626" s="386"/>
      <c r="D626" s="382"/>
      <c r="E626" s="342"/>
      <c r="F626" s="343"/>
      <c r="G626" s="341"/>
      <c r="H626" s="194"/>
    </row>
    <row r="627" spans="1:8" x14ac:dyDescent="0.25">
      <c r="A627" s="339"/>
      <c r="B627" s="340"/>
      <c r="C627" s="386"/>
      <c r="D627" s="382"/>
      <c r="E627" s="342"/>
      <c r="F627" s="343"/>
      <c r="G627" s="341"/>
      <c r="H627" s="194"/>
    </row>
    <row r="628" spans="1:8" x14ac:dyDescent="0.25">
      <c r="A628" s="339"/>
      <c r="B628" s="340"/>
      <c r="C628" s="386"/>
      <c r="D628" s="382"/>
      <c r="E628" s="342"/>
      <c r="F628" s="343"/>
      <c r="G628" s="341"/>
      <c r="H628" s="194"/>
    </row>
    <row r="629" spans="1:8" x14ac:dyDescent="0.25">
      <c r="A629" s="339"/>
      <c r="B629" s="340"/>
      <c r="C629" s="386"/>
      <c r="D629" s="382"/>
      <c r="E629" s="342"/>
      <c r="F629" s="343"/>
      <c r="G629" s="341"/>
      <c r="H629" s="194"/>
    </row>
    <row r="630" spans="1:8" x14ac:dyDescent="0.25">
      <c r="A630" s="339"/>
      <c r="B630" s="340"/>
      <c r="C630" s="386"/>
      <c r="D630" s="382"/>
      <c r="E630" s="342"/>
      <c r="F630" s="343"/>
      <c r="G630" s="341"/>
      <c r="H630" s="194"/>
    </row>
    <row r="631" spans="1:8" x14ac:dyDescent="0.25">
      <c r="A631" s="339"/>
      <c r="B631" s="340"/>
      <c r="C631" s="386"/>
      <c r="D631" s="382"/>
      <c r="E631" s="342"/>
      <c r="F631" s="343"/>
      <c r="G631" s="341"/>
      <c r="H631" s="194"/>
    </row>
    <row r="632" spans="1:8" x14ac:dyDescent="0.25">
      <c r="A632" s="339"/>
      <c r="B632" s="340"/>
      <c r="C632" s="386"/>
      <c r="D632" s="382"/>
      <c r="E632" s="342"/>
      <c r="F632" s="343"/>
      <c r="G632" s="341"/>
      <c r="H632" s="194"/>
    </row>
    <row r="633" spans="1:8" x14ac:dyDescent="0.25">
      <c r="A633" s="339"/>
      <c r="B633" s="340"/>
      <c r="C633" s="386"/>
      <c r="D633" s="382"/>
      <c r="E633" s="342"/>
      <c r="F633" s="343"/>
      <c r="G633" s="341"/>
      <c r="H633" s="194"/>
    </row>
    <row r="634" spans="1:8" x14ac:dyDescent="0.25">
      <c r="A634" s="339"/>
      <c r="B634" s="340"/>
      <c r="C634" s="386"/>
      <c r="D634" s="382"/>
      <c r="E634" s="342"/>
      <c r="F634" s="343"/>
      <c r="G634" s="341"/>
      <c r="H634" s="194"/>
    </row>
    <row r="635" spans="1:8" x14ac:dyDescent="0.25">
      <c r="A635" s="339"/>
      <c r="B635" s="340"/>
      <c r="C635" s="386"/>
      <c r="D635" s="382"/>
      <c r="E635" s="342"/>
      <c r="F635" s="343"/>
      <c r="G635" s="341"/>
      <c r="H635" s="194"/>
    </row>
    <row r="636" spans="1:8" x14ac:dyDescent="0.25">
      <c r="A636" s="339"/>
      <c r="B636" s="340"/>
      <c r="C636" s="386"/>
      <c r="D636" s="382"/>
      <c r="E636" s="342"/>
      <c r="F636" s="343"/>
      <c r="G636" s="341"/>
      <c r="H636" s="194"/>
    </row>
    <row r="637" spans="1:8" x14ac:dyDescent="0.25">
      <c r="A637" s="339"/>
      <c r="B637" s="340"/>
      <c r="C637" s="386"/>
      <c r="D637" s="382"/>
      <c r="E637" s="342"/>
      <c r="F637" s="343"/>
      <c r="G637" s="341"/>
      <c r="H637" s="194"/>
    </row>
    <row r="638" spans="1:8" x14ac:dyDescent="0.25">
      <c r="A638" s="339"/>
      <c r="B638" s="340"/>
      <c r="C638" s="386"/>
      <c r="D638" s="382"/>
      <c r="E638" s="342"/>
      <c r="F638" s="343"/>
      <c r="G638" s="341"/>
      <c r="H638" s="194"/>
    </row>
    <row r="639" spans="1:8" x14ac:dyDescent="0.25">
      <c r="A639" s="339"/>
      <c r="B639" s="340"/>
      <c r="C639" s="386"/>
      <c r="D639" s="382"/>
      <c r="E639" s="342"/>
      <c r="F639" s="343"/>
      <c r="G639" s="341"/>
      <c r="H639" s="194"/>
    </row>
    <row r="640" spans="1:8" x14ac:dyDescent="0.25">
      <c r="A640" s="339"/>
      <c r="B640" s="340"/>
      <c r="C640" s="386"/>
      <c r="D640" s="382"/>
      <c r="E640" s="342"/>
      <c r="F640" s="343"/>
      <c r="G640" s="341"/>
      <c r="H640" s="194"/>
    </row>
    <row r="641" spans="1:8" x14ac:dyDescent="0.25">
      <c r="A641" s="339"/>
      <c r="B641" s="340"/>
      <c r="C641" s="386"/>
      <c r="D641" s="382"/>
      <c r="E641" s="342"/>
      <c r="F641" s="343"/>
      <c r="G641" s="341"/>
      <c r="H641" s="194"/>
    </row>
    <row r="642" spans="1:8" x14ac:dyDescent="0.25">
      <c r="A642" s="339"/>
      <c r="B642" s="340"/>
      <c r="C642" s="386"/>
      <c r="D642" s="382"/>
      <c r="E642" s="342"/>
      <c r="F642" s="343"/>
      <c r="G642" s="341"/>
      <c r="H642" s="194"/>
    </row>
    <row r="643" spans="1:8" x14ac:dyDescent="0.25">
      <c r="A643" s="339"/>
      <c r="B643" s="340"/>
      <c r="C643" s="386"/>
      <c r="D643" s="382"/>
      <c r="E643" s="342"/>
      <c r="F643" s="343"/>
      <c r="G643" s="341"/>
      <c r="H643" s="194"/>
    </row>
    <row r="644" spans="1:8" x14ac:dyDescent="0.25">
      <c r="A644" s="339"/>
      <c r="B644" s="340"/>
      <c r="C644" s="386"/>
      <c r="D644" s="382"/>
      <c r="E644" s="342"/>
      <c r="F644" s="343"/>
      <c r="G644" s="341"/>
      <c r="H644" s="194"/>
    </row>
    <row r="645" spans="1:8" x14ac:dyDescent="0.25">
      <c r="A645" s="339"/>
      <c r="B645" s="340"/>
      <c r="C645" s="386"/>
      <c r="D645" s="382"/>
      <c r="E645" s="342"/>
      <c r="F645" s="343"/>
      <c r="G645" s="341"/>
      <c r="H645" s="194"/>
    </row>
    <row r="646" spans="1:8" x14ac:dyDescent="0.25">
      <c r="A646" s="339"/>
      <c r="B646" s="340"/>
      <c r="C646" s="386"/>
      <c r="D646" s="382"/>
      <c r="E646" s="342"/>
      <c r="F646" s="343"/>
      <c r="G646" s="341"/>
      <c r="H646" s="194"/>
    </row>
    <row r="647" spans="1:8" x14ac:dyDescent="0.25">
      <c r="A647" s="339"/>
      <c r="B647" s="340"/>
      <c r="C647" s="386"/>
      <c r="D647" s="382"/>
      <c r="E647" s="342"/>
      <c r="F647" s="343"/>
      <c r="G647" s="341"/>
      <c r="H647" s="194"/>
    </row>
    <row r="648" spans="1:8" x14ac:dyDescent="0.25">
      <c r="A648" s="339"/>
      <c r="B648" s="340"/>
      <c r="C648" s="386"/>
      <c r="D648" s="382"/>
      <c r="E648" s="342"/>
      <c r="F648" s="343"/>
      <c r="G648" s="341"/>
      <c r="H648" s="194"/>
    </row>
    <row r="649" spans="1:8" x14ac:dyDescent="0.25">
      <c r="A649" s="339"/>
      <c r="B649" s="340"/>
      <c r="C649" s="386"/>
      <c r="D649" s="382"/>
      <c r="E649" s="342"/>
      <c r="F649" s="343"/>
      <c r="G649" s="341"/>
      <c r="H649" s="194"/>
    </row>
    <row r="650" spans="1:8" x14ac:dyDescent="0.25">
      <c r="A650" s="339"/>
      <c r="B650" s="340"/>
      <c r="C650" s="386"/>
      <c r="D650" s="382"/>
      <c r="E650" s="342"/>
      <c r="F650" s="343"/>
      <c r="G650" s="341"/>
      <c r="H650" s="194"/>
    </row>
    <row r="651" spans="1:8" x14ac:dyDescent="0.25">
      <c r="A651" s="339"/>
      <c r="B651" s="340"/>
      <c r="C651" s="386"/>
      <c r="D651" s="382"/>
      <c r="E651" s="342"/>
      <c r="F651" s="343"/>
      <c r="G651" s="341"/>
      <c r="H651" s="194"/>
    </row>
    <row r="652" spans="1:8" x14ac:dyDescent="0.25">
      <c r="A652" s="339"/>
      <c r="B652" s="340"/>
      <c r="C652" s="386"/>
      <c r="D652" s="382"/>
      <c r="E652" s="342"/>
      <c r="F652" s="343"/>
      <c r="G652" s="341"/>
      <c r="H652" s="194"/>
    </row>
    <row r="653" spans="1:8" x14ac:dyDescent="0.25">
      <c r="A653" s="339"/>
      <c r="B653" s="340"/>
      <c r="C653" s="386"/>
      <c r="D653" s="382"/>
      <c r="E653" s="342"/>
      <c r="F653" s="343"/>
      <c r="G653" s="341"/>
      <c r="H653" s="194"/>
    </row>
    <row r="654" spans="1:8" x14ac:dyDescent="0.25">
      <c r="A654" s="339"/>
      <c r="B654" s="340"/>
      <c r="C654" s="386"/>
      <c r="D654" s="382"/>
      <c r="E654" s="342"/>
      <c r="F654" s="343"/>
      <c r="G654" s="341"/>
      <c r="H654" s="194"/>
    </row>
    <row r="655" spans="1:8" x14ac:dyDescent="0.25">
      <c r="A655" s="339"/>
      <c r="B655" s="340"/>
      <c r="C655" s="386"/>
      <c r="D655" s="382"/>
      <c r="E655" s="342"/>
      <c r="F655" s="343"/>
      <c r="G655" s="341"/>
      <c r="H655" s="194"/>
    </row>
    <row r="656" spans="1:8" x14ac:dyDescent="0.25">
      <c r="A656" s="339"/>
      <c r="B656" s="340"/>
      <c r="C656" s="386"/>
      <c r="D656" s="382"/>
      <c r="E656" s="342"/>
      <c r="F656" s="343"/>
      <c r="G656" s="341"/>
      <c r="H656" s="194"/>
    </row>
    <row r="657" spans="1:8" x14ac:dyDescent="0.25">
      <c r="A657" s="339"/>
      <c r="B657" s="340"/>
      <c r="C657" s="386"/>
      <c r="D657" s="382"/>
      <c r="E657" s="342"/>
      <c r="F657" s="343"/>
      <c r="G657" s="341"/>
      <c r="H657" s="194"/>
    </row>
    <row r="658" spans="1:8" x14ac:dyDescent="0.25">
      <c r="A658" s="339"/>
      <c r="B658" s="340"/>
      <c r="C658" s="386"/>
      <c r="D658" s="382"/>
      <c r="E658" s="342"/>
      <c r="F658" s="343"/>
      <c r="G658" s="341"/>
      <c r="H658" s="194"/>
    </row>
    <row r="659" spans="1:8" x14ac:dyDescent="0.25">
      <c r="A659" s="339"/>
      <c r="B659" s="340"/>
      <c r="C659" s="386"/>
      <c r="D659" s="382"/>
      <c r="E659" s="342"/>
      <c r="F659" s="343"/>
      <c r="G659" s="341"/>
      <c r="H659" s="194"/>
    </row>
    <row r="660" spans="1:8" x14ac:dyDescent="0.25">
      <c r="A660" s="339"/>
      <c r="B660" s="340"/>
      <c r="C660" s="386"/>
      <c r="D660" s="382"/>
      <c r="E660" s="342"/>
      <c r="F660" s="343"/>
      <c r="G660" s="341"/>
      <c r="H660" s="194"/>
    </row>
    <row r="661" spans="1:8" x14ac:dyDescent="0.25">
      <c r="A661" s="339"/>
      <c r="B661" s="340"/>
      <c r="C661" s="386"/>
      <c r="D661" s="382"/>
      <c r="E661" s="342"/>
      <c r="F661" s="343"/>
      <c r="G661" s="341"/>
      <c r="H661" s="194"/>
    </row>
    <row r="662" spans="1:8" x14ac:dyDescent="0.25">
      <c r="A662" s="339"/>
      <c r="B662" s="340"/>
      <c r="C662" s="386"/>
      <c r="D662" s="382"/>
      <c r="E662" s="342"/>
      <c r="F662" s="343"/>
      <c r="G662" s="341"/>
      <c r="H662" s="194"/>
    </row>
    <row r="663" spans="1:8" x14ac:dyDescent="0.25">
      <c r="A663" s="339"/>
      <c r="B663" s="340"/>
      <c r="C663" s="386"/>
      <c r="D663" s="382"/>
      <c r="E663" s="342"/>
      <c r="F663" s="343"/>
      <c r="G663" s="341"/>
      <c r="H663" s="194"/>
    </row>
    <row r="664" spans="1:8" x14ac:dyDescent="0.25">
      <c r="A664" s="339"/>
      <c r="B664" s="340"/>
      <c r="C664" s="386"/>
      <c r="D664" s="382"/>
      <c r="E664" s="342"/>
      <c r="F664" s="343"/>
      <c r="G664" s="341"/>
      <c r="H664" s="194"/>
    </row>
    <row r="665" spans="1:8" x14ac:dyDescent="0.25">
      <c r="A665" s="339"/>
      <c r="B665" s="340"/>
      <c r="C665" s="386"/>
      <c r="D665" s="382"/>
      <c r="E665" s="342"/>
      <c r="F665" s="343"/>
      <c r="G665" s="341"/>
      <c r="H665" s="194"/>
    </row>
    <row r="666" spans="1:8" x14ac:dyDescent="0.25">
      <c r="A666" s="339"/>
      <c r="B666" s="340"/>
      <c r="C666" s="386"/>
      <c r="D666" s="382"/>
      <c r="E666" s="342"/>
      <c r="F666" s="343"/>
      <c r="G666" s="341"/>
      <c r="H666" s="194"/>
    </row>
    <row r="667" spans="1:8" x14ac:dyDescent="0.25">
      <c r="A667" s="339"/>
      <c r="B667" s="340"/>
      <c r="C667" s="386"/>
      <c r="D667" s="382"/>
      <c r="E667" s="342"/>
      <c r="F667" s="343"/>
      <c r="G667" s="341"/>
      <c r="H667" s="194"/>
    </row>
    <row r="668" spans="1:8" x14ac:dyDescent="0.25">
      <c r="A668" s="339"/>
      <c r="B668" s="340"/>
      <c r="C668" s="386"/>
      <c r="D668" s="382"/>
      <c r="E668" s="342"/>
      <c r="F668" s="343"/>
      <c r="G668" s="341"/>
      <c r="H668" s="194"/>
    </row>
    <row r="669" spans="1:8" x14ac:dyDescent="0.25">
      <c r="A669" s="339"/>
      <c r="B669" s="340"/>
      <c r="C669" s="386"/>
      <c r="D669" s="382"/>
      <c r="E669" s="342"/>
      <c r="F669" s="343"/>
      <c r="G669" s="341"/>
      <c r="H669" s="194"/>
    </row>
    <row r="670" spans="1:8" x14ac:dyDescent="0.25">
      <c r="A670" s="339"/>
      <c r="B670" s="340"/>
      <c r="C670" s="386"/>
      <c r="D670" s="382"/>
      <c r="E670" s="342"/>
      <c r="F670" s="343"/>
      <c r="G670" s="341"/>
      <c r="H670" s="194"/>
    </row>
    <row r="671" spans="1:8" x14ac:dyDescent="0.25">
      <c r="A671" s="339"/>
      <c r="B671" s="340"/>
      <c r="C671" s="386"/>
      <c r="D671" s="382"/>
      <c r="E671" s="342"/>
      <c r="F671" s="343"/>
      <c r="G671" s="341"/>
      <c r="H671" s="194"/>
    </row>
    <row r="672" spans="1:8" x14ac:dyDescent="0.25">
      <c r="A672" s="339"/>
      <c r="B672" s="340"/>
      <c r="C672" s="386"/>
      <c r="D672" s="382"/>
      <c r="E672" s="342"/>
      <c r="F672" s="343"/>
      <c r="G672" s="341"/>
      <c r="H672" s="194"/>
    </row>
    <row r="673" spans="1:8" x14ac:dyDescent="0.25">
      <c r="A673" s="339"/>
      <c r="B673" s="340"/>
      <c r="C673" s="386"/>
      <c r="D673" s="382"/>
      <c r="E673" s="342"/>
      <c r="F673" s="343"/>
      <c r="G673" s="341"/>
      <c r="H673" s="194"/>
    </row>
    <row r="674" spans="1:8" x14ac:dyDescent="0.25">
      <c r="A674" s="339"/>
      <c r="B674" s="340"/>
      <c r="C674" s="386"/>
      <c r="D674" s="382"/>
      <c r="E674" s="342"/>
      <c r="F674" s="343"/>
      <c r="G674" s="341"/>
      <c r="H674" s="194"/>
    </row>
    <row r="675" spans="1:8" x14ac:dyDescent="0.25">
      <c r="A675" s="339"/>
      <c r="B675" s="340"/>
      <c r="C675" s="386"/>
      <c r="D675" s="382"/>
      <c r="E675" s="342"/>
      <c r="F675" s="343"/>
      <c r="G675" s="341"/>
      <c r="H675" s="194"/>
    </row>
    <row r="676" spans="1:8" x14ac:dyDescent="0.25">
      <c r="A676" s="339"/>
      <c r="B676" s="340"/>
      <c r="C676" s="386"/>
      <c r="D676" s="382"/>
      <c r="E676" s="342"/>
      <c r="F676" s="343"/>
      <c r="G676" s="341"/>
      <c r="H676" s="194"/>
    </row>
    <row r="677" spans="1:8" x14ac:dyDescent="0.25">
      <c r="A677" s="339"/>
      <c r="B677" s="340"/>
      <c r="C677" s="386"/>
      <c r="D677" s="382"/>
      <c r="E677" s="342"/>
      <c r="F677" s="343"/>
      <c r="G677" s="341"/>
      <c r="H677" s="194"/>
    </row>
    <row r="678" spans="1:8" x14ac:dyDescent="0.25">
      <c r="A678" s="339"/>
      <c r="B678" s="340"/>
      <c r="C678" s="386"/>
      <c r="D678" s="382"/>
      <c r="E678" s="342"/>
      <c r="F678" s="343"/>
      <c r="G678" s="341"/>
      <c r="H678" s="194"/>
    </row>
    <row r="679" spans="1:8" x14ac:dyDescent="0.25">
      <c r="A679" s="339"/>
      <c r="B679" s="340"/>
      <c r="C679" s="386"/>
      <c r="D679" s="382"/>
      <c r="E679" s="342"/>
      <c r="F679" s="343"/>
      <c r="G679" s="341"/>
      <c r="H679" s="194"/>
    </row>
    <row r="680" spans="1:8" x14ac:dyDescent="0.25">
      <c r="A680" s="339"/>
      <c r="B680" s="340"/>
      <c r="C680" s="386"/>
      <c r="D680" s="382"/>
      <c r="E680" s="342"/>
      <c r="F680" s="343"/>
      <c r="G680" s="341"/>
      <c r="H680" s="194"/>
    </row>
    <row r="681" spans="1:8" x14ac:dyDescent="0.25">
      <c r="A681" s="339"/>
      <c r="B681" s="340"/>
      <c r="C681" s="386"/>
      <c r="D681" s="382"/>
      <c r="E681" s="342"/>
      <c r="F681" s="343"/>
      <c r="G681" s="341"/>
      <c r="H681" s="194"/>
    </row>
    <row r="682" spans="1:8" x14ac:dyDescent="0.25">
      <c r="A682" s="339"/>
      <c r="B682" s="340"/>
      <c r="C682" s="386"/>
      <c r="D682" s="382"/>
      <c r="E682" s="342"/>
      <c r="F682" s="343"/>
      <c r="G682" s="341"/>
      <c r="H682" s="194"/>
    </row>
    <row r="683" spans="1:8" x14ac:dyDescent="0.25">
      <c r="A683" s="339"/>
      <c r="B683" s="340"/>
      <c r="C683" s="386"/>
      <c r="D683" s="382"/>
      <c r="E683" s="342"/>
      <c r="F683" s="343"/>
      <c r="G683" s="341"/>
      <c r="H683" s="194"/>
    </row>
    <row r="684" spans="1:8" x14ac:dyDescent="0.25">
      <c r="A684" s="339"/>
      <c r="B684" s="340"/>
      <c r="C684" s="386"/>
      <c r="D684" s="382"/>
      <c r="E684" s="342"/>
      <c r="F684" s="343"/>
      <c r="G684" s="341"/>
      <c r="H684" s="194"/>
    </row>
    <row r="685" spans="1:8" x14ac:dyDescent="0.25">
      <c r="A685" s="339"/>
      <c r="B685" s="340"/>
      <c r="C685" s="386"/>
      <c r="D685" s="382"/>
      <c r="E685" s="342"/>
      <c r="F685" s="343"/>
      <c r="G685" s="341"/>
      <c r="H685" s="194"/>
    </row>
    <row r="686" spans="1:8" x14ac:dyDescent="0.25">
      <c r="A686" s="339"/>
      <c r="B686" s="340"/>
      <c r="C686" s="386"/>
      <c r="D686" s="382"/>
      <c r="E686" s="342"/>
      <c r="F686" s="343"/>
      <c r="G686" s="341"/>
      <c r="H686" s="194"/>
    </row>
    <row r="687" spans="1:8" x14ac:dyDescent="0.25">
      <c r="A687" s="339"/>
      <c r="B687" s="340"/>
      <c r="C687" s="386"/>
      <c r="D687" s="382"/>
      <c r="E687" s="342"/>
      <c r="F687" s="343"/>
      <c r="G687" s="341"/>
      <c r="H687" s="194"/>
    </row>
    <row r="688" spans="1:8" x14ac:dyDescent="0.25">
      <c r="A688" s="339"/>
      <c r="B688" s="340"/>
      <c r="C688" s="386"/>
      <c r="D688" s="382"/>
      <c r="E688" s="342"/>
      <c r="F688" s="343"/>
      <c r="G688" s="341"/>
      <c r="H688" s="194"/>
    </row>
    <row r="689" spans="1:8" x14ac:dyDescent="0.25">
      <c r="A689" s="339"/>
      <c r="B689" s="340"/>
      <c r="C689" s="386"/>
      <c r="D689" s="382"/>
      <c r="E689" s="342"/>
      <c r="F689" s="343"/>
      <c r="G689" s="341"/>
      <c r="H689" s="194"/>
    </row>
    <row r="690" spans="1:8" x14ac:dyDescent="0.25">
      <c r="A690" s="339"/>
      <c r="B690" s="340"/>
      <c r="C690" s="386"/>
      <c r="D690" s="382"/>
      <c r="E690" s="342"/>
      <c r="F690" s="343"/>
      <c r="G690" s="341"/>
      <c r="H690" s="194"/>
    </row>
    <row r="691" spans="1:8" x14ac:dyDescent="0.25">
      <c r="A691" s="339"/>
      <c r="B691" s="340"/>
      <c r="C691" s="386"/>
      <c r="D691" s="382"/>
      <c r="E691" s="342"/>
      <c r="F691" s="343"/>
      <c r="G691" s="341"/>
      <c r="H691" s="194"/>
    </row>
    <row r="692" spans="1:8" x14ac:dyDescent="0.25">
      <c r="A692" s="339"/>
      <c r="B692" s="340"/>
      <c r="C692" s="386"/>
      <c r="D692" s="382"/>
      <c r="E692" s="342"/>
      <c r="F692" s="343"/>
      <c r="G692" s="341"/>
      <c r="H692" s="194"/>
    </row>
    <row r="693" spans="1:8" x14ac:dyDescent="0.25">
      <c r="A693" s="339"/>
      <c r="B693" s="340"/>
      <c r="C693" s="386"/>
      <c r="D693" s="382"/>
      <c r="E693" s="342"/>
      <c r="F693" s="343"/>
      <c r="G693" s="341"/>
      <c r="H693" s="194"/>
    </row>
    <row r="694" spans="1:8" x14ac:dyDescent="0.25">
      <c r="A694" s="339"/>
      <c r="B694" s="340"/>
      <c r="C694" s="386"/>
      <c r="D694" s="382"/>
      <c r="E694" s="342"/>
      <c r="F694" s="343"/>
      <c r="G694" s="341"/>
      <c r="H694" s="194"/>
    </row>
    <row r="695" spans="1:8" x14ac:dyDescent="0.25">
      <c r="A695" s="339"/>
      <c r="B695" s="340"/>
      <c r="C695" s="386"/>
      <c r="D695" s="382"/>
      <c r="E695" s="342"/>
      <c r="F695" s="343"/>
      <c r="G695" s="341"/>
      <c r="H695" s="194"/>
    </row>
    <row r="696" spans="1:8" x14ac:dyDescent="0.25">
      <c r="A696" s="339"/>
      <c r="B696" s="340"/>
      <c r="C696" s="386"/>
      <c r="D696" s="382"/>
      <c r="E696" s="342"/>
      <c r="F696" s="343"/>
      <c r="G696" s="341"/>
      <c r="H696" s="194"/>
    </row>
    <row r="697" spans="1:8" x14ac:dyDescent="0.25">
      <c r="A697" s="339"/>
      <c r="B697" s="340"/>
      <c r="C697" s="386"/>
      <c r="D697" s="382"/>
      <c r="E697" s="342"/>
      <c r="F697" s="343"/>
      <c r="G697" s="341"/>
      <c r="H697" s="194"/>
    </row>
    <row r="698" spans="1:8" x14ac:dyDescent="0.25">
      <c r="A698" s="339"/>
      <c r="B698" s="340"/>
      <c r="C698" s="386"/>
      <c r="D698" s="382"/>
      <c r="E698" s="342"/>
      <c r="F698" s="343"/>
      <c r="G698" s="341"/>
      <c r="H698" s="194"/>
    </row>
    <row r="699" spans="1:8" x14ac:dyDescent="0.25">
      <c r="A699" s="339"/>
      <c r="B699" s="340"/>
      <c r="C699" s="386"/>
      <c r="D699" s="382"/>
      <c r="E699" s="342"/>
      <c r="F699" s="343"/>
      <c r="G699" s="341"/>
      <c r="H699" s="194"/>
    </row>
    <row r="700" spans="1:8" x14ac:dyDescent="0.25">
      <c r="A700" s="339"/>
      <c r="B700" s="340"/>
      <c r="C700" s="386"/>
      <c r="D700" s="382"/>
      <c r="E700" s="342"/>
      <c r="F700" s="343"/>
      <c r="G700" s="341"/>
      <c r="H700" s="194"/>
    </row>
    <row r="701" spans="1:8" x14ac:dyDescent="0.25">
      <c r="A701" s="339"/>
      <c r="B701" s="340"/>
      <c r="C701" s="386"/>
      <c r="D701" s="382"/>
      <c r="E701" s="342"/>
      <c r="F701" s="343"/>
      <c r="G701" s="341"/>
      <c r="H701" s="194"/>
    </row>
    <row r="702" spans="1:8" x14ac:dyDescent="0.25">
      <c r="A702" s="339"/>
      <c r="B702" s="340"/>
      <c r="C702" s="386"/>
      <c r="D702" s="382"/>
      <c r="E702" s="342"/>
      <c r="F702" s="343"/>
      <c r="G702" s="341"/>
      <c r="H702" s="194"/>
    </row>
    <row r="703" spans="1:8" x14ac:dyDescent="0.25">
      <c r="A703" s="339"/>
      <c r="B703" s="340"/>
      <c r="C703" s="386"/>
      <c r="D703" s="382"/>
      <c r="E703" s="342"/>
      <c r="F703" s="343"/>
      <c r="G703" s="341"/>
      <c r="H703" s="194"/>
    </row>
    <row r="704" spans="1:8" x14ac:dyDescent="0.25">
      <c r="A704" s="339"/>
      <c r="B704" s="340"/>
      <c r="C704" s="386"/>
      <c r="D704" s="382"/>
      <c r="E704" s="342"/>
      <c r="F704" s="343"/>
      <c r="G704" s="341"/>
      <c r="H704" s="194"/>
    </row>
    <row r="705" spans="1:8" x14ac:dyDescent="0.25">
      <c r="A705" s="339"/>
      <c r="B705" s="340"/>
      <c r="C705" s="386"/>
      <c r="D705" s="382"/>
      <c r="E705" s="342"/>
      <c r="F705" s="343"/>
      <c r="G705" s="341"/>
      <c r="H705" s="194"/>
    </row>
    <row r="706" spans="1:8" x14ac:dyDescent="0.25">
      <c r="A706" s="339"/>
      <c r="B706" s="340"/>
      <c r="C706" s="386"/>
      <c r="D706" s="382"/>
      <c r="E706" s="342"/>
      <c r="F706" s="343"/>
      <c r="G706" s="341"/>
      <c r="H706" s="194"/>
    </row>
    <row r="707" spans="1:8" x14ac:dyDescent="0.25">
      <c r="A707" s="339"/>
      <c r="B707" s="340"/>
      <c r="C707" s="386"/>
      <c r="D707" s="382"/>
      <c r="E707" s="342"/>
      <c r="F707" s="343"/>
      <c r="G707" s="341"/>
      <c r="H707" s="194"/>
    </row>
    <row r="708" spans="1:8" x14ac:dyDescent="0.25">
      <c r="A708" s="339"/>
      <c r="B708" s="340"/>
      <c r="C708" s="386"/>
      <c r="D708" s="382"/>
      <c r="E708" s="342"/>
      <c r="F708" s="343"/>
      <c r="G708" s="341"/>
      <c r="H708" s="194"/>
    </row>
    <row r="709" spans="1:8" x14ac:dyDescent="0.25">
      <c r="A709" s="339"/>
      <c r="B709" s="340"/>
      <c r="C709" s="386"/>
      <c r="D709" s="382"/>
      <c r="E709" s="342"/>
      <c r="F709" s="343"/>
      <c r="G709" s="341"/>
      <c r="H709" s="194"/>
    </row>
    <row r="710" spans="1:8" x14ac:dyDescent="0.25">
      <c r="A710" s="339"/>
      <c r="B710" s="340"/>
      <c r="C710" s="386"/>
      <c r="D710" s="382"/>
      <c r="E710" s="342"/>
      <c r="F710" s="343"/>
      <c r="G710" s="341"/>
      <c r="H710" s="194"/>
    </row>
    <row r="711" spans="1:8" x14ac:dyDescent="0.25">
      <c r="A711" s="339"/>
      <c r="B711" s="340"/>
      <c r="C711" s="386"/>
      <c r="D711" s="382"/>
      <c r="E711" s="342"/>
      <c r="F711" s="343"/>
      <c r="G711" s="341"/>
      <c r="H711" s="194"/>
    </row>
    <row r="712" spans="1:8" x14ac:dyDescent="0.25">
      <c r="A712" s="339"/>
      <c r="B712" s="340"/>
      <c r="C712" s="386"/>
      <c r="D712" s="382"/>
      <c r="E712" s="342"/>
      <c r="F712" s="343"/>
      <c r="G712" s="341"/>
      <c r="H712" s="194"/>
    </row>
    <row r="713" spans="1:8" x14ac:dyDescent="0.25">
      <c r="A713" s="339"/>
      <c r="B713" s="340"/>
      <c r="C713" s="386"/>
      <c r="D713" s="382"/>
      <c r="E713" s="342"/>
      <c r="F713" s="343"/>
      <c r="G713" s="341"/>
      <c r="H713" s="194"/>
    </row>
    <row r="714" spans="1:8" x14ac:dyDescent="0.25">
      <c r="A714" s="339"/>
      <c r="B714" s="340"/>
      <c r="C714" s="386"/>
      <c r="D714" s="382"/>
      <c r="E714" s="342"/>
      <c r="F714" s="343"/>
      <c r="G714" s="341"/>
      <c r="H714" s="194"/>
    </row>
    <row r="715" spans="1:8" x14ac:dyDescent="0.25">
      <c r="A715" s="339"/>
      <c r="B715" s="340"/>
      <c r="C715" s="386"/>
      <c r="D715" s="382"/>
      <c r="E715" s="342"/>
      <c r="F715" s="343"/>
      <c r="G715" s="341"/>
      <c r="H715" s="194"/>
    </row>
    <row r="716" spans="1:8" x14ac:dyDescent="0.25">
      <c r="A716" s="339"/>
      <c r="B716" s="340"/>
      <c r="C716" s="386"/>
      <c r="D716" s="382"/>
      <c r="E716" s="342"/>
      <c r="F716" s="343"/>
      <c r="G716" s="341"/>
      <c r="H716" s="194"/>
    </row>
    <row r="717" spans="1:8" x14ac:dyDescent="0.25">
      <c r="A717" s="339"/>
      <c r="B717" s="340"/>
      <c r="C717" s="386"/>
      <c r="D717" s="382"/>
      <c r="E717" s="342"/>
      <c r="F717" s="343"/>
      <c r="G717" s="341"/>
      <c r="H717" s="194"/>
    </row>
    <row r="718" spans="1:8" x14ac:dyDescent="0.25">
      <c r="A718" s="339"/>
      <c r="B718" s="340"/>
      <c r="C718" s="386"/>
      <c r="D718" s="382"/>
      <c r="E718" s="342"/>
      <c r="F718" s="343"/>
      <c r="G718" s="341"/>
      <c r="H718" s="194"/>
    </row>
    <row r="719" spans="1:8" x14ac:dyDescent="0.25">
      <c r="A719" s="339"/>
      <c r="B719" s="340"/>
      <c r="C719" s="386"/>
      <c r="D719" s="382"/>
      <c r="E719" s="342"/>
      <c r="F719" s="343"/>
      <c r="G719" s="341"/>
      <c r="H719" s="194"/>
    </row>
    <row r="720" spans="1:8" x14ac:dyDescent="0.25">
      <c r="A720" s="339"/>
      <c r="B720" s="340"/>
      <c r="C720" s="386"/>
      <c r="D720" s="382"/>
      <c r="E720" s="342"/>
      <c r="F720" s="343"/>
      <c r="G720" s="341"/>
      <c r="H720" s="194"/>
    </row>
    <row r="721" spans="1:8" x14ac:dyDescent="0.25">
      <c r="A721" s="339"/>
      <c r="B721" s="340"/>
      <c r="C721" s="386"/>
      <c r="D721" s="382"/>
      <c r="E721" s="342"/>
      <c r="F721" s="343"/>
      <c r="G721" s="341"/>
      <c r="H721" s="194"/>
    </row>
    <row r="722" spans="1:8" x14ac:dyDescent="0.25">
      <c r="A722" s="339"/>
      <c r="B722" s="340"/>
      <c r="C722" s="386"/>
      <c r="D722" s="382"/>
      <c r="E722" s="342"/>
      <c r="F722" s="343"/>
      <c r="G722" s="341"/>
      <c r="H722" s="194"/>
    </row>
    <row r="723" spans="1:8" x14ac:dyDescent="0.25">
      <c r="A723" s="339"/>
      <c r="B723" s="340"/>
      <c r="C723" s="386"/>
      <c r="D723" s="382"/>
      <c r="E723" s="342"/>
      <c r="F723" s="343"/>
      <c r="G723" s="341"/>
      <c r="H723" s="194"/>
    </row>
    <row r="724" spans="1:8" x14ac:dyDescent="0.25">
      <c r="A724" s="339"/>
      <c r="B724" s="340"/>
      <c r="C724" s="386"/>
      <c r="D724" s="382"/>
      <c r="E724" s="342"/>
      <c r="F724" s="343"/>
      <c r="G724" s="341"/>
      <c r="H724" s="194"/>
    </row>
    <row r="725" spans="1:8" x14ac:dyDescent="0.25">
      <c r="A725" s="339"/>
      <c r="B725" s="340"/>
      <c r="C725" s="386"/>
      <c r="D725" s="382"/>
      <c r="E725" s="342"/>
      <c r="F725" s="343"/>
      <c r="G725" s="341"/>
      <c r="H725" s="194"/>
    </row>
    <row r="726" spans="1:8" x14ac:dyDescent="0.25">
      <c r="A726" s="339"/>
      <c r="B726" s="340"/>
      <c r="C726" s="386"/>
      <c r="D726" s="382"/>
      <c r="E726" s="342"/>
      <c r="F726" s="343"/>
      <c r="G726" s="341"/>
      <c r="H726" s="194"/>
    </row>
    <row r="727" spans="1:8" x14ac:dyDescent="0.25">
      <c r="A727" s="339"/>
      <c r="B727" s="340"/>
      <c r="C727" s="386"/>
      <c r="D727" s="382"/>
      <c r="E727" s="342"/>
      <c r="F727" s="343"/>
      <c r="G727" s="341"/>
      <c r="H727" s="194"/>
    </row>
    <row r="728" spans="1:8" x14ac:dyDescent="0.25">
      <c r="A728" s="339"/>
      <c r="B728" s="340"/>
      <c r="C728" s="386"/>
      <c r="D728" s="382"/>
      <c r="E728" s="342"/>
      <c r="F728" s="343"/>
      <c r="G728" s="341"/>
      <c r="H728" s="194"/>
    </row>
    <row r="729" spans="1:8" x14ac:dyDescent="0.25">
      <c r="A729" s="339"/>
      <c r="B729" s="340"/>
      <c r="C729" s="386"/>
      <c r="D729" s="382"/>
      <c r="E729" s="342"/>
      <c r="F729" s="343"/>
      <c r="G729" s="341"/>
      <c r="H729" s="194"/>
    </row>
    <row r="730" spans="1:8" x14ac:dyDescent="0.25">
      <c r="A730" s="339"/>
      <c r="B730" s="340"/>
      <c r="C730" s="386"/>
      <c r="D730" s="382"/>
      <c r="E730" s="342"/>
      <c r="F730" s="343"/>
      <c r="G730" s="341"/>
      <c r="H730" s="194"/>
    </row>
    <row r="731" spans="1:8" x14ac:dyDescent="0.25">
      <c r="A731" s="339"/>
      <c r="B731" s="340"/>
      <c r="C731" s="386"/>
      <c r="D731" s="382"/>
      <c r="E731" s="342"/>
      <c r="F731" s="343"/>
      <c r="G731" s="341"/>
      <c r="H731" s="194"/>
    </row>
    <row r="732" spans="1:8" x14ac:dyDescent="0.25">
      <c r="A732" s="339"/>
      <c r="B732" s="340"/>
      <c r="C732" s="386"/>
      <c r="D732" s="382"/>
      <c r="E732" s="342"/>
      <c r="F732" s="343"/>
      <c r="G732" s="341"/>
      <c r="H732" s="194"/>
    </row>
    <row r="733" spans="1:8" x14ac:dyDescent="0.25">
      <c r="A733" s="339"/>
      <c r="B733" s="340"/>
      <c r="C733" s="386"/>
      <c r="D733" s="382"/>
      <c r="E733" s="342"/>
      <c r="F733" s="343"/>
      <c r="G733" s="341"/>
      <c r="H733" s="194"/>
    </row>
    <row r="734" spans="1:8" x14ac:dyDescent="0.25">
      <c r="A734" s="339"/>
      <c r="B734" s="340"/>
      <c r="C734" s="386"/>
      <c r="D734" s="382"/>
      <c r="E734" s="342"/>
      <c r="F734" s="343"/>
      <c r="G734" s="341"/>
      <c r="H734" s="194"/>
    </row>
    <row r="735" spans="1:8" x14ac:dyDescent="0.25">
      <c r="A735" s="339"/>
      <c r="B735" s="340"/>
      <c r="C735" s="386"/>
      <c r="D735" s="382"/>
      <c r="E735" s="342"/>
      <c r="F735" s="343"/>
      <c r="G735" s="341"/>
      <c r="H735" s="194"/>
    </row>
    <row r="736" spans="1:8" x14ac:dyDescent="0.25">
      <c r="A736" s="339"/>
      <c r="B736" s="340"/>
      <c r="C736" s="386"/>
      <c r="D736" s="382"/>
      <c r="E736" s="342"/>
      <c r="F736" s="343"/>
      <c r="G736" s="341"/>
      <c r="H736" s="194"/>
    </row>
    <row r="737" spans="1:8" x14ac:dyDescent="0.25">
      <c r="A737" s="339"/>
      <c r="B737" s="340"/>
      <c r="C737" s="386"/>
      <c r="D737" s="382"/>
      <c r="E737" s="342"/>
      <c r="F737" s="343"/>
      <c r="G737" s="341"/>
      <c r="H737" s="194"/>
    </row>
    <row r="738" spans="1:8" x14ac:dyDescent="0.25">
      <c r="A738" s="339"/>
      <c r="B738" s="340"/>
      <c r="C738" s="386"/>
      <c r="D738" s="382"/>
      <c r="E738" s="342"/>
      <c r="F738" s="343"/>
      <c r="G738" s="341"/>
      <c r="H738" s="194"/>
    </row>
    <row r="739" spans="1:8" x14ac:dyDescent="0.25">
      <c r="A739" s="339"/>
      <c r="B739" s="340"/>
      <c r="C739" s="386"/>
      <c r="D739" s="382"/>
      <c r="E739" s="342"/>
      <c r="F739" s="343"/>
      <c r="G739" s="341"/>
      <c r="H739" s="194"/>
    </row>
    <row r="740" spans="1:8" x14ac:dyDescent="0.25">
      <c r="A740" s="339"/>
      <c r="B740" s="340"/>
      <c r="C740" s="386"/>
      <c r="D740" s="382"/>
      <c r="E740" s="342"/>
      <c r="F740" s="343"/>
      <c r="G740" s="341"/>
      <c r="H740" s="194"/>
    </row>
    <row r="741" spans="1:8" x14ac:dyDescent="0.25">
      <c r="A741" s="339"/>
      <c r="B741" s="340"/>
      <c r="C741" s="386"/>
      <c r="D741" s="382"/>
      <c r="E741" s="342"/>
      <c r="F741" s="343"/>
      <c r="G741" s="341"/>
      <c r="H741" s="194"/>
    </row>
    <row r="742" spans="1:8" x14ac:dyDescent="0.25">
      <c r="A742" s="339"/>
      <c r="B742" s="340"/>
      <c r="C742" s="386"/>
      <c r="D742" s="382"/>
      <c r="E742" s="342"/>
      <c r="F742" s="343"/>
      <c r="G742" s="341"/>
      <c r="H742" s="194"/>
    </row>
    <row r="743" spans="1:8" x14ac:dyDescent="0.25">
      <c r="A743" s="339"/>
      <c r="B743" s="340"/>
      <c r="C743" s="386"/>
      <c r="D743" s="382"/>
      <c r="E743" s="342"/>
      <c r="F743" s="343"/>
      <c r="G743" s="341"/>
      <c r="H743" s="194"/>
    </row>
    <row r="744" spans="1:8" x14ac:dyDescent="0.25">
      <c r="A744" s="339"/>
      <c r="B744" s="340"/>
      <c r="C744" s="386"/>
      <c r="D744" s="382"/>
      <c r="E744" s="342"/>
      <c r="F744" s="343"/>
      <c r="G744" s="341"/>
      <c r="H744" s="194"/>
    </row>
    <row r="745" spans="1:8" x14ac:dyDescent="0.25">
      <c r="A745" s="339"/>
      <c r="B745" s="340"/>
      <c r="C745" s="386"/>
      <c r="D745" s="382"/>
      <c r="E745" s="342"/>
      <c r="F745" s="343"/>
      <c r="G745" s="341"/>
      <c r="H745" s="194"/>
    </row>
    <row r="746" spans="1:8" x14ac:dyDescent="0.25">
      <c r="A746" s="339"/>
      <c r="B746" s="340"/>
      <c r="C746" s="386"/>
      <c r="D746" s="382"/>
      <c r="E746" s="342"/>
      <c r="F746" s="343"/>
      <c r="G746" s="341"/>
      <c r="H746" s="194"/>
    </row>
    <row r="747" spans="1:8" x14ac:dyDescent="0.25">
      <c r="A747" s="339"/>
      <c r="B747" s="340"/>
      <c r="C747" s="386"/>
      <c r="D747" s="382"/>
      <c r="E747" s="342"/>
      <c r="F747" s="343"/>
      <c r="G747" s="341"/>
      <c r="H747" s="194"/>
    </row>
    <row r="748" spans="1:8" x14ac:dyDescent="0.25">
      <c r="A748" s="339"/>
      <c r="B748" s="340"/>
      <c r="C748" s="386"/>
      <c r="D748" s="382"/>
      <c r="E748" s="342"/>
      <c r="F748" s="343"/>
      <c r="G748" s="341"/>
      <c r="H748" s="194"/>
    </row>
    <row r="749" spans="1:8" x14ac:dyDescent="0.25">
      <c r="A749" s="339"/>
      <c r="B749" s="340"/>
      <c r="C749" s="386"/>
      <c r="D749" s="382"/>
      <c r="E749" s="342"/>
      <c r="F749" s="343"/>
      <c r="G749" s="341"/>
      <c r="H749" s="194"/>
    </row>
    <row r="750" spans="1:8" x14ac:dyDescent="0.25">
      <c r="A750" s="339"/>
      <c r="B750" s="340"/>
      <c r="C750" s="386"/>
      <c r="D750" s="382"/>
      <c r="E750" s="342"/>
      <c r="F750" s="343"/>
      <c r="G750" s="341"/>
      <c r="H750" s="194"/>
    </row>
    <row r="751" spans="1:8" x14ac:dyDescent="0.25">
      <c r="A751" s="339"/>
      <c r="B751" s="340"/>
      <c r="C751" s="386"/>
      <c r="D751" s="382"/>
      <c r="E751" s="342"/>
      <c r="F751" s="343"/>
      <c r="G751" s="341"/>
      <c r="H751" s="194"/>
    </row>
    <row r="752" spans="1:8" x14ac:dyDescent="0.25">
      <c r="A752" s="339"/>
      <c r="B752" s="340"/>
      <c r="C752" s="386"/>
      <c r="D752" s="382"/>
      <c r="E752" s="342"/>
      <c r="F752" s="343"/>
      <c r="G752" s="341"/>
      <c r="H752" s="194"/>
    </row>
    <row r="753" spans="1:8" x14ac:dyDescent="0.25">
      <c r="A753" s="339"/>
      <c r="B753" s="340"/>
      <c r="C753" s="386"/>
      <c r="D753" s="382"/>
      <c r="E753" s="342"/>
      <c r="F753" s="343"/>
      <c r="G753" s="341"/>
      <c r="H753" s="194"/>
    </row>
    <row r="754" spans="1:8" x14ac:dyDescent="0.25">
      <c r="A754" s="339"/>
      <c r="B754" s="340"/>
      <c r="C754" s="386"/>
      <c r="D754" s="382"/>
      <c r="E754" s="342"/>
      <c r="F754" s="343"/>
      <c r="G754" s="341"/>
      <c r="H754" s="194"/>
    </row>
    <row r="755" spans="1:8" x14ac:dyDescent="0.25">
      <c r="A755" s="339"/>
      <c r="B755" s="340"/>
      <c r="C755" s="386"/>
      <c r="D755" s="382"/>
      <c r="E755" s="342"/>
      <c r="F755" s="343"/>
      <c r="G755" s="341"/>
      <c r="H755" s="194"/>
    </row>
    <row r="756" spans="1:8" x14ac:dyDescent="0.25">
      <c r="A756" s="339"/>
      <c r="B756" s="340"/>
      <c r="C756" s="386"/>
      <c r="D756" s="382"/>
      <c r="E756" s="342"/>
      <c r="F756" s="343"/>
      <c r="G756" s="341"/>
      <c r="H756" s="194"/>
    </row>
    <row r="757" spans="1:8" x14ac:dyDescent="0.25">
      <c r="A757" s="339"/>
      <c r="B757" s="340"/>
      <c r="C757" s="386"/>
      <c r="D757" s="382"/>
      <c r="E757" s="342"/>
      <c r="F757" s="343"/>
      <c r="G757" s="341"/>
      <c r="H757" s="194"/>
    </row>
    <row r="758" spans="1:8" x14ac:dyDescent="0.25">
      <c r="A758" s="339"/>
      <c r="B758" s="340"/>
      <c r="C758" s="386"/>
      <c r="D758" s="382"/>
      <c r="E758" s="342"/>
      <c r="F758" s="343"/>
      <c r="G758" s="341"/>
      <c r="H758" s="194"/>
    </row>
    <row r="759" spans="1:8" x14ac:dyDescent="0.25">
      <c r="A759" s="339"/>
      <c r="B759" s="340"/>
      <c r="C759" s="386"/>
      <c r="D759" s="382"/>
      <c r="E759" s="342"/>
      <c r="F759" s="343"/>
      <c r="G759" s="341"/>
      <c r="H759" s="194"/>
    </row>
    <row r="760" spans="1:8" x14ac:dyDescent="0.25">
      <c r="A760" s="339"/>
      <c r="B760" s="340"/>
      <c r="C760" s="386"/>
      <c r="D760" s="382"/>
      <c r="E760" s="342"/>
      <c r="F760" s="343"/>
      <c r="G760" s="341"/>
      <c r="H760" s="194"/>
    </row>
    <row r="761" spans="1:8" x14ac:dyDescent="0.25">
      <c r="A761" s="339"/>
      <c r="B761" s="340"/>
      <c r="C761" s="386"/>
      <c r="D761" s="382"/>
      <c r="E761" s="342"/>
      <c r="F761" s="343"/>
      <c r="G761" s="341"/>
      <c r="H761" s="194"/>
    </row>
    <row r="762" spans="1:8" x14ac:dyDescent="0.25">
      <c r="A762" s="339"/>
      <c r="B762" s="340"/>
      <c r="C762" s="386"/>
      <c r="D762" s="382"/>
      <c r="E762" s="342"/>
      <c r="F762" s="343"/>
      <c r="G762" s="341"/>
      <c r="H762" s="194"/>
    </row>
    <row r="763" spans="1:8" x14ac:dyDescent="0.25">
      <c r="A763" s="339"/>
      <c r="B763" s="340"/>
      <c r="C763" s="386"/>
      <c r="D763" s="382"/>
      <c r="E763" s="342"/>
      <c r="F763" s="343"/>
      <c r="G763" s="341"/>
      <c r="H763" s="194"/>
    </row>
    <row r="764" spans="1:8" x14ac:dyDescent="0.25">
      <c r="A764" s="339"/>
      <c r="B764" s="340"/>
      <c r="C764" s="386"/>
      <c r="D764" s="382"/>
      <c r="E764" s="342"/>
      <c r="F764" s="343"/>
      <c r="G764" s="341"/>
      <c r="H764" s="194"/>
    </row>
    <row r="765" spans="1:8" x14ac:dyDescent="0.25">
      <c r="A765" s="339"/>
      <c r="B765" s="340"/>
      <c r="C765" s="386"/>
      <c r="D765" s="382"/>
      <c r="E765" s="342"/>
      <c r="F765" s="343"/>
      <c r="G765" s="341"/>
      <c r="H765" s="194"/>
    </row>
    <row r="766" spans="1:8" x14ac:dyDescent="0.25">
      <c r="A766" s="339"/>
      <c r="B766" s="340"/>
      <c r="C766" s="386"/>
      <c r="D766" s="382"/>
      <c r="E766" s="342"/>
      <c r="F766" s="343"/>
      <c r="G766" s="341"/>
      <c r="H766" s="194"/>
    </row>
    <row r="767" spans="1:8" x14ac:dyDescent="0.25">
      <c r="A767" s="339"/>
      <c r="B767" s="340"/>
      <c r="C767" s="386"/>
      <c r="D767" s="382"/>
      <c r="E767" s="342"/>
      <c r="F767" s="343"/>
      <c r="G767" s="341"/>
      <c r="H767" s="194"/>
    </row>
    <row r="768" spans="1:8" x14ac:dyDescent="0.25">
      <c r="A768" s="339"/>
      <c r="B768" s="340"/>
      <c r="C768" s="386"/>
      <c r="D768" s="382"/>
      <c r="E768" s="342"/>
      <c r="F768" s="343"/>
      <c r="G768" s="341"/>
      <c r="H768" s="194"/>
    </row>
    <row r="769" spans="1:8" x14ac:dyDescent="0.25">
      <c r="A769" s="339"/>
      <c r="B769" s="340"/>
      <c r="C769" s="386"/>
      <c r="D769" s="382"/>
      <c r="E769" s="342"/>
      <c r="F769" s="343"/>
      <c r="G769" s="341"/>
      <c r="H769" s="194"/>
    </row>
    <row r="770" spans="1:8" x14ac:dyDescent="0.25">
      <c r="A770" s="339"/>
      <c r="B770" s="340"/>
      <c r="C770" s="386"/>
      <c r="D770" s="382"/>
      <c r="E770" s="342"/>
      <c r="F770" s="343"/>
      <c r="G770" s="341"/>
      <c r="H770" s="194"/>
    </row>
    <row r="771" spans="1:8" x14ac:dyDescent="0.25">
      <c r="A771" s="339"/>
      <c r="B771" s="340"/>
      <c r="C771" s="386"/>
      <c r="D771" s="382"/>
      <c r="E771" s="342"/>
      <c r="F771" s="343"/>
      <c r="G771" s="341"/>
      <c r="H771" s="194"/>
    </row>
    <row r="772" spans="1:8" x14ac:dyDescent="0.25">
      <c r="A772" s="339"/>
      <c r="B772" s="340"/>
      <c r="C772" s="386"/>
      <c r="D772" s="382"/>
      <c r="E772" s="342"/>
      <c r="F772" s="343"/>
      <c r="G772" s="341"/>
      <c r="H772" s="194"/>
    </row>
    <row r="773" spans="1:8" x14ac:dyDescent="0.25">
      <c r="A773" s="339"/>
      <c r="B773" s="340"/>
      <c r="C773" s="386"/>
      <c r="D773" s="382"/>
      <c r="E773" s="342"/>
      <c r="F773" s="343"/>
      <c r="G773" s="341"/>
      <c r="H773" s="194"/>
    </row>
    <row r="774" spans="1:8" x14ac:dyDescent="0.25">
      <c r="A774" s="339"/>
      <c r="B774" s="340"/>
      <c r="C774" s="386"/>
      <c r="D774" s="382"/>
      <c r="E774" s="342"/>
      <c r="F774" s="343"/>
      <c r="G774" s="341"/>
      <c r="H774" s="194"/>
    </row>
    <row r="775" spans="1:8" x14ac:dyDescent="0.25">
      <c r="A775" s="339"/>
      <c r="B775" s="340"/>
      <c r="C775" s="386"/>
      <c r="D775" s="382"/>
      <c r="E775" s="342"/>
      <c r="F775" s="343"/>
      <c r="G775" s="341"/>
      <c r="H775" s="194"/>
    </row>
    <row r="776" spans="1:8" x14ac:dyDescent="0.25">
      <c r="A776" s="339"/>
      <c r="B776" s="340"/>
      <c r="C776" s="386"/>
      <c r="D776" s="382"/>
      <c r="E776" s="342"/>
      <c r="F776" s="343"/>
      <c r="G776" s="341"/>
      <c r="H776" s="194"/>
    </row>
    <row r="777" spans="1:8" x14ac:dyDescent="0.25">
      <c r="A777" s="339"/>
      <c r="B777" s="340"/>
      <c r="C777" s="386"/>
      <c r="D777" s="382"/>
      <c r="E777" s="342"/>
      <c r="F777" s="343"/>
      <c r="G777" s="341"/>
      <c r="H777" s="194"/>
    </row>
    <row r="778" spans="1:8" x14ac:dyDescent="0.25">
      <c r="A778" s="339"/>
      <c r="B778" s="340"/>
      <c r="C778" s="386"/>
      <c r="D778" s="382"/>
      <c r="E778" s="342"/>
      <c r="F778" s="343"/>
      <c r="G778" s="341"/>
      <c r="H778" s="194"/>
    </row>
    <row r="779" spans="1:8" x14ac:dyDescent="0.25">
      <c r="A779" s="339"/>
      <c r="B779" s="340"/>
      <c r="C779" s="386"/>
      <c r="D779" s="382"/>
      <c r="E779" s="342"/>
      <c r="F779" s="343"/>
      <c r="G779" s="341"/>
      <c r="H779" s="194"/>
    </row>
    <row r="780" spans="1:8" x14ac:dyDescent="0.25">
      <c r="A780" s="339"/>
      <c r="B780" s="340"/>
      <c r="C780" s="386"/>
      <c r="D780" s="382"/>
      <c r="E780" s="342"/>
      <c r="F780" s="343"/>
      <c r="G780" s="341"/>
      <c r="H780" s="194"/>
    </row>
    <row r="781" spans="1:8" x14ac:dyDescent="0.25">
      <c r="A781" s="339"/>
      <c r="B781" s="340"/>
      <c r="C781" s="386"/>
      <c r="D781" s="382"/>
      <c r="E781" s="342"/>
      <c r="F781" s="343"/>
      <c r="G781" s="341"/>
      <c r="H781" s="194"/>
    </row>
    <row r="782" spans="1:8" x14ac:dyDescent="0.25">
      <c r="A782" s="339"/>
      <c r="B782" s="340"/>
      <c r="C782" s="386"/>
      <c r="D782" s="382"/>
      <c r="E782" s="342"/>
      <c r="F782" s="343"/>
      <c r="G782" s="341"/>
      <c r="H782" s="194"/>
    </row>
    <row r="783" spans="1:8" x14ac:dyDescent="0.25">
      <c r="A783" s="339"/>
      <c r="B783" s="340"/>
      <c r="C783" s="386"/>
      <c r="D783" s="382"/>
      <c r="E783" s="342"/>
      <c r="F783" s="343"/>
      <c r="G783" s="341"/>
      <c r="H783" s="194"/>
    </row>
    <row r="784" spans="1:8" x14ac:dyDescent="0.25">
      <c r="A784" s="339"/>
      <c r="B784" s="340"/>
      <c r="C784" s="386"/>
      <c r="D784" s="382"/>
      <c r="E784" s="342"/>
      <c r="F784" s="343"/>
      <c r="G784" s="341"/>
      <c r="H784" s="194"/>
    </row>
    <row r="785" spans="1:8" x14ac:dyDescent="0.25">
      <c r="A785" s="339"/>
      <c r="B785" s="340"/>
      <c r="C785" s="386"/>
      <c r="D785" s="382"/>
      <c r="E785" s="342"/>
      <c r="F785" s="343"/>
      <c r="G785" s="341"/>
      <c r="H785" s="194"/>
    </row>
    <row r="786" spans="1:8" x14ac:dyDescent="0.25">
      <c r="A786" s="339"/>
      <c r="B786" s="340"/>
      <c r="C786" s="386"/>
      <c r="D786" s="382"/>
      <c r="E786" s="342"/>
      <c r="F786" s="343"/>
      <c r="G786" s="341"/>
      <c r="H786" s="194"/>
    </row>
  </sheetData>
  <mergeCells count="4">
    <mergeCell ref="A1:F1"/>
    <mergeCell ref="A2:F2"/>
    <mergeCell ref="A5:A6"/>
    <mergeCell ref="A344:A345"/>
  </mergeCells>
  <conditionalFormatting sqref="A492">
    <cfRule type="cellIs" dxfId="453" priority="43" operator="equal">
      <formula>"x"</formula>
    </cfRule>
  </conditionalFormatting>
  <conditionalFormatting sqref="D150:D151 D64:D65 D153:D155 D67:D89 D91:D102">
    <cfRule type="cellIs" dxfId="452" priority="42" operator="notEqual">
      <formula>#REF!</formula>
    </cfRule>
  </conditionalFormatting>
  <conditionalFormatting sqref="A492">
    <cfRule type="iconSet" priority="41">
      <iconSet iconSet="3Flags" showValue="0">
        <cfvo type="percent" val="0"/>
        <cfvo type="num" val="0"/>
        <cfvo type="num" val="1"/>
      </iconSet>
    </cfRule>
  </conditionalFormatting>
  <conditionalFormatting sqref="D165:D169 D171:D190">
    <cfRule type="cellIs" dxfId="451" priority="40" operator="notEqual">
      <formula>#REF!</formula>
    </cfRule>
  </conditionalFormatting>
  <conditionalFormatting sqref="H320">
    <cfRule type="cellIs" dxfId="450" priority="39" operator="notEqual">
      <formula>A320</formula>
    </cfRule>
  </conditionalFormatting>
  <conditionalFormatting sqref="D156:D157">
    <cfRule type="cellIs" dxfId="449" priority="38" operator="notEqual">
      <formula>#REF!</formula>
    </cfRule>
  </conditionalFormatting>
  <conditionalFormatting sqref="D159">
    <cfRule type="cellIs" dxfId="448" priority="37" operator="notEqual">
      <formula>#REF!</formula>
    </cfRule>
  </conditionalFormatting>
  <conditionalFormatting sqref="D152">
    <cfRule type="cellIs" dxfId="447" priority="36" operator="notEqual">
      <formula>#REF!</formula>
    </cfRule>
  </conditionalFormatting>
  <conditionalFormatting sqref="D170">
    <cfRule type="cellIs" dxfId="446" priority="35" operator="notEqual">
      <formula>#REF!</formula>
    </cfRule>
  </conditionalFormatting>
  <conditionalFormatting sqref="D160">
    <cfRule type="cellIs" dxfId="445" priority="34" operator="notEqual">
      <formula>#REF!</formula>
    </cfRule>
  </conditionalFormatting>
  <conditionalFormatting sqref="D162">
    <cfRule type="cellIs" dxfId="444" priority="33" operator="notEqual">
      <formula>#REF!</formula>
    </cfRule>
  </conditionalFormatting>
  <conditionalFormatting sqref="D161">
    <cfRule type="cellIs" dxfId="443" priority="32" operator="notEqual">
      <formula>#REF!</formula>
    </cfRule>
  </conditionalFormatting>
  <conditionalFormatting sqref="D181">
    <cfRule type="cellIs" dxfId="442" priority="17" operator="notEqual">
      <formula>#REF!</formula>
    </cfRule>
  </conditionalFormatting>
  <conditionalFormatting sqref="D160:D161 D163:D165">
    <cfRule type="cellIs" dxfId="441" priority="16" operator="notEqual">
      <formula>#REF!</formula>
    </cfRule>
  </conditionalFormatting>
  <conditionalFormatting sqref="D166:D168">
    <cfRule type="cellIs" dxfId="440" priority="15" operator="notEqual">
      <formula>#REF!</formula>
    </cfRule>
  </conditionalFormatting>
  <conditionalFormatting sqref="D169">
    <cfRule type="cellIs" dxfId="439" priority="14" operator="notEqual">
      <formula>#REF!</formula>
    </cfRule>
  </conditionalFormatting>
  <conditionalFormatting sqref="D162">
    <cfRule type="cellIs" dxfId="438" priority="13" operator="notEqual">
      <formula>#REF!</formula>
    </cfRule>
  </conditionalFormatting>
  <conditionalFormatting sqref="D170">
    <cfRule type="cellIs" dxfId="437" priority="12" operator="notEqual">
      <formula>#REF!</formula>
    </cfRule>
  </conditionalFormatting>
  <conditionalFormatting sqref="D172">
    <cfRule type="cellIs" dxfId="436" priority="11" operator="notEqual">
      <formula>#REF!</formula>
    </cfRule>
  </conditionalFormatting>
  <conditionalFormatting sqref="D171">
    <cfRule type="cellIs" dxfId="435" priority="10" operator="notEqual">
      <formula>#REF!</formula>
    </cfRule>
  </conditionalFormatting>
  <conditionalFormatting sqref="D173:D174">
    <cfRule type="cellIs" dxfId="434" priority="9" operator="notEqual">
      <formula>#REF!</formula>
    </cfRule>
  </conditionalFormatting>
  <conditionalFormatting sqref="D172">
    <cfRule type="cellIs" dxfId="433" priority="8" operator="notEqual">
      <formula>#REF!</formula>
    </cfRule>
  </conditionalFormatting>
  <conditionalFormatting sqref="D90">
    <cfRule type="cellIs" dxfId="432" priority="7" operator="notEqual">
      <formula>#REF!</formula>
    </cfRule>
  </conditionalFormatting>
  <conditionalFormatting sqref="J152">
    <cfRule type="cellIs" dxfId="431" priority="6" operator="notEqual">
      <formula>#REF!</formula>
    </cfRule>
  </conditionalFormatting>
  <conditionalFormatting sqref="J151">
    <cfRule type="cellIs" dxfId="430" priority="5" operator="notEqual">
      <formula>#REF!</formula>
    </cfRule>
  </conditionalFormatting>
  <conditionalFormatting sqref="J171:J172">
    <cfRule type="cellIs" dxfId="429" priority="4" operator="notEqual">
      <formula>#REF!</formula>
    </cfRule>
  </conditionalFormatting>
  <conditionalFormatting sqref="J171">
    <cfRule type="cellIs" dxfId="428" priority="3" operator="notEqual">
      <formula>#REF!</formula>
    </cfRule>
  </conditionalFormatting>
  <conditionalFormatting sqref="J172">
    <cfRule type="cellIs" dxfId="427" priority="2" operator="notEqual">
      <formula>#REF!</formula>
    </cfRule>
  </conditionalFormatting>
  <conditionalFormatting sqref="J171">
    <cfRule type="cellIs" dxfId="426" priority="1" operator="notEqual">
      <formula>#REF!</formula>
    </cfRule>
  </conditionalFormatting>
  <pageMargins left="0.7" right="0.7" top="0.78740157499999996" bottom="0.78740157499999996" header="0.3" footer="0.3"/>
  <pageSetup paperSize="9" orientation="portrait"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K498"/>
  <sheetViews>
    <sheetView topLeftCell="A5" zoomScale="115" zoomScaleNormal="115" workbookViewId="0">
      <selection activeCell="K495" sqref="K495"/>
    </sheetView>
  </sheetViews>
  <sheetFormatPr defaultRowHeight="12.75" x14ac:dyDescent="0.2"/>
  <cols>
    <col min="1" max="1" width="60.5703125" bestFit="1" customWidth="1"/>
    <col min="2" max="2" width="26.140625" bestFit="1" customWidth="1"/>
    <col min="3" max="3" width="17.7109375" customWidth="1"/>
    <col min="4" max="4" width="11.140625" bestFit="1" customWidth="1"/>
    <col min="5" max="5" width="15.42578125" bestFit="1" customWidth="1"/>
  </cols>
  <sheetData>
    <row r="2" spans="1:5" ht="13.5" thickBot="1" x14ac:dyDescent="0.25">
      <c r="A2">
        <v>13</v>
      </c>
    </row>
    <row r="3" spans="1:5" x14ac:dyDescent="0.2">
      <c r="B3" s="682" t="s">
        <v>71</v>
      </c>
      <c r="C3" s="683"/>
      <c r="D3" s="151" t="s">
        <v>3</v>
      </c>
      <c r="E3" s="146" t="s">
        <v>4</v>
      </c>
    </row>
    <row r="4" spans="1:5" ht="13.5" thickBot="1" x14ac:dyDescent="0.25">
      <c r="B4" s="684" t="str">
        <f>INDEX($A$16:$A$28,A2)</f>
        <v>4232 Investiční přijaté transfery od mezinárodních institucí</v>
      </c>
      <c r="C4" s="685"/>
      <c r="D4" s="124">
        <f>SUMIF('MB 7'!F7:F477,INDEX('MB 7'!B492:B504,$A$2),'MB 7'!$C$7:$C$477)</f>
        <v>0</v>
      </c>
      <c r="E4" s="124">
        <f>SUMIF('MB 7'!F$7:F$477, INDEX('MB 7'!$B492:$B504,$A$2),'MB 7'!$D7:$D477)</f>
        <v>876199.86</v>
      </c>
    </row>
    <row r="14" spans="1:5" ht="13.5" thickBot="1" x14ac:dyDescent="0.25"/>
    <row r="15" spans="1:5" ht="13.5" thickBot="1" x14ac:dyDescent="0.25">
      <c r="A15" s="127" t="s">
        <v>71</v>
      </c>
      <c r="B15" s="152" t="s">
        <v>90</v>
      </c>
      <c r="C15" s="153" t="s">
        <v>4</v>
      </c>
    </row>
    <row r="16" spans="1:5" x14ac:dyDescent="0.2">
      <c r="A16" s="125" t="s">
        <v>70</v>
      </c>
      <c r="B16" s="126">
        <f>+SUMIF('MB 7'!$F$7:$F$477,'MB 7'!$B492,'MB 7'!$C$7:$C$477)</f>
        <v>0</v>
      </c>
      <c r="C16" s="126">
        <f>+SUMIF('MB 7'!$F$7:$F$477,'MB 7'!$B492,'MB 7'!$D$7:$D$477)</f>
        <v>0</v>
      </c>
    </row>
    <row r="17" spans="1:3" x14ac:dyDescent="0.2">
      <c r="A17" s="123" t="s">
        <v>87</v>
      </c>
      <c r="B17" s="126">
        <f>+SUMIF('MB 7'!$F$7:$F$477,'MB 7'!$B493,'MB 7'!$C$7:$C$477)</f>
        <v>5947.4719100000011</v>
      </c>
      <c r="C17" s="126">
        <f>+SUMIF('MB 7'!$F$7:$F$477,'MB 7'!$B493,'MB 7'!$D$7:$D$477)</f>
        <v>2790001.91</v>
      </c>
    </row>
    <row r="18" spans="1:3" x14ac:dyDescent="0.2">
      <c r="A18" s="123" t="s">
        <v>88</v>
      </c>
      <c r="B18" s="126">
        <f>+SUMIF('MB 7'!$F$7:$F$477,'MB 7'!$B494,'MB 7'!$C$7:$C$477)</f>
        <v>105566.44873</v>
      </c>
      <c r="C18" s="126">
        <f>+SUMIF('MB 7'!$F$7:$F$477,'MB 7'!$B494,'MB 7'!$D$7:$D$477)</f>
        <v>117633089.52999999</v>
      </c>
    </row>
    <row r="19" spans="1:3" x14ac:dyDescent="0.2">
      <c r="A19" s="123" t="s">
        <v>89</v>
      </c>
      <c r="B19" s="126">
        <f>+SUMIF('MB 7'!$F$7:$F$477,'MB 7'!$B495,'MB 7'!$C$7:$C$477)</f>
        <v>0</v>
      </c>
      <c r="C19" s="126">
        <f>+SUMIF('MB 7'!$F$7:$F$477,'MB 7'!$B495,'MB 7'!$D$7:$D$477)</f>
        <v>0</v>
      </c>
    </row>
    <row r="20" spans="1:3" x14ac:dyDescent="0.2">
      <c r="A20" s="123" t="s">
        <v>72</v>
      </c>
      <c r="B20" s="126">
        <f>+SUMIF('MB 7'!$F$7:$F$477,'MB 7'!$B496,'MB 7'!$C$7:$C$477)</f>
        <v>108877.30556000001</v>
      </c>
      <c r="C20" s="126">
        <f>+SUMIF('MB 7'!$F$7:$F$477,'MB 7'!$B496,'MB 7'!$D$7:$D$477)</f>
        <v>113137305.56</v>
      </c>
    </row>
    <row r="21" spans="1:3" x14ac:dyDescent="0.2">
      <c r="A21" s="123" t="s">
        <v>73</v>
      </c>
      <c r="B21" s="126">
        <f>+SUMIF('MB 7'!$F$7:$F$477,'MB 7'!$B497,'MB 7'!$C$7:$C$477)</f>
        <v>1808.6522100000002</v>
      </c>
      <c r="C21" s="126">
        <f>+SUMIF('MB 7'!$F$7:$F$477,'MB 7'!$B497,'MB 7'!$D$7:$D$477)</f>
        <v>1808652.21</v>
      </c>
    </row>
    <row r="22" spans="1:3" x14ac:dyDescent="0.2">
      <c r="A22" s="123" t="s">
        <v>74</v>
      </c>
      <c r="B22" s="126">
        <f>+SUMIF('MB 7'!$F$7:$F$477,'MB 7'!$B498,'MB 7'!$C$7:$C$477)</f>
        <v>0</v>
      </c>
      <c r="C22" s="126">
        <f>+SUMIF('MB 7'!$F$7:$F$477,'MB 7'!$B498,'MB 7'!$D$7:$D$477)</f>
        <v>0</v>
      </c>
    </row>
    <row r="23" spans="1:3" x14ac:dyDescent="0.2">
      <c r="A23" s="123" t="s">
        <v>75</v>
      </c>
      <c r="B23" s="126">
        <f>+SUMIF('MB 7'!$F$7:$F$477,'MB 7'!$B499,'MB 7'!$C$7:$C$477)</f>
        <v>582</v>
      </c>
      <c r="C23" s="126">
        <f>+SUMIF('MB 7'!$F$7:$F$477,'MB 7'!$B499,'MB 7'!$D$7:$D$477)</f>
        <v>2376443.1100000003</v>
      </c>
    </row>
    <row r="24" spans="1:3" x14ac:dyDescent="0.2">
      <c r="A24" s="123" t="s">
        <v>86</v>
      </c>
      <c r="B24" s="126">
        <f>+SUMIF('MB 7'!$F$7:$F$477,'MB 7'!$B500,'MB 7'!$C$7:$C$477)</f>
        <v>314.97379000000006</v>
      </c>
      <c r="C24" s="126">
        <f>+SUMIF('MB 7'!$F$7:$F$477,'MB 7'!$B500,'MB 7'!$D$7:$D$477)</f>
        <v>1089124.77</v>
      </c>
    </row>
    <row r="25" spans="1:3" x14ac:dyDescent="0.2">
      <c r="A25" s="123" t="s">
        <v>76</v>
      </c>
      <c r="B25" s="126">
        <f>+SUMIF('MB 7'!$F$7:$F$477,'MB 7'!$B501,'MB 7'!$C$7:$C$477)</f>
        <v>34784.132539999999</v>
      </c>
      <c r="C25" s="126">
        <f>+SUMIF('MB 7'!$F$7:$F$477,'MB 7'!$B501,'MB 7'!$D$7:$D$477)</f>
        <v>37843227.43</v>
      </c>
    </row>
    <row r="26" spans="1:3" x14ac:dyDescent="0.2">
      <c r="A26" s="123" t="s">
        <v>77</v>
      </c>
      <c r="B26" s="126">
        <f>+SUMIF('MB 7'!$F$7:$F$477,'MB 7'!$B502,'MB 7'!$C$7:$C$477)</f>
        <v>0</v>
      </c>
      <c r="C26" s="126">
        <f>+SUMIF('MB 7'!$F$7:$F$477,'MB 7'!$B502,'MB 7'!$D$7:$D$477)</f>
        <v>2720000</v>
      </c>
    </row>
    <row r="27" spans="1:3" x14ac:dyDescent="0.2">
      <c r="A27" s="123" t="s">
        <v>78</v>
      </c>
      <c r="B27" s="126">
        <f>+SUMIF('MB 7'!$F$7:$F$477,'MB 7'!$B503,'MB 7'!$C$7:$C$477)</f>
        <v>87703.473750000005</v>
      </c>
      <c r="C27" s="126">
        <f>+SUMIF('MB 7'!$F$7:$F$477,'MB 7'!$B503,'MB 7'!$D$7:$D$477)</f>
        <v>87703473.75</v>
      </c>
    </row>
    <row r="28" spans="1:3" ht="13.5" thickBot="1" x14ac:dyDescent="0.25">
      <c r="A28" s="148" t="s">
        <v>263</v>
      </c>
      <c r="B28" s="126">
        <f>+SUMIF('MB 7'!$F$7:$F$477,'MB 7'!$B505,'MB 7'!$C$7:$C$477)</f>
        <v>0</v>
      </c>
      <c r="C28" s="126">
        <f>+SUMIF('MB 7'!$F$7:$F$477,'MB 7'!$B504,'MB 7'!$D$7:$D$477)</f>
        <v>876199.86</v>
      </c>
    </row>
    <row r="29" spans="1:3" s="147" customFormat="1" ht="13.5" thickBot="1" x14ac:dyDescent="0.25">
      <c r="A29" s="127" t="s">
        <v>85</v>
      </c>
      <c r="B29" s="128">
        <f>+SUM(B16:B28)</f>
        <v>345584.45848999999</v>
      </c>
      <c r="C29" s="129">
        <f>+SUM(C16:C28)</f>
        <v>367977518.13000005</v>
      </c>
    </row>
    <row r="31" spans="1:3" x14ac:dyDescent="0.2">
      <c r="B31">
        <v>304019.03214000002</v>
      </c>
      <c r="C31">
        <v>290589083.17000002</v>
      </c>
    </row>
    <row r="32" spans="1:3" x14ac:dyDescent="0.2">
      <c r="B32" s="178">
        <f>+B29-B31</f>
        <v>41565.426349999965</v>
      </c>
      <c r="C32" s="178">
        <f>+C29-C31</f>
        <v>77388434.960000038</v>
      </c>
    </row>
    <row r="364" spans="4:4" x14ac:dyDescent="0.2">
      <c r="D364" s="414"/>
    </row>
    <row r="365" spans="4:4" x14ac:dyDescent="0.2">
      <c r="D365" s="414"/>
    </row>
    <row r="366" spans="4:4" x14ac:dyDescent="0.2">
      <c r="D366" s="414"/>
    </row>
    <row r="367" spans="4:4" x14ac:dyDescent="0.2">
      <c r="D367" s="414"/>
    </row>
    <row r="368" spans="4:4" x14ac:dyDescent="0.2">
      <c r="D368" s="414"/>
    </row>
    <row r="369" spans="3:4" x14ac:dyDescent="0.2">
      <c r="D369" s="414"/>
    </row>
    <row r="370" spans="3:4" x14ac:dyDescent="0.2">
      <c r="D370" s="414"/>
    </row>
    <row r="371" spans="3:4" x14ac:dyDescent="0.2">
      <c r="D371" s="414"/>
    </row>
    <row r="372" spans="3:4" x14ac:dyDescent="0.2">
      <c r="C372">
        <v>19.5185</v>
      </c>
      <c r="D372" s="414"/>
    </row>
    <row r="373" spans="3:4" x14ac:dyDescent="0.2">
      <c r="D373" s="414"/>
    </row>
    <row r="374" spans="3:4" x14ac:dyDescent="0.2">
      <c r="D374" s="414"/>
    </row>
    <row r="375" spans="3:4" x14ac:dyDescent="0.2">
      <c r="D375" s="414"/>
    </row>
    <row r="376" spans="3:4" x14ac:dyDescent="0.2">
      <c r="D376" s="414"/>
    </row>
    <row r="389" spans="3:8" x14ac:dyDescent="0.2">
      <c r="C389">
        <v>1.42302</v>
      </c>
    </row>
    <row r="391" spans="3:8" x14ac:dyDescent="0.2">
      <c r="H391" s="414"/>
    </row>
    <row r="392" spans="3:8" x14ac:dyDescent="0.2">
      <c r="H392" s="414"/>
    </row>
    <row r="393" spans="3:8" x14ac:dyDescent="0.2">
      <c r="H393" s="414"/>
    </row>
    <row r="394" spans="3:8" x14ac:dyDescent="0.2">
      <c r="H394" s="414"/>
    </row>
    <row r="395" spans="3:8" x14ac:dyDescent="0.2">
      <c r="H395" s="414"/>
    </row>
    <row r="396" spans="3:8" x14ac:dyDescent="0.2">
      <c r="H396" s="414"/>
    </row>
    <row r="423" spans="3:3" x14ac:dyDescent="0.2">
      <c r="C423">
        <v>24.19134</v>
      </c>
    </row>
    <row r="489" spans="8:11" x14ac:dyDescent="0.2">
      <c r="H489">
        <f>27388800*9</f>
        <v>246499200</v>
      </c>
    </row>
    <row r="494" spans="8:11" x14ac:dyDescent="0.2">
      <c r="J494">
        <v>60000</v>
      </c>
      <c r="K494" t="s">
        <v>412</v>
      </c>
    </row>
    <row r="497" spans="10:10" x14ac:dyDescent="0.2">
      <c r="J497">
        <f>SUM(J488:J496)</f>
        <v>60000</v>
      </c>
    </row>
    <row r="498" spans="10:10" x14ac:dyDescent="0.2">
      <c r="J498">
        <f>+H494+J497</f>
        <v>60000</v>
      </c>
    </row>
  </sheetData>
  <mergeCells count="2">
    <mergeCell ref="B3:C3"/>
    <mergeCell ref="B4:C4"/>
  </mergeCells>
  <pageMargins left="0.7" right="0.7" top="0.78740157499999996" bottom="0.78740157499999996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0897" r:id="rId3" name="Drop Down 1">
              <controlPr defaultSize="0" autoLine="0" autoPict="0">
                <anchor moveWithCells="1">
                  <from>
                    <xdr:col>0</xdr:col>
                    <xdr:colOff>47625</xdr:colOff>
                    <xdr:row>6</xdr:row>
                    <xdr:rowOff>0</xdr:rowOff>
                  </from>
                  <to>
                    <xdr:col>0</xdr:col>
                    <xdr:colOff>2695575</xdr:colOff>
                    <xdr:row>11</xdr:row>
                    <xdr:rowOff>104775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788"/>
  <sheetViews>
    <sheetView topLeftCell="A490" zoomScale="115" zoomScaleNormal="115" workbookViewId="0">
      <selection activeCell="K495" sqref="K495"/>
    </sheetView>
  </sheetViews>
  <sheetFormatPr defaultColWidth="9.140625" defaultRowHeight="15.75" x14ac:dyDescent="0.25"/>
  <cols>
    <col min="1" max="1" width="11.28515625" style="305" customWidth="1"/>
    <col min="2" max="2" width="93.42578125" style="45" customWidth="1"/>
    <col min="3" max="3" width="17.5703125" style="45" customWidth="1"/>
    <col min="4" max="4" width="16.7109375" style="45" customWidth="1"/>
    <col min="5" max="5" width="15.28515625" style="306" customWidth="1"/>
    <col min="6" max="6" width="17.140625" style="306" customWidth="1"/>
    <col min="7" max="7" width="18.7109375" style="269" customWidth="1"/>
    <col min="8" max="8" width="20.28515625" style="45" bestFit="1" customWidth="1"/>
    <col min="9" max="9" width="25" style="45" bestFit="1" customWidth="1"/>
    <col min="10" max="10" width="18.5703125" style="45" bestFit="1" customWidth="1"/>
    <col min="11" max="11" width="19.42578125" style="45" bestFit="1" customWidth="1"/>
    <col min="12" max="12" width="18.7109375" style="45" bestFit="1" customWidth="1"/>
    <col min="13" max="13" width="14.7109375" style="45" customWidth="1"/>
    <col min="14" max="14" width="9.140625" style="45"/>
    <col min="15" max="15" width="92.140625" style="45" bestFit="1" customWidth="1"/>
    <col min="16" max="16" width="9.140625" style="45"/>
    <col min="17" max="17" width="11" style="45" bestFit="1" customWidth="1"/>
    <col min="18" max="16384" width="9.140625" style="45"/>
  </cols>
  <sheetData>
    <row r="1" spans="1:11" ht="22.5" x14ac:dyDescent="0.3">
      <c r="A1" s="689" t="s">
        <v>0</v>
      </c>
      <c r="B1" s="689"/>
      <c r="C1" s="689"/>
      <c r="D1" s="689"/>
      <c r="E1" s="689"/>
      <c r="F1" s="689"/>
    </row>
    <row r="2" spans="1:11" ht="22.5" x14ac:dyDescent="0.3">
      <c r="A2" s="689" t="s">
        <v>410</v>
      </c>
      <c r="B2" s="689"/>
      <c r="C2" s="689"/>
      <c r="D2" s="689"/>
      <c r="E2" s="689"/>
      <c r="F2" s="689"/>
    </row>
    <row r="3" spans="1:11" ht="22.5" x14ac:dyDescent="0.3">
      <c r="A3" s="413"/>
      <c r="B3" s="270"/>
      <c r="C3" s="271"/>
      <c r="D3" s="413"/>
      <c r="E3" s="413"/>
      <c r="F3" s="413"/>
    </row>
    <row r="4" spans="1:11" ht="23.25" thickBot="1" x14ac:dyDescent="0.35">
      <c r="A4" s="413"/>
      <c r="B4" s="413"/>
      <c r="C4" s="413"/>
      <c r="D4" s="413"/>
      <c r="E4" s="413"/>
      <c r="F4" s="269"/>
    </row>
    <row r="5" spans="1:11" x14ac:dyDescent="0.25">
      <c r="A5" s="690" t="s">
        <v>193</v>
      </c>
      <c r="B5" s="5"/>
      <c r="C5" s="5"/>
      <c r="D5" s="117"/>
      <c r="E5" s="266"/>
      <c r="F5" s="266"/>
      <c r="G5" s="79"/>
    </row>
    <row r="6" spans="1:11" ht="16.5" thickBot="1" x14ac:dyDescent="0.3">
      <c r="A6" s="691"/>
      <c r="B6" s="10" t="s">
        <v>2</v>
      </c>
      <c r="C6" s="10" t="s">
        <v>3</v>
      </c>
      <c r="D6" s="118" t="s">
        <v>4</v>
      </c>
      <c r="E6" s="267" t="s">
        <v>5</v>
      </c>
      <c r="F6" s="267" t="s">
        <v>6</v>
      </c>
    </row>
    <row r="7" spans="1:11" s="275" customFormat="1" ht="16.5" hidden="1" thickBot="1" x14ac:dyDescent="0.3">
      <c r="A7" s="272"/>
      <c r="B7" s="273" t="s">
        <v>7</v>
      </c>
      <c r="C7" s="15">
        <f>+SUM(C8:C10)</f>
        <v>0</v>
      </c>
      <c r="D7" s="15">
        <f>+SUM(D8:D10)</f>
        <v>0</v>
      </c>
      <c r="E7" s="274"/>
      <c r="F7" s="274"/>
      <c r="G7" s="45"/>
      <c r="H7" s="45"/>
      <c r="I7" s="399" t="s">
        <v>64</v>
      </c>
      <c r="J7" s="400" t="s">
        <v>355</v>
      </c>
      <c r="K7" s="401" t="s">
        <v>359</v>
      </c>
    </row>
    <row r="8" spans="1:11" hidden="1" x14ac:dyDescent="0.25">
      <c r="A8" s="272"/>
      <c r="B8" s="107"/>
      <c r="C8" s="21"/>
      <c r="D8" s="21"/>
      <c r="E8" s="268"/>
      <c r="F8" s="268">
        <v>4111</v>
      </c>
      <c r="G8" s="45"/>
      <c r="I8" s="397"/>
      <c r="J8" s="155"/>
      <c r="K8" s="398"/>
    </row>
    <row r="9" spans="1:11" hidden="1" x14ac:dyDescent="0.25">
      <c r="A9" s="272"/>
      <c r="B9" s="107"/>
      <c r="C9" s="21"/>
      <c r="D9" s="21"/>
      <c r="E9" s="268"/>
      <c r="F9" s="268">
        <v>4111</v>
      </c>
      <c r="G9" s="45"/>
      <c r="I9" s="392"/>
      <c r="J9" s="388"/>
      <c r="K9" s="393"/>
    </row>
    <row r="10" spans="1:11" hidden="1" x14ac:dyDescent="0.25">
      <c r="A10" s="272"/>
      <c r="B10" s="44"/>
      <c r="C10" s="21"/>
      <c r="D10" s="21"/>
      <c r="E10" s="268"/>
      <c r="F10" s="268"/>
      <c r="G10" s="45"/>
      <c r="I10" s="390"/>
      <c r="J10" s="387"/>
      <c r="K10" s="391"/>
    </row>
    <row r="11" spans="1:11" hidden="1" x14ac:dyDescent="0.25">
      <c r="A11" s="272"/>
      <c r="B11" s="276"/>
      <c r="C11" s="21"/>
      <c r="D11" s="21"/>
      <c r="E11" s="268"/>
      <c r="F11" s="268"/>
      <c r="G11" s="45"/>
      <c r="I11" s="390"/>
      <c r="J11" s="387"/>
      <c r="K11" s="391"/>
    </row>
    <row r="12" spans="1:11" x14ac:dyDescent="0.25">
      <c r="A12" s="43"/>
      <c r="B12" s="273" t="s">
        <v>8</v>
      </c>
      <c r="C12" s="27">
        <f>+SUM(C13:C16)</f>
        <v>5902.2090000000007</v>
      </c>
      <c r="D12" s="27">
        <f>+SUM(D13:D16)</f>
        <v>2756980</v>
      </c>
      <c r="E12" s="67"/>
      <c r="F12" s="277"/>
      <c r="G12" s="45"/>
      <c r="I12" s="390"/>
      <c r="J12" s="387"/>
      <c r="K12" s="391"/>
    </row>
    <row r="13" spans="1:11" x14ac:dyDescent="0.25">
      <c r="A13" s="43"/>
      <c r="B13" s="107" t="s">
        <v>9</v>
      </c>
      <c r="C13" s="347">
        <v>111.04</v>
      </c>
      <c r="D13" s="347">
        <v>55520</v>
      </c>
      <c r="E13" s="268">
        <v>92241</v>
      </c>
      <c r="F13" s="277" t="s">
        <v>10</v>
      </c>
      <c r="G13" s="45"/>
      <c r="I13" s="390"/>
      <c r="J13" s="389">
        <v>55520</v>
      </c>
      <c r="K13" s="391"/>
    </row>
    <row r="14" spans="1:11" x14ac:dyDescent="0.25">
      <c r="A14" s="43"/>
      <c r="B14" s="107" t="s">
        <v>11</v>
      </c>
      <c r="C14" s="347">
        <v>2001.1780000000001</v>
      </c>
      <c r="D14" s="21">
        <f>108171+109620+15221+509931+48588+64784+72882+72882+108171+109620+12241</f>
        <v>1232111</v>
      </c>
      <c r="E14" s="268">
        <v>92241</v>
      </c>
      <c r="F14" s="277" t="s">
        <v>10</v>
      </c>
      <c r="G14" s="384" t="s">
        <v>404</v>
      </c>
      <c r="H14" s="384">
        <v>12241</v>
      </c>
      <c r="I14" s="390"/>
      <c r="J14" s="389">
        <f>1219870</f>
        <v>1219870</v>
      </c>
      <c r="K14" s="391">
        <v>12241</v>
      </c>
    </row>
    <row r="15" spans="1:11" x14ac:dyDescent="0.25">
      <c r="A15" s="43"/>
      <c r="B15" s="107" t="s">
        <v>12</v>
      </c>
      <c r="C15" s="347">
        <v>1575.905</v>
      </c>
      <c r="D15" s="347">
        <f>345411+345411</f>
        <v>690822</v>
      </c>
      <c r="E15" s="268">
        <v>92241</v>
      </c>
      <c r="F15" s="277" t="s">
        <v>10</v>
      </c>
      <c r="G15" s="45"/>
      <c r="I15" s="390"/>
      <c r="J15" s="389">
        <v>690822</v>
      </c>
      <c r="K15" s="391"/>
    </row>
    <row r="16" spans="1:11" x14ac:dyDescent="0.25">
      <c r="A16" s="43"/>
      <c r="B16" s="107" t="s">
        <v>13</v>
      </c>
      <c r="C16" s="347">
        <v>2214.0859999999998</v>
      </c>
      <c r="D16" s="347">
        <v>778527</v>
      </c>
      <c r="E16" s="268">
        <v>92241</v>
      </c>
      <c r="F16" s="277" t="s">
        <v>10</v>
      </c>
      <c r="G16" s="45"/>
      <c r="I16" s="390"/>
      <c r="J16" s="389">
        <v>778527</v>
      </c>
      <c r="K16" s="391"/>
    </row>
    <row r="17" spans="1:11" x14ac:dyDescent="0.25">
      <c r="A17" s="272"/>
      <c r="B17" s="107"/>
      <c r="C17" s="21"/>
      <c r="D17" s="21"/>
      <c r="E17" s="268"/>
      <c r="F17" s="277"/>
      <c r="G17" s="45"/>
      <c r="I17" s="390"/>
      <c r="J17" s="387"/>
      <c r="K17" s="391"/>
    </row>
    <row r="18" spans="1:11" x14ac:dyDescent="0.25">
      <c r="A18" s="272"/>
      <c r="B18" s="273" t="s">
        <v>14</v>
      </c>
      <c r="C18" s="31">
        <f>+SUM(C19:C30)</f>
        <v>40.727090000000004</v>
      </c>
      <c r="D18" s="31">
        <f>+SUM(D19:D30)</f>
        <v>40727.089999999997</v>
      </c>
      <c r="E18" s="268"/>
      <c r="F18" s="277"/>
      <c r="G18" s="45"/>
      <c r="I18" s="390"/>
      <c r="J18" s="387"/>
      <c r="K18" s="391"/>
    </row>
    <row r="19" spans="1:11" x14ac:dyDescent="0.25">
      <c r="A19" s="272">
        <v>42117</v>
      </c>
      <c r="B19" s="276" t="s">
        <v>146</v>
      </c>
      <c r="C19" s="21">
        <v>33.306150000000002</v>
      </c>
      <c r="D19" s="21">
        <v>33306.15</v>
      </c>
      <c r="E19" s="268">
        <v>90001</v>
      </c>
      <c r="F19" s="277">
        <v>4113</v>
      </c>
      <c r="G19" s="45"/>
      <c r="I19" s="390"/>
      <c r="J19" s="387"/>
      <c r="K19" s="391"/>
    </row>
    <row r="20" spans="1:11" x14ac:dyDescent="0.25">
      <c r="A20" s="272">
        <v>42194</v>
      </c>
      <c r="B20" s="276" t="s">
        <v>279</v>
      </c>
      <c r="C20" s="21">
        <v>5.5467000000000004</v>
      </c>
      <c r="D20" s="21">
        <v>5546.7</v>
      </c>
      <c r="E20" s="268">
        <v>90001</v>
      </c>
      <c r="F20" s="277">
        <v>4113</v>
      </c>
      <c r="G20" s="45"/>
      <c r="I20" s="390"/>
      <c r="J20" s="387"/>
      <c r="K20" s="391"/>
    </row>
    <row r="21" spans="1:11" hidden="1" x14ac:dyDescent="0.25">
      <c r="A21" s="272"/>
      <c r="B21" s="276"/>
      <c r="C21" s="21"/>
      <c r="D21" s="21"/>
      <c r="E21" s="268"/>
      <c r="F21" s="277">
        <v>4113</v>
      </c>
      <c r="G21" s="45"/>
      <c r="I21" s="390"/>
      <c r="J21" s="387"/>
      <c r="K21" s="391"/>
    </row>
    <row r="22" spans="1:11" hidden="1" x14ac:dyDescent="0.25">
      <c r="A22" s="272"/>
      <c r="B22" s="276"/>
      <c r="C22" s="21"/>
      <c r="D22" s="21"/>
      <c r="E22" s="268"/>
      <c r="F22" s="277">
        <v>4113</v>
      </c>
      <c r="G22" s="45"/>
      <c r="I22" s="390"/>
      <c r="J22" s="387"/>
      <c r="K22" s="391"/>
    </row>
    <row r="23" spans="1:11" hidden="1" x14ac:dyDescent="0.25">
      <c r="A23" s="272"/>
      <c r="B23" s="276"/>
      <c r="C23" s="21"/>
      <c r="D23" s="21"/>
      <c r="E23" s="268"/>
      <c r="F23" s="277">
        <v>4113</v>
      </c>
      <c r="G23" s="45"/>
      <c r="I23" s="390"/>
      <c r="J23" s="387"/>
      <c r="K23" s="391"/>
    </row>
    <row r="24" spans="1:11" hidden="1" x14ac:dyDescent="0.25">
      <c r="A24" s="272"/>
      <c r="B24" s="276"/>
      <c r="C24" s="21"/>
      <c r="D24" s="21"/>
      <c r="E24" s="268"/>
      <c r="F24" s="277">
        <v>4113</v>
      </c>
      <c r="G24" s="45"/>
      <c r="I24" s="390"/>
      <c r="J24" s="387"/>
      <c r="K24" s="391"/>
    </row>
    <row r="25" spans="1:11" hidden="1" x14ac:dyDescent="0.25">
      <c r="A25" s="272"/>
      <c r="B25" s="276"/>
      <c r="C25" s="21"/>
      <c r="D25" s="21"/>
      <c r="E25" s="268"/>
      <c r="F25" s="277">
        <v>4113</v>
      </c>
      <c r="G25" s="45"/>
      <c r="I25" s="390"/>
      <c r="J25" s="387"/>
      <c r="K25" s="391"/>
    </row>
    <row r="26" spans="1:11" hidden="1" x14ac:dyDescent="0.25">
      <c r="A26" s="272"/>
      <c r="B26" s="276"/>
      <c r="C26" s="21"/>
      <c r="D26" s="21"/>
      <c r="E26" s="268"/>
      <c r="F26" s="277">
        <v>4113</v>
      </c>
      <c r="G26" s="45"/>
      <c r="I26" s="390"/>
      <c r="J26" s="387"/>
      <c r="K26" s="391"/>
    </row>
    <row r="27" spans="1:11" hidden="1" x14ac:dyDescent="0.25">
      <c r="A27" s="272"/>
      <c r="B27" s="276"/>
      <c r="C27" s="21"/>
      <c r="D27" s="21"/>
      <c r="E27" s="268"/>
      <c r="F27" s="277">
        <v>4113</v>
      </c>
      <c r="G27" s="45"/>
      <c r="I27" s="390"/>
      <c r="J27" s="387"/>
      <c r="K27" s="391"/>
    </row>
    <row r="28" spans="1:11" hidden="1" x14ac:dyDescent="0.25">
      <c r="A28" s="272"/>
      <c r="B28" s="276"/>
      <c r="C28" s="21"/>
      <c r="D28" s="21"/>
      <c r="E28" s="268"/>
      <c r="F28" s="277">
        <v>4113</v>
      </c>
      <c r="G28" s="45"/>
      <c r="I28" s="390"/>
      <c r="J28" s="387"/>
      <c r="K28" s="391"/>
    </row>
    <row r="29" spans="1:11" x14ac:dyDescent="0.25">
      <c r="A29" s="272"/>
      <c r="B29" s="276" t="s">
        <v>168</v>
      </c>
      <c r="C29" s="347">
        <v>1.8742399999999999</v>
      </c>
      <c r="D29" s="347">
        <v>1874.24</v>
      </c>
      <c r="E29" s="268">
        <v>90001</v>
      </c>
      <c r="F29" s="277">
        <v>4113</v>
      </c>
      <c r="G29" s="45"/>
      <c r="I29" s="390"/>
      <c r="J29" s="402">
        <v>1874.24</v>
      </c>
      <c r="K29" s="391"/>
    </row>
    <row r="30" spans="1:11" hidden="1" x14ac:dyDescent="0.25">
      <c r="A30" s="272"/>
      <c r="B30" s="276"/>
      <c r="C30" s="21"/>
      <c r="D30" s="21"/>
      <c r="E30" s="268"/>
      <c r="F30" s="277">
        <v>4113</v>
      </c>
      <c r="G30" s="45"/>
      <c r="I30" s="390"/>
      <c r="J30" s="387"/>
      <c r="K30" s="391"/>
    </row>
    <row r="31" spans="1:11" x14ac:dyDescent="0.25">
      <c r="A31" s="272"/>
      <c r="B31" s="107"/>
      <c r="C31" s="21"/>
      <c r="D31" s="21"/>
      <c r="E31" s="268"/>
      <c r="F31" s="277"/>
      <c r="G31" s="45"/>
      <c r="I31" s="390"/>
      <c r="J31" s="387"/>
      <c r="K31" s="391"/>
    </row>
    <row r="32" spans="1:11" x14ac:dyDescent="0.25">
      <c r="A32" s="272"/>
      <c r="B32" s="273" t="s">
        <v>15</v>
      </c>
      <c r="C32" s="31">
        <f>+C33+C34</f>
        <v>4.5358200000000002</v>
      </c>
      <c r="D32" s="31">
        <f>+D33+D34</f>
        <v>6891.67</v>
      </c>
      <c r="E32" s="268"/>
      <c r="F32" s="277"/>
      <c r="G32" s="45"/>
      <c r="I32" s="390"/>
      <c r="J32" s="387"/>
      <c r="K32" s="391"/>
    </row>
    <row r="33" spans="1:11" x14ac:dyDescent="0.25">
      <c r="A33" s="272"/>
      <c r="B33" s="107" t="s">
        <v>395</v>
      </c>
      <c r="C33" s="347">
        <v>4.5358200000000002</v>
      </c>
      <c r="D33" s="347">
        <v>4535.82</v>
      </c>
      <c r="E33" s="268">
        <v>89450</v>
      </c>
      <c r="F33" s="277">
        <v>4113</v>
      </c>
      <c r="G33" s="45"/>
      <c r="I33" s="390"/>
      <c r="J33" s="402">
        <v>4535.82</v>
      </c>
      <c r="K33" s="391"/>
    </row>
    <row r="34" spans="1:11" x14ac:dyDescent="0.25">
      <c r="A34" s="272"/>
      <c r="B34" s="107" t="s">
        <v>394</v>
      </c>
      <c r="C34" s="21">
        <v>0</v>
      </c>
      <c r="D34" s="21">
        <v>2355.85</v>
      </c>
      <c r="E34" s="268">
        <v>89023</v>
      </c>
      <c r="F34" s="277">
        <v>4113</v>
      </c>
      <c r="G34" s="384" t="s">
        <v>404</v>
      </c>
      <c r="H34" s="384">
        <v>2355.85</v>
      </c>
      <c r="I34" s="390"/>
      <c r="J34" s="387"/>
      <c r="K34" s="391">
        <v>2355.85</v>
      </c>
    </row>
    <row r="35" spans="1:11" x14ac:dyDescent="0.25">
      <c r="A35" s="272"/>
      <c r="B35" s="278"/>
      <c r="C35" s="21"/>
      <c r="D35" s="163"/>
      <c r="E35" s="279"/>
      <c r="F35" s="268"/>
      <c r="G35" s="45"/>
      <c r="I35" s="390"/>
      <c r="J35" s="387"/>
      <c r="K35" s="391"/>
    </row>
    <row r="36" spans="1:11" s="275" customFormat="1" x14ac:dyDescent="0.25">
      <c r="A36" s="272"/>
      <c r="B36" s="273" t="s">
        <v>17</v>
      </c>
      <c r="C36" s="273">
        <f>SUM(C37:C60)</f>
        <v>21435.624</v>
      </c>
      <c r="D36" s="31">
        <f>SUM(D37:D60)</f>
        <v>13321305</v>
      </c>
      <c r="E36" s="280"/>
      <c r="F36" s="281"/>
      <c r="G36" s="45"/>
      <c r="H36" s="45"/>
      <c r="I36" s="390"/>
      <c r="J36" s="388"/>
      <c r="K36" s="393"/>
    </row>
    <row r="37" spans="1:11" x14ac:dyDescent="0.25">
      <c r="A37" s="43">
        <v>42053</v>
      </c>
      <c r="B37" s="107" t="s">
        <v>37</v>
      </c>
      <c r="C37" s="282">
        <v>3744</v>
      </c>
      <c r="D37" s="21">
        <v>3744000</v>
      </c>
      <c r="E37" s="108">
        <v>13010</v>
      </c>
      <c r="F37" s="277">
        <v>4116</v>
      </c>
      <c r="G37" s="45"/>
      <c r="I37" s="390"/>
      <c r="J37" s="387"/>
      <c r="K37" s="391"/>
    </row>
    <row r="38" spans="1:11" x14ac:dyDescent="0.25">
      <c r="A38" s="272">
        <v>42123</v>
      </c>
      <c r="B38" s="107" t="s">
        <v>37</v>
      </c>
      <c r="C38" s="21">
        <v>8</v>
      </c>
      <c r="D38" s="21">
        <v>8000</v>
      </c>
      <c r="E38" s="108">
        <v>13010</v>
      </c>
      <c r="F38" s="277">
        <v>4116</v>
      </c>
      <c r="G38" s="45"/>
      <c r="I38" s="390"/>
      <c r="J38" s="387"/>
      <c r="K38" s="391"/>
    </row>
    <row r="39" spans="1:11" x14ac:dyDescent="0.25">
      <c r="A39" s="272">
        <v>42152</v>
      </c>
      <c r="B39" s="107" t="s">
        <v>37</v>
      </c>
      <c r="C39" s="21">
        <v>12</v>
      </c>
      <c r="D39" s="21">
        <v>12000</v>
      </c>
      <c r="E39" s="108">
        <v>13010</v>
      </c>
      <c r="F39" s="277">
        <v>4116</v>
      </c>
      <c r="G39" s="45"/>
      <c r="I39" s="390"/>
      <c r="J39" s="387"/>
      <c r="K39" s="391"/>
    </row>
    <row r="40" spans="1:11" s="275" customFormat="1" x14ac:dyDescent="0.25">
      <c r="A40" s="272">
        <v>42184</v>
      </c>
      <c r="B40" s="107" t="s">
        <v>37</v>
      </c>
      <c r="C40" s="21">
        <v>44</v>
      </c>
      <c r="D40" s="21">
        <v>44000</v>
      </c>
      <c r="E40" s="108">
        <v>13010</v>
      </c>
      <c r="F40" s="277">
        <v>4116</v>
      </c>
      <c r="G40" s="45"/>
      <c r="H40" s="45"/>
      <c r="I40" s="390"/>
      <c r="J40" s="388"/>
      <c r="K40" s="393"/>
    </row>
    <row r="41" spans="1:11" x14ac:dyDescent="0.25">
      <c r="A41" s="43">
        <v>42201</v>
      </c>
      <c r="B41" s="107" t="s">
        <v>37</v>
      </c>
      <c r="C41" s="21">
        <v>32</v>
      </c>
      <c r="D41" s="21">
        <v>32000</v>
      </c>
      <c r="E41" s="108">
        <v>13010</v>
      </c>
      <c r="F41" s="277">
        <v>4116</v>
      </c>
      <c r="G41" s="45"/>
      <c r="I41" s="390"/>
      <c r="J41" s="387"/>
      <c r="K41" s="391"/>
    </row>
    <row r="42" spans="1:11" x14ac:dyDescent="0.25">
      <c r="A42" s="43"/>
      <c r="B42" s="107" t="s">
        <v>411</v>
      </c>
      <c r="C42" s="347">
        <v>0</v>
      </c>
      <c r="D42" s="347">
        <v>8250</v>
      </c>
      <c r="E42" s="108">
        <v>13013</v>
      </c>
      <c r="F42" s="277">
        <v>4116</v>
      </c>
      <c r="G42" s="384" t="s">
        <v>358</v>
      </c>
      <c r="I42" s="390">
        <v>8250</v>
      </c>
      <c r="J42" s="387"/>
      <c r="K42" s="391"/>
    </row>
    <row r="43" spans="1:11" x14ac:dyDescent="0.25">
      <c r="A43" s="43"/>
      <c r="B43" s="107" t="s">
        <v>97</v>
      </c>
      <c r="C43" s="347">
        <v>267</v>
      </c>
      <c r="D43" s="347">
        <v>267369</v>
      </c>
      <c r="E43" s="108">
        <v>13101</v>
      </c>
      <c r="F43" s="277">
        <v>4116</v>
      </c>
      <c r="G43" s="384" t="s">
        <v>358</v>
      </c>
      <c r="I43" s="403">
        <v>234369</v>
      </c>
      <c r="J43" s="387"/>
      <c r="K43" s="391"/>
    </row>
    <row r="44" spans="1:11" x14ac:dyDescent="0.25">
      <c r="A44" s="43"/>
      <c r="B44" s="107" t="s">
        <v>65</v>
      </c>
      <c r="C44" s="347">
        <f>42+22</f>
        <v>64</v>
      </c>
      <c r="D44" s="347">
        <f>40896+16866</f>
        <v>57762</v>
      </c>
      <c r="E44" s="108">
        <v>13101</v>
      </c>
      <c r="F44" s="277" t="s">
        <v>18</v>
      </c>
      <c r="G44" s="384" t="s">
        <v>358</v>
      </c>
      <c r="I44" s="403">
        <f>40896+16866</f>
        <v>57762</v>
      </c>
      <c r="J44" s="387"/>
      <c r="K44" s="391"/>
    </row>
    <row r="45" spans="1:11" x14ac:dyDescent="0.25">
      <c r="A45" s="43"/>
      <c r="B45" s="107" t="s">
        <v>98</v>
      </c>
      <c r="C45" s="347">
        <v>305.11</v>
      </c>
      <c r="D45" s="347">
        <v>429274</v>
      </c>
      <c r="E45" s="283">
        <v>13101</v>
      </c>
      <c r="F45" s="284">
        <v>4116</v>
      </c>
      <c r="G45" s="384" t="s">
        <v>358</v>
      </c>
      <c r="I45" s="403">
        <v>365528</v>
      </c>
      <c r="J45" s="387"/>
      <c r="K45" s="391"/>
    </row>
    <row r="46" spans="1:11" s="275" customFormat="1" x14ac:dyDescent="0.25">
      <c r="A46" s="272"/>
      <c r="B46" s="107" t="s">
        <v>99</v>
      </c>
      <c r="C46" s="347">
        <v>22</v>
      </c>
      <c r="D46" s="347">
        <v>22000</v>
      </c>
      <c r="E46" s="283">
        <v>13101</v>
      </c>
      <c r="F46" s="284">
        <v>4116</v>
      </c>
      <c r="G46" s="384" t="s">
        <v>358</v>
      </c>
      <c r="H46" s="45"/>
      <c r="I46" s="403">
        <v>22000</v>
      </c>
      <c r="J46" s="388"/>
      <c r="K46" s="393"/>
    </row>
    <row r="47" spans="1:11" s="275" customFormat="1" x14ac:dyDescent="0.25">
      <c r="A47" s="272"/>
      <c r="B47" s="107" t="s">
        <v>19</v>
      </c>
      <c r="C47" s="347">
        <v>60</v>
      </c>
      <c r="D47" s="347">
        <v>44643</v>
      </c>
      <c r="E47" s="108">
        <v>13234</v>
      </c>
      <c r="F47" s="277">
        <v>4116</v>
      </c>
      <c r="G47" s="384" t="s">
        <v>358</v>
      </c>
      <c r="H47" s="45"/>
      <c r="I47" s="403">
        <v>24643</v>
      </c>
      <c r="J47" s="388"/>
      <c r="K47" s="393"/>
    </row>
    <row r="48" spans="1:11" s="275" customFormat="1" x14ac:dyDescent="0.25">
      <c r="A48" s="272"/>
      <c r="B48" s="107" t="s">
        <v>20</v>
      </c>
      <c r="C48" s="347">
        <v>290</v>
      </c>
      <c r="D48" s="347">
        <v>173917</v>
      </c>
      <c r="E48" s="108">
        <v>13234</v>
      </c>
      <c r="F48" s="277">
        <v>4116</v>
      </c>
      <c r="G48" s="384" t="s">
        <v>358</v>
      </c>
      <c r="H48" s="45"/>
      <c r="I48" s="403">
        <v>130975</v>
      </c>
      <c r="J48" s="388"/>
      <c r="K48" s="393"/>
    </row>
    <row r="49" spans="1:11" s="275" customFormat="1" x14ac:dyDescent="0.25">
      <c r="A49" s="272"/>
      <c r="B49" s="107" t="s">
        <v>23</v>
      </c>
      <c r="C49" s="347">
        <v>71.3</v>
      </c>
      <c r="D49" s="347">
        <v>71094</v>
      </c>
      <c r="E49" s="108">
        <v>13234</v>
      </c>
      <c r="F49" s="277">
        <v>4116</v>
      </c>
      <c r="G49" s="384" t="s">
        <v>358</v>
      </c>
      <c r="H49" s="45"/>
      <c r="I49" s="403">
        <v>71094</v>
      </c>
      <c r="J49" s="388"/>
      <c r="K49" s="393"/>
    </row>
    <row r="50" spans="1:11" s="275" customFormat="1" x14ac:dyDescent="0.25">
      <c r="A50" s="272"/>
      <c r="B50" s="107" t="s">
        <v>22</v>
      </c>
      <c r="C50" s="347">
        <v>264</v>
      </c>
      <c r="D50" s="347">
        <v>154000</v>
      </c>
      <c r="E50" s="108">
        <v>13234</v>
      </c>
      <c r="F50" s="277">
        <v>4116</v>
      </c>
      <c r="G50" s="384" t="s">
        <v>358</v>
      </c>
      <c r="H50" s="45"/>
      <c r="I50" s="403">
        <v>132000</v>
      </c>
      <c r="J50" s="388"/>
      <c r="K50" s="393"/>
    </row>
    <row r="51" spans="1:11" s="275" customFormat="1" x14ac:dyDescent="0.25">
      <c r="A51" s="272"/>
      <c r="B51" s="107" t="s">
        <v>67</v>
      </c>
      <c r="C51" s="347">
        <v>171.72399999999999</v>
      </c>
      <c r="D51" s="347">
        <f>86069+44000+41655</f>
        <v>171724</v>
      </c>
      <c r="E51" s="108">
        <v>13234</v>
      </c>
      <c r="F51" s="277">
        <v>4116</v>
      </c>
      <c r="G51" s="384" t="s">
        <v>358</v>
      </c>
      <c r="H51" s="45"/>
      <c r="I51" s="403">
        <f>86069+44000+41655</f>
        <v>171724</v>
      </c>
      <c r="J51" s="388"/>
      <c r="K51" s="393"/>
    </row>
    <row r="52" spans="1:11" s="275" customFormat="1" x14ac:dyDescent="0.25">
      <c r="A52" s="272"/>
      <c r="B52" s="107" t="s">
        <v>25</v>
      </c>
      <c r="C52" s="347">
        <v>1705.0060000000001</v>
      </c>
      <c r="D52" s="347">
        <v>618357</v>
      </c>
      <c r="E52" s="108">
        <v>13234</v>
      </c>
      <c r="F52" s="277">
        <v>4116</v>
      </c>
      <c r="G52" s="384" t="s">
        <v>358</v>
      </c>
      <c r="H52" s="45"/>
      <c r="I52" s="403">
        <v>420489</v>
      </c>
      <c r="J52" s="388"/>
      <c r="K52" s="393"/>
    </row>
    <row r="53" spans="1:11" s="275" customFormat="1" x14ac:dyDescent="0.25">
      <c r="A53" s="272"/>
      <c r="B53" s="107" t="s">
        <v>26</v>
      </c>
      <c r="C53" s="347"/>
      <c r="D53" s="347">
        <v>244441</v>
      </c>
      <c r="E53" s="108">
        <v>13234</v>
      </c>
      <c r="F53" s="277">
        <v>4116</v>
      </c>
      <c r="G53" s="384" t="s">
        <v>358</v>
      </c>
      <c r="H53" s="45"/>
      <c r="I53" s="403">
        <v>211441</v>
      </c>
      <c r="J53" s="388"/>
      <c r="K53" s="393"/>
    </row>
    <row r="54" spans="1:11" x14ac:dyDescent="0.25">
      <c r="A54" s="43"/>
      <c r="B54" s="107" t="s">
        <v>28</v>
      </c>
      <c r="C54" s="347">
        <v>5376</v>
      </c>
      <c r="D54" s="347">
        <v>2068947</v>
      </c>
      <c r="E54" s="283">
        <v>13234</v>
      </c>
      <c r="F54" s="277">
        <v>4116</v>
      </c>
      <c r="G54" s="384" t="s">
        <v>358</v>
      </c>
      <c r="I54" s="403">
        <v>1308770</v>
      </c>
      <c r="J54" s="387"/>
      <c r="K54" s="391"/>
    </row>
    <row r="55" spans="1:11" s="275" customFormat="1" x14ac:dyDescent="0.25">
      <c r="A55" s="272"/>
      <c r="B55" s="107" t="s">
        <v>24</v>
      </c>
      <c r="C55" s="347">
        <v>8590</v>
      </c>
      <c r="D55" s="347">
        <v>4964243</v>
      </c>
      <c r="E55" s="108">
        <v>13234</v>
      </c>
      <c r="F55" s="277">
        <v>4116</v>
      </c>
      <c r="G55" s="384" t="s">
        <v>358</v>
      </c>
      <c r="H55" s="45"/>
      <c r="I55" s="403">
        <v>3397732</v>
      </c>
      <c r="J55" s="388"/>
      <c r="K55" s="393"/>
    </row>
    <row r="56" spans="1:11" x14ac:dyDescent="0.25">
      <c r="A56" s="43"/>
      <c r="B56" s="107" t="s">
        <v>66</v>
      </c>
      <c r="C56" s="347">
        <f>55+98</f>
        <v>153</v>
      </c>
      <c r="D56" s="347">
        <v>74133</v>
      </c>
      <c r="E56" s="283">
        <v>13234</v>
      </c>
      <c r="F56" s="284">
        <v>4116</v>
      </c>
      <c r="G56" s="384" t="s">
        <v>358</v>
      </c>
      <c r="I56" s="403">
        <v>60133</v>
      </c>
      <c r="J56" s="387"/>
      <c r="K56" s="391"/>
    </row>
    <row r="57" spans="1:11" x14ac:dyDescent="0.25">
      <c r="A57" s="43"/>
      <c r="B57" s="107" t="s">
        <v>31</v>
      </c>
      <c r="C57" s="347">
        <v>252</v>
      </c>
      <c r="D57" s="347">
        <v>103731</v>
      </c>
      <c r="E57" s="283">
        <v>13234</v>
      </c>
      <c r="F57" s="284">
        <v>4116</v>
      </c>
      <c r="G57" s="384" t="s">
        <v>358</v>
      </c>
      <c r="I57" s="403">
        <v>79731</v>
      </c>
      <c r="J57" s="387"/>
      <c r="K57" s="391"/>
    </row>
    <row r="58" spans="1:11" x14ac:dyDescent="0.25">
      <c r="A58" s="43"/>
      <c r="B58" s="107" t="s">
        <v>21</v>
      </c>
      <c r="C58" s="347">
        <v>4.484</v>
      </c>
      <c r="D58" s="347">
        <v>7420</v>
      </c>
      <c r="E58" s="283">
        <v>13234</v>
      </c>
      <c r="F58" s="277" t="s">
        <v>18</v>
      </c>
      <c r="G58" s="384" t="s">
        <v>358</v>
      </c>
      <c r="I58" s="403">
        <v>4484</v>
      </c>
      <c r="J58" s="387"/>
      <c r="K58" s="391"/>
    </row>
    <row r="59" spans="1:11" x14ac:dyDescent="0.25">
      <c r="A59" s="43"/>
      <c r="B59" s="107" t="s">
        <v>30</v>
      </c>
      <c r="C59" s="347"/>
      <c r="D59" s="347"/>
      <c r="E59" s="283"/>
      <c r="F59" s="284">
        <v>4116</v>
      </c>
      <c r="G59" s="45"/>
      <c r="I59" s="390"/>
      <c r="J59" s="387"/>
      <c r="K59" s="391"/>
    </row>
    <row r="60" spans="1:11" x14ac:dyDescent="0.25">
      <c r="A60" s="43"/>
      <c r="B60" s="107" t="s">
        <v>32</v>
      </c>
      <c r="C60" s="347"/>
      <c r="D60" s="347"/>
      <c r="E60" s="283"/>
      <c r="F60" s="284"/>
      <c r="G60" s="45"/>
      <c r="I60" s="390"/>
      <c r="J60" s="387"/>
      <c r="K60" s="391"/>
    </row>
    <row r="61" spans="1:11" x14ac:dyDescent="0.25">
      <c r="A61" s="43"/>
      <c r="B61" s="44"/>
      <c r="C61" s="282"/>
      <c r="D61" s="21"/>
      <c r="E61" s="283"/>
      <c r="F61" s="284"/>
      <c r="G61" s="45"/>
      <c r="I61" s="390"/>
      <c r="J61" s="387"/>
      <c r="K61" s="391"/>
    </row>
    <row r="62" spans="1:11" x14ac:dyDescent="0.25">
      <c r="A62" s="43"/>
      <c r="B62" s="285" t="s">
        <v>116</v>
      </c>
      <c r="C62" s="40">
        <f>+SUM(C63:C66)</f>
        <v>36.299999999999997</v>
      </c>
      <c r="D62" s="40">
        <f>+SUM(D63:D66)</f>
        <v>36300</v>
      </c>
      <c r="E62" s="277"/>
      <c r="F62" s="284"/>
      <c r="G62" s="45"/>
      <c r="I62" s="390"/>
      <c r="J62" s="387"/>
      <c r="K62" s="391"/>
    </row>
    <row r="63" spans="1:11" x14ac:dyDescent="0.25">
      <c r="A63" s="43">
        <v>42066</v>
      </c>
      <c r="B63" s="107" t="s">
        <v>115</v>
      </c>
      <c r="C63" s="21">
        <v>36.299999999999997</v>
      </c>
      <c r="D63" s="21">
        <v>36300</v>
      </c>
      <c r="E63" s="286">
        <v>27003</v>
      </c>
      <c r="F63" s="284">
        <v>4116</v>
      </c>
      <c r="G63" s="45"/>
      <c r="I63" s="390"/>
      <c r="J63" s="387"/>
      <c r="K63" s="391"/>
    </row>
    <row r="64" spans="1:11" x14ac:dyDescent="0.25">
      <c r="A64" s="287"/>
      <c r="B64" s="107"/>
      <c r="C64" s="21"/>
      <c r="D64" s="21"/>
      <c r="E64" s="284"/>
      <c r="F64" s="284">
        <v>4116</v>
      </c>
      <c r="G64" s="45"/>
      <c r="I64" s="390"/>
      <c r="J64" s="387"/>
      <c r="K64" s="391"/>
    </row>
    <row r="65" spans="1:11" x14ac:dyDescent="0.25">
      <c r="A65" s="287"/>
      <c r="B65" s="107"/>
      <c r="C65" s="21"/>
      <c r="D65" s="21"/>
      <c r="E65" s="284"/>
      <c r="F65" s="284">
        <v>4116</v>
      </c>
      <c r="G65" s="45"/>
      <c r="I65" s="390"/>
      <c r="J65" s="387"/>
      <c r="K65" s="391"/>
    </row>
    <row r="66" spans="1:11" x14ac:dyDescent="0.25">
      <c r="A66" s="287"/>
      <c r="B66" s="107"/>
      <c r="C66" s="21"/>
      <c r="D66" s="21"/>
      <c r="E66" s="284"/>
      <c r="F66" s="284">
        <v>4116</v>
      </c>
      <c r="G66" s="45"/>
      <c r="I66" s="390"/>
      <c r="J66" s="387"/>
      <c r="K66" s="391"/>
    </row>
    <row r="67" spans="1:11" x14ac:dyDescent="0.25">
      <c r="A67" s="43"/>
      <c r="B67" s="285" t="s">
        <v>33</v>
      </c>
      <c r="C67" s="40">
        <f>+SUM(C68:C103)</f>
        <v>19234</v>
      </c>
      <c r="D67" s="40">
        <f>+SUM(D68:D103)</f>
        <v>22278000</v>
      </c>
      <c r="E67" s="277"/>
      <c r="F67" s="284"/>
      <c r="G67" s="45">
        <f>112000+2814+154000+1900000+2768000+30000+100000+14400000</f>
        <v>19466814</v>
      </c>
      <c r="I67" s="390"/>
      <c r="J67" s="387"/>
      <c r="K67" s="391"/>
    </row>
    <row r="68" spans="1:11" x14ac:dyDescent="0.25">
      <c r="A68" s="43">
        <v>42086</v>
      </c>
      <c r="B68" s="107" t="s">
        <v>122</v>
      </c>
      <c r="C68" s="21">
        <v>80</v>
      </c>
      <c r="D68" s="21">
        <v>80000</v>
      </c>
      <c r="E68" s="277">
        <v>34070</v>
      </c>
      <c r="F68" s="277">
        <v>4116</v>
      </c>
      <c r="G68" s="45">
        <f>+D67-G67</f>
        <v>2811186</v>
      </c>
      <c r="I68" s="390"/>
      <c r="J68" s="387"/>
      <c r="K68" s="391"/>
    </row>
    <row r="69" spans="1:11" x14ac:dyDescent="0.25">
      <c r="A69" s="43">
        <v>42116</v>
      </c>
      <c r="B69" s="107" t="s">
        <v>142</v>
      </c>
      <c r="C69" s="21">
        <v>25</v>
      </c>
      <c r="D69" s="21">
        <v>25000</v>
      </c>
      <c r="E69" s="277">
        <v>34070</v>
      </c>
      <c r="F69" s="277">
        <v>4116</v>
      </c>
      <c r="G69" s="45"/>
      <c r="I69" s="390"/>
      <c r="J69" s="387"/>
      <c r="K69" s="391"/>
    </row>
    <row r="70" spans="1:11" x14ac:dyDescent="0.25">
      <c r="A70" s="43">
        <v>42116</v>
      </c>
      <c r="B70" s="107" t="s">
        <v>143</v>
      </c>
      <c r="C70" s="21">
        <v>18</v>
      </c>
      <c r="D70" s="21">
        <v>18000</v>
      </c>
      <c r="E70" s="277">
        <v>34070</v>
      </c>
      <c r="F70" s="277">
        <v>4116</v>
      </c>
      <c r="G70" s="45"/>
      <c r="I70" s="390"/>
      <c r="J70" s="387"/>
      <c r="K70" s="391"/>
    </row>
    <row r="71" spans="1:11" x14ac:dyDescent="0.25">
      <c r="A71" s="43">
        <v>42116</v>
      </c>
      <c r="B71" s="107" t="s">
        <v>173</v>
      </c>
      <c r="C71" s="21">
        <v>20</v>
      </c>
      <c r="D71" s="21">
        <v>20000</v>
      </c>
      <c r="E71" s="277">
        <v>34070</v>
      </c>
      <c r="F71" s="277">
        <v>4116</v>
      </c>
      <c r="G71" s="45"/>
      <c r="I71" s="390"/>
      <c r="J71" s="387"/>
      <c r="K71" s="391"/>
    </row>
    <row r="72" spans="1:11" x14ac:dyDescent="0.25">
      <c r="A72" s="43">
        <v>42128</v>
      </c>
      <c r="B72" s="107" t="s">
        <v>172</v>
      </c>
      <c r="C72" s="21">
        <v>45</v>
      </c>
      <c r="D72" s="21">
        <v>45000</v>
      </c>
      <c r="E72" s="277">
        <v>34053</v>
      </c>
      <c r="F72" s="277">
        <v>4116</v>
      </c>
      <c r="G72" s="45"/>
      <c r="I72" s="390"/>
      <c r="J72" s="387"/>
      <c r="K72" s="391"/>
    </row>
    <row r="73" spans="1:11" x14ac:dyDescent="0.25">
      <c r="A73" s="43">
        <v>42135</v>
      </c>
      <c r="B73" s="107" t="s">
        <v>175</v>
      </c>
      <c r="C73" s="21">
        <v>600</v>
      </c>
      <c r="D73" s="21">
        <v>600000</v>
      </c>
      <c r="E73" s="277">
        <v>34070</v>
      </c>
      <c r="F73" s="277">
        <v>4116</v>
      </c>
      <c r="G73" s="45"/>
      <c r="I73" s="390"/>
      <c r="J73" s="387"/>
      <c r="K73" s="391"/>
    </row>
    <row r="74" spans="1:11" x14ac:dyDescent="0.25">
      <c r="A74" s="43">
        <v>42135</v>
      </c>
      <c r="B74" s="107" t="s">
        <v>176</v>
      </c>
      <c r="C74" s="21">
        <v>70</v>
      </c>
      <c r="D74" s="21">
        <v>70000</v>
      </c>
      <c r="E74" s="277">
        <v>34070</v>
      </c>
      <c r="F74" s="277">
        <v>4116</v>
      </c>
      <c r="G74" s="45"/>
      <c r="I74" s="390"/>
      <c r="J74" s="387"/>
      <c r="K74" s="391"/>
    </row>
    <row r="75" spans="1:11" x14ac:dyDescent="0.25">
      <c r="A75" s="43">
        <v>42136</v>
      </c>
      <c r="B75" s="107" t="s">
        <v>177</v>
      </c>
      <c r="C75" s="21">
        <v>120</v>
      </c>
      <c r="D75" s="21">
        <v>120000</v>
      </c>
      <c r="E75" s="277">
        <v>34070</v>
      </c>
      <c r="F75" s="277">
        <v>4116</v>
      </c>
      <c r="G75" s="45"/>
      <c r="I75" s="390"/>
      <c r="J75" s="387"/>
      <c r="K75" s="391"/>
    </row>
    <row r="76" spans="1:11" x14ac:dyDescent="0.25">
      <c r="A76" s="43">
        <v>42136</v>
      </c>
      <c r="B76" s="107" t="s">
        <v>178</v>
      </c>
      <c r="C76" s="21">
        <v>340</v>
      </c>
      <c r="D76" s="21">
        <v>340000</v>
      </c>
      <c r="E76" s="277">
        <v>34070</v>
      </c>
      <c r="F76" s="277">
        <v>4116</v>
      </c>
      <c r="G76" s="45"/>
      <c r="I76" s="390"/>
      <c r="J76" s="387"/>
      <c r="K76" s="391"/>
    </row>
    <row r="77" spans="1:11" x14ac:dyDescent="0.25">
      <c r="A77" s="43">
        <v>42136</v>
      </c>
      <c r="B77" s="107" t="s">
        <v>179</v>
      </c>
      <c r="C77" s="21">
        <v>320</v>
      </c>
      <c r="D77" s="21">
        <v>320000</v>
      </c>
      <c r="E77" s="277">
        <v>34070</v>
      </c>
      <c r="F77" s="277">
        <v>4116</v>
      </c>
      <c r="G77" s="45"/>
      <c r="I77" s="390"/>
      <c r="J77" s="387"/>
      <c r="K77" s="391"/>
    </row>
    <row r="78" spans="1:11" x14ac:dyDescent="0.25">
      <c r="A78" s="43">
        <v>42143</v>
      </c>
      <c r="B78" s="107" t="s">
        <v>194</v>
      </c>
      <c r="C78" s="21">
        <v>95</v>
      </c>
      <c r="D78" s="21">
        <v>95000</v>
      </c>
      <c r="E78" s="277">
        <v>34070</v>
      </c>
      <c r="F78" s="277">
        <v>4116</v>
      </c>
      <c r="G78" s="45"/>
      <c r="I78" s="390"/>
      <c r="J78" s="387"/>
      <c r="K78" s="391"/>
    </row>
    <row r="79" spans="1:11" x14ac:dyDescent="0.25">
      <c r="A79" s="43">
        <v>42143</v>
      </c>
      <c r="B79" s="107" t="s">
        <v>195</v>
      </c>
      <c r="C79" s="21">
        <v>30</v>
      </c>
      <c r="D79" s="21">
        <v>30000</v>
      </c>
      <c r="E79" s="277">
        <v>34194</v>
      </c>
      <c r="F79" s="277">
        <v>4116</v>
      </c>
      <c r="G79" s="45"/>
      <c r="I79" s="390"/>
      <c r="J79" s="387"/>
      <c r="K79" s="391"/>
    </row>
    <row r="80" spans="1:11" x14ac:dyDescent="0.25">
      <c r="A80" s="43">
        <v>42143</v>
      </c>
      <c r="B80" s="107" t="s">
        <v>197</v>
      </c>
      <c r="C80" s="21">
        <v>750</v>
      </c>
      <c r="D80" s="21">
        <v>750000</v>
      </c>
      <c r="E80" s="277">
        <v>34070</v>
      </c>
      <c r="F80" s="277">
        <v>4116</v>
      </c>
      <c r="G80" s="45"/>
      <c r="I80" s="390"/>
      <c r="J80" s="387"/>
      <c r="K80" s="391"/>
    </row>
    <row r="81" spans="1:11" x14ac:dyDescent="0.25">
      <c r="A81" s="43">
        <v>42144</v>
      </c>
      <c r="B81" s="107" t="s">
        <v>199</v>
      </c>
      <c r="C81" s="21">
        <v>64</v>
      </c>
      <c r="D81" s="21">
        <v>64000</v>
      </c>
      <c r="E81" s="277">
        <v>34053</v>
      </c>
      <c r="F81" s="277">
        <v>4116</v>
      </c>
      <c r="G81" s="45"/>
      <c r="I81" s="390"/>
      <c r="J81" s="387"/>
      <c r="K81" s="391"/>
    </row>
    <row r="82" spans="1:11" x14ac:dyDescent="0.25">
      <c r="A82" s="43">
        <v>42144</v>
      </c>
      <c r="B82" s="107" t="s">
        <v>198</v>
      </c>
      <c r="C82" s="21">
        <v>45</v>
      </c>
      <c r="D82" s="21">
        <v>45000</v>
      </c>
      <c r="E82" s="277">
        <v>34053</v>
      </c>
      <c r="F82" s="277">
        <v>4116</v>
      </c>
      <c r="G82" s="45"/>
      <c r="I82" s="390"/>
      <c r="J82" s="387"/>
      <c r="K82" s="391"/>
    </row>
    <row r="83" spans="1:11" x14ac:dyDescent="0.25">
      <c r="A83" s="43">
        <v>42164</v>
      </c>
      <c r="B83" s="107" t="s">
        <v>241</v>
      </c>
      <c r="C83" s="21">
        <v>1200</v>
      </c>
      <c r="D83" s="21">
        <v>1200000</v>
      </c>
      <c r="E83" s="277">
        <v>34352</v>
      </c>
      <c r="F83" s="277">
        <v>4116</v>
      </c>
      <c r="G83" s="45"/>
      <c r="I83" s="390"/>
      <c r="J83" s="387"/>
      <c r="K83" s="391"/>
    </row>
    <row r="84" spans="1:11" x14ac:dyDescent="0.25">
      <c r="A84" s="43">
        <v>42172</v>
      </c>
      <c r="B84" s="107" t="s">
        <v>233</v>
      </c>
      <c r="C84" s="21">
        <v>740</v>
      </c>
      <c r="D84" s="21">
        <v>740000</v>
      </c>
      <c r="E84" s="277">
        <v>34352</v>
      </c>
      <c r="F84" s="277">
        <v>4116</v>
      </c>
      <c r="G84" s="45"/>
      <c r="I84" s="390"/>
      <c r="J84" s="387"/>
      <c r="K84" s="391"/>
    </row>
    <row r="85" spans="1:11" x14ac:dyDescent="0.25">
      <c r="A85" s="43">
        <v>42172</v>
      </c>
      <c r="B85" s="107" t="s">
        <v>234</v>
      </c>
      <c r="C85" s="21">
        <v>2745</v>
      </c>
      <c r="D85" s="21">
        <v>2745000</v>
      </c>
      <c r="E85" s="277">
        <v>34352</v>
      </c>
      <c r="F85" s="277">
        <v>4116</v>
      </c>
      <c r="G85" s="45"/>
      <c r="I85" s="390"/>
      <c r="J85" s="387"/>
      <c r="K85" s="391"/>
    </row>
    <row r="86" spans="1:11" x14ac:dyDescent="0.25">
      <c r="A86" s="43">
        <v>42172</v>
      </c>
      <c r="B86" s="107" t="s">
        <v>235</v>
      </c>
      <c r="C86" s="21">
        <v>2580</v>
      </c>
      <c r="D86" s="21">
        <v>2580000</v>
      </c>
      <c r="E86" s="277">
        <v>34352</v>
      </c>
      <c r="F86" s="277">
        <v>4116</v>
      </c>
      <c r="G86" s="45"/>
      <c r="I86" s="390"/>
      <c r="J86" s="387"/>
      <c r="K86" s="391"/>
    </row>
    <row r="87" spans="1:11" x14ac:dyDescent="0.25">
      <c r="A87" s="43">
        <v>42178</v>
      </c>
      <c r="B87" s="107" t="s">
        <v>242</v>
      </c>
      <c r="C87" s="21">
        <v>7135</v>
      </c>
      <c r="D87" s="21">
        <v>7135000</v>
      </c>
      <c r="E87" s="277">
        <v>34352</v>
      </c>
      <c r="F87" s="277">
        <v>4116</v>
      </c>
      <c r="G87" s="45"/>
      <c r="I87" s="390"/>
      <c r="J87" s="387"/>
      <c r="K87" s="391"/>
    </row>
    <row r="88" spans="1:11" x14ac:dyDescent="0.25">
      <c r="A88" s="43">
        <v>42188</v>
      </c>
      <c r="B88" s="107" t="s">
        <v>278</v>
      </c>
      <c r="C88" s="21">
        <v>112</v>
      </c>
      <c r="D88" s="21">
        <v>112000</v>
      </c>
      <c r="E88" s="277">
        <v>34001</v>
      </c>
      <c r="F88" s="277">
        <v>4116</v>
      </c>
      <c r="G88" s="45"/>
      <c r="I88" s="390"/>
      <c r="J88" s="387"/>
      <c r="K88" s="391"/>
    </row>
    <row r="89" spans="1:11" x14ac:dyDescent="0.25">
      <c r="A89" s="43">
        <v>42198</v>
      </c>
      <c r="B89" s="107" t="s">
        <v>295</v>
      </c>
      <c r="C89" s="21">
        <v>80</v>
      </c>
      <c r="D89" s="21">
        <v>80000</v>
      </c>
      <c r="E89" s="277">
        <v>34070</v>
      </c>
      <c r="F89" s="277">
        <v>4116</v>
      </c>
      <c r="G89" s="45"/>
      <c r="I89" s="390"/>
      <c r="J89" s="387"/>
      <c r="K89" s="391"/>
    </row>
    <row r="90" spans="1:11" x14ac:dyDescent="0.25">
      <c r="A90" s="43">
        <v>42212</v>
      </c>
      <c r="B90" s="107" t="s">
        <v>341</v>
      </c>
      <c r="C90" s="21">
        <v>1900</v>
      </c>
      <c r="D90" s="21">
        <v>1900000</v>
      </c>
      <c r="E90" s="277">
        <v>34054</v>
      </c>
      <c r="F90" s="277">
        <v>4116</v>
      </c>
      <c r="G90" s="45"/>
      <c r="I90" s="390"/>
      <c r="J90" s="387"/>
      <c r="K90" s="391"/>
    </row>
    <row r="91" spans="1:11" x14ac:dyDescent="0.25">
      <c r="A91" s="43">
        <v>42214</v>
      </c>
      <c r="B91" s="107" t="s">
        <v>340</v>
      </c>
      <c r="C91" s="21">
        <v>70</v>
      </c>
      <c r="D91" s="21">
        <v>70000</v>
      </c>
      <c r="E91" s="277">
        <v>34070</v>
      </c>
      <c r="F91" s="277">
        <v>4116</v>
      </c>
      <c r="G91" s="384" t="s">
        <v>403</v>
      </c>
      <c r="I91" s="390"/>
      <c r="J91" s="387"/>
      <c r="K91" s="391"/>
    </row>
    <row r="92" spans="1:11" x14ac:dyDescent="0.25">
      <c r="A92" s="43">
        <v>42227</v>
      </c>
      <c r="B92" s="107" t="s">
        <v>367</v>
      </c>
      <c r="C92" s="21">
        <v>0</v>
      </c>
      <c r="D92" s="21">
        <v>180000</v>
      </c>
      <c r="E92" s="277">
        <v>34070</v>
      </c>
      <c r="F92" s="277">
        <v>4116</v>
      </c>
      <c r="G92" s="160">
        <v>180</v>
      </c>
      <c r="I92" s="390"/>
      <c r="J92" s="387"/>
      <c r="K92" s="391"/>
    </row>
    <row r="93" spans="1:11" x14ac:dyDescent="0.25">
      <c r="A93" s="43">
        <v>42241</v>
      </c>
      <c r="B93" s="107" t="s">
        <v>413</v>
      </c>
      <c r="C93" s="21">
        <v>0</v>
      </c>
      <c r="D93" s="21">
        <v>2654000</v>
      </c>
      <c r="E93" s="277">
        <v>34002</v>
      </c>
      <c r="F93" s="277">
        <v>4116</v>
      </c>
      <c r="G93" s="45"/>
      <c r="I93" s="390"/>
      <c r="J93" s="387"/>
      <c r="K93" s="391"/>
    </row>
    <row r="94" spans="1:11" hidden="1" x14ac:dyDescent="0.25">
      <c r="A94" s="43"/>
      <c r="B94" s="107"/>
      <c r="C94" s="21"/>
      <c r="D94" s="21"/>
      <c r="E94" s="277"/>
      <c r="F94" s="277">
        <v>4116</v>
      </c>
      <c r="G94" s="45"/>
      <c r="I94" s="390"/>
      <c r="J94" s="387"/>
      <c r="K94" s="391"/>
    </row>
    <row r="95" spans="1:11" hidden="1" x14ac:dyDescent="0.25">
      <c r="A95" s="43"/>
      <c r="B95" s="107"/>
      <c r="C95" s="21"/>
      <c r="D95" s="21"/>
      <c r="E95" s="277"/>
      <c r="F95" s="277">
        <v>4116</v>
      </c>
      <c r="G95" s="45"/>
      <c r="I95" s="390"/>
      <c r="J95" s="387"/>
      <c r="K95" s="391"/>
    </row>
    <row r="96" spans="1:11" hidden="1" x14ac:dyDescent="0.25">
      <c r="A96" s="43"/>
      <c r="B96" s="107"/>
      <c r="C96" s="21"/>
      <c r="D96" s="21"/>
      <c r="E96" s="277"/>
      <c r="F96" s="277">
        <v>4116</v>
      </c>
      <c r="G96" s="45"/>
      <c r="I96" s="390"/>
      <c r="J96" s="387"/>
      <c r="K96" s="391"/>
    </row>
    <row r="97" spans="1:11" hidden="1" x14ac:dyDescent="0.25">
      <c r="A97" s="43"/>
      <c r="B97" s="107"/>
      <c r="C97" s="21"/>
      <c r="D97" s="21"/>
      <c r="E97" s="277"/>
      <c r="F97" s="277">
        <v>4116</v>
      </c>
      <c r="G97" s="45"/>
      <c r="I97" s="390"/>
      <c r="J97" s="387"/>
      <c r="K97" s="391"/>
    </row>
    <row r="98" spans="1:11" hidden="1" x14ac:dyDescent="0.25">
      <c r="A98" s="43"/>
      <c r="B98" s="107"/>
      <c r="C98" s="21"/>
      <c r="D98" s="21"/>
      <c r="E98" s="277"/>
      <c r="F98" s="277">
        <v>4116</v>
      </c>
      <c r="G98" s="45"/>
      <c r="I98" s="390"/>
      <c r="J98" s="387"/>
      <c r="K98" s="391"/>
    </row>
    <row r="99" spans="1:11" hidden="1" x14ac:dyDescent="0.25">
      <c r="A99" s="43"/>
      <c r="B99" s="107"/>
      <c r="C99" s="21"/>
      <c r="D99" s="21"/>
      <c r="E99" s="277"/>
      <c r="F99" s="277">
        <v>4116</v>
      </c>
      <c r="G99" s="45"/>
      <c r="I99" s="390"/>
      <c r="J99" s="387"/>
      <c r="K99" s="391"/>
    </row>
    <row r="100" spans="1:11" x14ac:dyDescent="0.25">
      <c r="A100" s="43"/>
      <c r="B100" s="107" t="s">
        <v>267</v>
      </c>
      <c r="C100" s="347">
        <v>50</v>
      </c>
      <c r="D100" s="347">
        <f>50000+50000</f>
        <v>100000</v>
      </c>
      <c r="E100" s="277">
        <v>34273</v>
      </c>
      <c r="F100" s="277">
        <v>4116</v>
      </c>
      <c r="G100" s="384"/>
      <c r="H100" s="384"/>
      <c r="I100" s="390"/>
      <c r="J100" s="387">
        <v>100000</v>
      </c>
      <c r="K100" s="391"/>
    </row>
    <row r="101" spans="1:11" x14ac:dyDescent="0.25">
      <c r="A101" s="43"/>
      <c r="B101" s="107" t="s">
        <v>382</v>
      </c>
      <c r="C101" s="21">
        <v>0</v>
      </c>
      <c r="D101" s="21">
        <v>70000</v>
      </c>
      <c r="E101" s="277">
        <v>34002</v>
      </c>
      <c r="F101" s="277">
        <v>4116</v>
      </c>
      <c r="G101" s="384" t="s">
        <v>349</v>
      </c>
      <c r="H101" s="384">
        <v>70000</v>
      </c>
      <c r="I101" s="390"/>
      <c r="J101" s="387"/>
      <c r="K101" s="391">
        <v>70000</v>
      </c>
    </row>
    <row r="102" spans="1:11" x14ac:dyDescent="0.25">
      <c r="A102" s="43"/>
      <c r="B102" s="107" t="s">
        <v>383</v>
      </c>
      <c r="C102" s="21">
        <v>0</v>
      </c>
      <c r="D102" s="21">
        <v>90000</v>
      </c>
      <c r="E102" s="277">
        <v>34002</v>
      </c>
      <c r="F102" s="277">
        <v>4116</v>
      </c>
      <c r="G102" s="384" t="s">
        <v>349</v>
      </c>
      <c r="H102" s="384">
        <v>90000</v>
      </c>
      <c r="I102" s="390"/>
      <c r="J102" s="387"/>
      <c r="K102" s="391">
        <v>90000</v>
      </c>
    </row>
    <row r="103" spans="1:11" x14ac:dyDescent="0.25">
      <c r="A103" s="43"/>
      <c r="B103" s="107"/>
      <c r="C103" s="21"/>
      <c r="D103" s="21"/>
      <c r="E103" s="277"/>
      <c r="F103" s="277"/>
      <c r="G103" s="45"/>
      <c r="I103" s="390"/>
      <c r="J103" s="387"/>
      <c r="K103" s="391"/>
    </row>
    <row r="104" spans="1:11" x14ac:dyDescent="0.25">
      <c r="A104" s="43"/>
      <c r="B104" s="285" t="s">
        <v>34</v>
      </c>
      <c r="C104" s="40">
        <f>SUM(C105:C139)</f>
        <v>33734.011079999997</v>
      </c>
      <c r="D104" s="40">
        <f>SUM(D105:D167)</f>
        <v>51231160.82</v>
      </c>
      <c r="E104" s="277"/>
      <c r="F104" s="284"/>
      <c r="G104" s="45"/>
      <c r="I104" s="390"/>
      <c r="J104" s="387"/>
      <c r="K104" s="391"/>
    </row>
    <row r="105" spans="1:11" x14ac:dyDescent="0.25">
      <c r="A105" s="43">
        <v>42054</v>
      </c>
      <c r="B105" s="107" t="s">
        <v>68</v>
      </c>
      <c r="C105" s="53">
        <v>972.54641000000004</v>
      </c>
      <c r="D105" s="176">
        <v>972546.41</v>
      </c>
      <c r="E105" s="277">
        <v>33019</v>
      </c>
      <c r="F105" s="284" t="s">
        <v>18</v>
      </c>
      <c r="G105" s="45"/>
      <c r="I105" s="390"/>
      <c r="J105" s="387"/>
      <c r="K105" s="391"/>
    </row>
    <row r="106" spans="1:11" x14ac:dyDescent="0.25">
      <c r="A106" s="43">
        <v>42081</v>
      </c>
      <c r="B106" s="107" t="s">
        <v>117</v>
      </c>
      <c r="C106" s="53">
        <v>192</v>
      </c>
      <c r="D106" s="55">
        <v>192000</v>
      </c>
      <c r="E106" s="277">
        <v>33339</v>
      </c>
      <c r="F106" s="284">
        <v>4116</v>
      </c>
      <c r="G106" s="45"/>
      <c r="I106" s="390"/>
      <c r="J106" s="387"/>
      <c r="K106" s="391"/>
    </row>
    <row r="107" spans="1:11" x14ac:dyDescent="0.25">
      <c r="A107" s="43">
        <v>42116</v>
      </c>
      <c r="B107" s="107" t="s">
        <v>145</v>
      </c>
      <c r="C107" s="53">
        <v>417.25607000000002</v>
      </c>
      <c r="D107" s="197">
        <f>354667.65+62588.42</f>
        <v>417256.07</v>
      </c>
      <c r="E107" s="277">
        <v>33019</v>
      </c>
      <c r="F107" s="284">
        <v>4116</v>
      </c>
      <c r="G107" s="45"/>
      <c r="I107" s="390"/>
      <c r="J107" s="387"/>
      <c r="K107" s="391"/>
    </row>
    <row r="108" spans="1:11" x14ac:dyDescent="0.25">
      <c r="A108" s="43">
        <v>42117</v>
      </c>
      <c r="B108" s="107" t="s">
        <v>148</v>
      </c>
      <c r="C108" s="53">
        <v>6858.8674300000002</v>
      </c>
      <c r="D108" s="415">
        <v>6858867.4299999997</v>
      </c>
      <c r="E108" s="277">
        <v>33019</v>
      </c>
      <c r="F108" s="284">
        <v>4116</v>
      </c>
      <c r="G108" s="45"/>
      <c r="I108" s="390"/>
      <c r="J108" s="387"/>
      <c r="K108" s="391"/>
    </row>
    <row r="109" spans="1:11" x14ac:dyDescent="0.25">
      <c r="A109" s="43">
        <v>42131</v>
      </c>
      <c r="B109" s="107" t="s">
        <v>174</v>
      </c>
      <c r="C109" s="53">
        <v>592.21028999999999</v>
      </c>
      <c r="D109" s="197">
        <v>592210.29</v>
      </c>
      <c r="E109" s="67">
        <v>33019</v>
      </c>
      <c r="F109" s="284">
        <v>4116</v>
      </c>
      <c r="G109" s="45"/>
      <c r="I109" s="390"/>
      <c r="J109" s="387"/>
      <c r="K109" s="391"/>
    </row>
    <row r="110" spans="1:11" x14ac:dyDescent="0.25">
      <c r="A110" s="43">
        <v>42138</v>
      </c>
      <c r="B110" s="107" t="s">
        <v>148</v>
      </c>
      <c r="C110" s="53">
        <v>4904.7020000000002</v>
      </c>
      <c r="D110" s="197">
        <v>4904702</v>
      </c>
      <c r="E110" s="67">
        <v>33019</v>
      </c>
      <c r="F110" s="284">
        <v>4116</v>
      </c>
      <c r="G110" s="45"/>
      <c r="I110" s="390"/>
      <c r="J110" s="387"/>
      <c r="K110" s="391"/>
    </row>
    <row r="111" spans="1:11" x14ac:dyDescent="0.25">
      <c r="A111" s="43">
        <v>42184</v>
      </c>
      <c r="B111" s="107" t="s">
        <v>145</v>
      </c>
      <c r="C111" s="53">
        <v>681.93142</v>
      </c>
      <c r="D111" s="197">
        <v>681931.42</v>
      </c>
      <c r="E111" s="67">
        <v>33019</v>
      </c>
      <c r="F111" s="284">
        <v>4116</v>
      </c>
      <c r="G111" s="45"/>
      <c r="I111" s="390"/>
      <c r="J111" s="387"/>
      <c r="K111" s="391"/>
    </row>
    <row r="112" spans="1:11" x14ac:dyDescent="0.25">
      <c r="A112" s="43">
        <v>42188</v>
      </c>
      <c r="B112" s="276" t="s">
        <v>174</v>
      </c>
      <c r="C112" s="53">
        <v>800.06946000000005</v>
      </c>
      <c r="D112" s="197">
        <v>800069.46</v>
      </c>
      <c r="E112" s="67">
        <v>33019</v>
      </c>
      <c r="F112" s="284">
        <v>4116</v>
      </c>
      <c r="G112" s="45"/>
      <c r="I112" s="390"/>
      <c r="J112" s="387"/>
      <c r="K112" s="391"/>
    </row>
    <row r="113" spans="1:11" x14ac:dyDescent="0.25">
      <c r="A113" s="43">
        <v>42198</v>
      </c>
      <c r="B113" s="276" t="s">
        <v>275</v>
      </c>
      <c r="C113" s="53">
        <f>841.97005+148.58295</f>
        <v>990.553</v>
      </c>
      <c r="D113" s="55">
        <f>841970.05+148582.95</f>
        <v>990553</v>
      </c>
      <c r="E113" s="67">
        <v>33058</v>
      </c>
      <c r="F113" s="284">
        <v>4116</v>
      </c>
      <c r="G113" s="45"/>
      <c r="I113" s="390"/>
      <c r="J113" s="387"/>
      <c r="K113" s="391"/>
    </row>
    <row r="114" spans="1:11" x14ac:dyDescent="0.25">
      <c r="A114" s="43">
        <v>42198</v>
      </c>
      <c r="B114" s="276" t="s">
        <v>276</v>
      </c>
      <c r="C114" s="53">
        <f>846.78615+149.43285</f>
        <v>996.21900000000005</v>
      </c>
      <c r="D114" s="55">
        <f>846786.15+149432.85</f>
        <v>996219</v>
      </c>
      <c r="E114" s="67">
        <v>33058</v>
      </c>
      <c r="F114" s="284">
        <v>4116</v>
      </c>
      <c r="G114" s="45"/>
      <c r="I114" s="390"/>
      <c r="J114" s="387"/>
      <c r="K114" s="391"/>
    </row>
    <row r="115" spans="1:11" x14ac:dyDescent="0.25">
      <c r="A115" s="43">
        <v>42198</v>
      </c>
      <c r="B115" s="276" t="s">
        <v>277</v>
      </c>
      <c r="C115" s="53">
        <f>689.90845+121.74855</f>
        <v>811.65700000000004</v>
      </c>
      <c r="D115" s="55">
        <f>689908.45+121748.55</f>
        <v>811657</v>
      </c>
      <c r="E115" s="67">
        <v>33058</v>
      </c>
      <c r="F115" s="284">
        <v>4116</v>
      </c>
      <c r="G115" s="45"/>
      <c r="I115" s="390"/>
      <c r="J115" s="387"/>
      <c r="K115" s="391"/>
    </row>
    <row r="116" spans="1:11" x14ac:dyDescent="0.25">
      <c r="A116" s="43">
        <v>42200</v>
      </c>
      <c r="B116" s="276" t="s">
        <v>296</v>
      </c>
      <c r="C116" s="53">
        <v>978.06399999999996</v>
      </c>
      <c r="D116" s="55">
        <v>978064</v>
      </c>
      <c r="E116" s="67">
        <v>33058</v>
      </c>
      <c r="F116" s="284">
        <v>4116</v>
      </c>
      <c r="G116" s="45"/>
      <c r="I116" s="390"/>
      <c r="J116" s="387"/>
      <c r="K116" s="391"/>
    </row>
    <row r="117" spans="1:11" x14ac:dyDescent="0.25">
      <c r="A117" s="43">
        <v>42200</v>
      </c>
      <c r="B117" s="276" t="s">
        <v>297</v>
      </c>
      <c r="C117" s="53">
        <v>914.54499999999996</v>
      </c>
      <c r="D117" s="55">
        <v>914545</v>
      </c>
      <c r="E117" s="67">
        <v>33058</v>
      </c>
      <c r="F117" s="284">
        <v>4116</v>
      </c>
      <c r="G117" s="45"/>
      <c r="I117" s="390"/>
      <c r="J117" s="387"/>
      <c r="K117" s="391"/>
    </row>
    <row r="118" spans="1:11" x14ac:dyDescent="0.25">
      <c r="A118" s="43">
        <v>42200</v>
      </c>
      <c r="B118" s="276" t="s">
        <v>298</v>
      </c>
      <c r="C118" s="53">
        <v>797.56700000000001</v>
      </c>
      <c r="D118" s="55">
        <v>797567</v>
      </c>
      <c r="E118" s="67">
        <v>33058</v>
      </c>
      <c r="F118" s="284">
        <v>4116</v>
      </c>
      <c r="G118" s="45"/>
      <c r="I118" s="390"/>
      <c r="J118" s="387"/>
      <c r="K118" s="391"/>
    </row>
    <row r="119" spans="1:11" x14ac:dyDescent="0.25">
      <c r="A119" s="43">
        <v>42200</v>
      </c>
      <c r="B119" s="276" t="s">
        <v>299</v>
      </c>
      <c r="C119" s="53">
        <v>991.53399999999999</v>
      </c>
      <c r="D119" s="55">
        <v>991534</v>
      </c>
      <c r="E119" s="67">
        <v>33058</v>
      </c>
      <c r="F119" s="284">
        <v>4116</v>
      </c>
      <c r="G119" s="45"/>
      <c r="I119" s="390"/>
      <c r="J119" s="387"/>
      <c r="K119" s="391"/>
    </row>
    <row r="120" spans="1:11" x14ac:dyDescent="0.25">
      <c r="A120" s="43">
        <v>42200</v>
      </c>
      <c r="B120" s="276" t="s">
        <v>300</v>
      </c>
      <c r="C120" s="53">
        <v>959.90899999999999</v>
      </c>
      <c r="D120" s="55">
        <v>959909</v>
      </c>
      <c r="E120" s="67">
        <v>33058</v>
      </c>
      <c r="F120" s="284">
        <v>4116</v>
      </c>
      <c r="G120" s="45"/>
      <c r="I120" s="390"/>
      <c r="J120" s="387"/>
      <c r="K120" s="391"/>
    </row>
    <row r="121" spans="1:11" x14ac:dyDescent="0.25">
      <c r="A121" s="43">
        <v>42206</v>
      </c>
      <c r="B121" s="276" t="s">
        <v>314</v>
      </c>
      <c r="C121" s="53">
        <v>415.29</v>
      </c>
      <c r="D121" s="55">
        <v>415290</v>
      </c>
      <c r="E121" s="67">
        <v>33058</v>
      </c>
      <c r="F121" s="284">
        <v>4116</v>
      </c>
      <c r="G121" s="45"/>
      <c r="I121" s="390"/>
      <c r="J121" s="387"/>
      <c r="K121" s="391"/>
    </row>
    <row r="122" spans="1:11" x14ac:dyDescent="0.25">
      <c r="A122" s="43">
        <v>42206</v>
      </c>
      <c r="B122" s="276" t="s">
        <v>315</v>
      </c>
      <c r="C122" s="53">
        <v>578.94200000000001</v>
      </c>
      <c r="D122" s="55">
        <v>578942</v>
      </c>
      <c r="E122" s="67">
        <v>33058</v>
      </c>
      <c r="F122" s="284">
        <v>4116</v>
      </c>
      <c r="G122" s="45"/>
      <c r="I122" s="390"/>
      <c r="J122" s="387"/>
      <c r="K122" s="391"/>
    </row>
    <row r="123" spans="1:11" x14ac:dyDescent="0.25">
      <c r="A123" s="43">
        <v>42206</v>
      </c>
      <c r="B123" s="276" t="s">
        <v>316</v>
      </c>
      <c r="C123" s="53">
        <v>528.80200000000002</v>
      </c>
      <c r="D123" s="55">
        <v>528802</v>
      </c>
      <c r="E123" s="67">
        <v>33058</v>
      </c>
      <c r="F123" s="284">
        <v>4116</v>
      </c>
      <c r="G123" s="45"/>
      <c r="I123" s="390"/>
      <c r="J123" s="387"/>
      <c r="K123" s="391"/>
    </row>
    <row r="124" spans="1:11" x14ac:dyDescent="0.25">
      <c r="A124" s="43">
        <v>42206</v>
      </c>
      <c r="B124" s="276" t="s">
        <v>317</v>
      </c>
      <c r="C124" s="53">
        <v>672.51599999999996</v>
      </c>
      <c r="D124" s="55">
        <v>672516</v>
      </c>
      <c r="E124" s="67">
        <v>33058</v>
      </c>
      <c r="F124" s="284">
        <v>4116</v>
      </c>
      <c r="G124" s="45"/>
      <c r="I124" s="390"/>
      <c r="J124" s="387"/>
      <c r="K124" s="391"/>
    </row>
    <row r="125" spans="1:11" x14ac:dyDescent="0.25">
      <c r="A125" s="43">
        <v>42206</v>
      </c>
      <c r="B125" s="276" t="s">
        <v>318</v>
      </c>
      <c r="C125" s="53">
        <v>424.34399999999999</v>
      </c>
      <c r="D125" s="55">
        <v>424344</v>
      </c>
      <c r="E125" s="67">
        <v>33058</v>
      </c>
      <c r="F125" s="284">
        <v>4116</v>
      </c>
      <c r="G125" s="45"/>
      <c r="I125" s="390"/>
      <c r="J125" s="387"/>
      <c r="K125" s="391"/>
    </row>
    <row r="126" spans="1:11" x14ac:dyDescent="0.25">
      <c r="A126" s="43">
        <v>42206</v>
      </c>
      <c r="B126" s="276" t="s">
        <v>319</v>
      </c>
      <c r="C126" s="47">
        <v>315.46100000000001</v>
      </c>
      <c r="D126" s="55">
        <v>315461</v>
      </c>
      <c r="E126" s="67">
        <v>33058</v>
      </c>
      <c r="F126" s="284">
        <v>4116</v>
      </c>
      <c r="G126" s="45"/>
      <c r="I126" s="390"/>
      <c r="J126" s="387"/>
      <c r="K126" s="391"/>
    </row>
    <row r="127" spans="1:11" x14ac:dyDescent="0.25">
      <c r="A127" s="43">
        <v>42206</v>
      </c>
      <c r="B127" s="276" t="s">
        <v>320</v>
      </c>
      <c r="C127" s="47">
        <v>537.85599999999999</v>
      </c>
      <c r="D127" s="55">
        <v>537856</v>
      </c>
      <c r="E127" s="67">
        <v>33058</v>
      </c>
      <c r="F127" s="284">
        <v>4116</v>
      </c>
      <c r="G127" s="45"/>
      <c r="I127" s="390"/>
      <c r="J127" s="387"/>
      <c r="K127" s="391"/>
    </row>
    <row r="128" spans="1:11" x14ac:dyDescent="0.25">
      <c r="A128" s="43">
        <v>42206</v>
      </c>
      <c r="B128" s="276" t="s">
        <v>321</v>
      </c>
      <c r="C128" s="47">
        <v>980.19799999999998</v>
      </c>
      <c r="D128" s="55">
        <v>980198</v>
      </c>
      <c r="E128" s="67">
        <v>33058</v>
      </c>
      <c r="F128" s="284">
        <v>4116</v>
      </c>
      <c r="G128" s="45"/>
      <c r="I128" s="390"/>
      <c r="J128" s="387"/>
      <c r="K128" s="391"/>
    </row>
    <row r="129" spans="1:11" x14ac:dyDescent="0.25">
      <c r="A129" s="43">
        <v>42209</v>
      </c>
      <c r="B129" s="276" t="s">
        <v>323</v>
      </c>
      <c r="C129" s="47">
        <v>715.23800000000006</v>
      </c>
      <c r="D129" s="55">
        <v>715238</v>
      </c>
      <c r="E129" s="67">
        <v>33058</v>
      </c>
      <c r="F129" s="284">
        <v>4116</v>
      </c>
      <c r="G129" s="45"/>
      <c r="I129" s="390"/>
      <c r="J129" s="387"/>
      <c r="K129" s="391"/>
    </row>
    <row r="130" spans="1:11" x14ac:dyDescent="0.25">
      <c r="A130" s="43">
        <v>42209</v>
      </c>
      <c r="B130" s="276" t="s">
        <v>324</v>
      </c>
      <c r="C130" s="47">
        <v>692.15</v>
      </c>
      <c r="D130" s="55">
        <v>692150</v>
      </c>
      <c r="E130" s="67">
        <v>33058</v>
      </c>
      <c r="F130" s="284">
        <v>4116</v>
      </c>
      <c r="G130" s="45"/>
      <c r="I130" s="390"/>
      <c r="J130" s="387"/>
      <c r="K130" s="391"/>
    </row>
    <row r="131" spans="1:11" x14ac:dyDescent="0.25">
      <c r="A131" s="43">
        <v>42209</v>
      </c>
      <c r="B131" s="276" t="s">
        <v>325</v>
      </c>
      <c r="C131" s="47">
        <v>903.15300000000002</v>
      </c>
      <c r="D131" s="55">
        <v>903153</v>
      </c>
      <c r="E131" s="67">
        <v>33058</v>
      </c>
      <c r="F131" s="284">
        <v>4116</v>
      </c>
      <c r="G131" s="45"/>
      <c r="I131" s="390"/>
      <c r="J131" s="387"/>
      <c r="K131" s="391"/>
    </row>
    <row r="132" spans="1:11" x14ac:dyDescent="0.25">
      <c r="A132" s="43">
        <v>42209</v>
      </c>
      <c r="B132" s="276" t="s">
        <v>326</v>
      </c>
      <c r="C132" s="47">
        <v>328.98700000000002</v>
      </c>
      <c r="D132" s="55">
        <v>328987</v>
      </c>
      <c r="E132" s="67">
        <v>33058</v>
      </c>
      <c r="F132" s="284">
        <v>4116</v>
      </c>
      <c r="G132" s="45"/>
      <c r="I132" s="390"/>
      <c r="J132" s="387"/>
      <c r="K132" s="391"/>
    </row>
    <row r="133" spans="1:11" x14ac:dyDescent="0.25">
      <c r="A133" s="43">
        <v>42209</v>
      </c>
      <c r="B133" s="276" t="s">
        <v>327</v>
      </c>
      <c r="C133" s="47">
        <v>989.45600000000002</v>
      </c>
      <c r="D133" s="55">
        <v>989456</v>
      </c>
      <c r="E133" s="67">
        <v>33058</v>
      </c>
      <c r="F133" s="284">
        <v>4116</v>
      </c>
      <c r="G133" s="45"/>
      <c r="I133" s="390"/>
      <c r="J133" s="387"/>
      <c r="K133" s="391"/>
    </row>
    <row r="134" spans="1:11" x14ac:dyDescent="0.25">
      <c r="A134" s="43">
        <v>42209</v>
      </c>
      <c r="B134" s="276" t="s">
        <v>328</v>
      </c>
      <c r="C134" s="47">
        <v>990.11099999999999</v>
      </c>
      <c r="D134" s="55">
        <v>990111</v>
      </c>
      <c r="E134" s="67">
        <v>33058</v>
      </c>
      <c r="F134" s="284">
        <v>4116</v>
      </c>
      <c r="G134" s="45"/>
      <c r="I134" s="390"/>
      <c r="J134" s="387"/>
      <c r="K134" s="391"/>
    </row>
    <row r="135" spans="1:11" x14ac:dyDescent="0.25">
      <c r="A135" s="43">
        <v>42214</v>
      </c>
      <c r="B135" s="276" t="s">
        <v>335</v>
      </c>
      <c r="C135" s="47">
        <v>973.43499999999995</v>
      </c>
      <c r="D135" s="55">
        <f>827419.75+146015.25</f>
        <v>973435</v>
      </c>
      <c r="E135" s="67">
        <v>33058</v>
      </c>
      <c r="F135" s="277">
        <v>4116</v>
      </c>
      <c r="G135" s="45"/>
      <c r="I135" s="390"/>
      <c r="J135" s="387"/>
      <c r="K135" s="391"/>
    </row>
    <row r="136" spans="1:11" ht="14.45" customHeight="1" x14ac:dyDescent="0.25">
      <c r="A136" s="43">
        <v>42214</v>
      </c>
      <c r="B136" s="276" t="s">
        <v>336</v>
      </c>
      <c r="C136" s="47">
        <v>600.303</v>
      </c>
      <c r="D136" s="55">
        <f>510257.55+90045.45</f>
        <v>600303</v>
      </c>
      <c r="E136" s="67">
        <v>33058</v>
      </c>
      <c r="F136" s="277">
        <v>4116</v>
      </c>
      <c r="G136" s="45"/>
      <c r="I136" s="390"/>
      <c r="J136" s="387"/>
      <c r="K136" s="391"/>
    </row>
    <row r="137" spans="1:11" x14ac:dyDescent="0.25">
      <c r="A137" s="43">
        <v>42214</v>
      </c>
      <c r="B137" s="276" t="s">
        <v>337</v>
      </c>
      <c r="C137" s="47">
        <v>87.683000000000007</v>
      </c>
      <c r="D137" s="55">
        <v>87683</v>
      </c>
      <c r="E137" s="67">
        <v>33060</v>
      </c>
      <c r="F137" s="277">
        <v>4116</v>
      </c>
      <c r="G137" s="45"/>
      <c r="I137" s="390"/>
      <c r="J137" s="387"/>
      <c r="K137" s="391"/>
    </row>
    <row r="138" spans="1:11" x14ac:dyDescent="0.25">
      <c r="A138" s="43">
        <v>42214</v>
      </c>
      <c r="B138" s="276" t="s">
        <v>338</v>
      </c>
      <c r="C138" s="47">
        <v>40</v>
      </c>
      <c r="D138" s="55">
        <v>40000</v>
      </c>
      <c r="E138" s="67">
        <v>33060</v>
      </c>
      <c r="F138" s="277">
        <v>4116</v>
      </c>
      <c r="G138" s="45"/>
      <c r="I138" s="390"/>
      <c r="J138" s="387"/>
      <c r="K138" s="391"/>
    </row>
    <row r="139" spans="1:11" x14ac:dyDescent="0.25">
      <c r="A139" s="43">
        <v>42214</v>
      </c>
      <c r="B139" s="276" t="s">
        <v>339</v>
      </c>
      <c r="C139" s="47">
        <v>100.455</v>
      </c>
      <c r="D139" s="55">
        <v>100455</v>
      </c>
      <c r="E139" s="67">
        <v>33060</v>
      </c>
      <c r="F139" s="277">
        <v>4116</v>
      </c>
      <c r="G139" s="45"/>
      <c r="I139" s="390"/>
      <c r="J139" s="387"/>
      <c r="K139" s="391"/>
    </row>
    <row r="140" spans="1:11" x14ac:dyDescent="0.25">
      <c r="A140" s="43">
        <v>42222</v>
      </c>
      <c r="B140" s="276" t="s">
        <v>361</v>
      </c>
      <c r="C140" s="21">
        <v>568.97299999999996</v>
      </c>
      <c r="D140" s="55">
        <v>568973</v>
      </c>
      <c r="E140" s="67">
        <v>33058</v>
      </c>
      <c r="F140" s="277">
        <v>4116</v>
      </c>
      <c r="G140" s="45"/>
      <c r="I140" s="390"/>
      <c r="J140" s="387"/>
      <c r="K140" s="391"/>
    </row>
    <row r="141" spans="1:11" x14ac:dyDescent="0.25">
      <c r="A141" s="43">
        <v>42227</v>
      </c>
      <c r="B141" s="276" t="s">
        <v>362</v>
      </c>
      <c r="C141" s="21">
        <v>417.58100000000002</v>
      </c>
      <c r="D141" s="55">
        <v>417581</v>
      </c>
      <c r="E141" s="67">
        <v>33058</v>
      </c>
      <c r="F141" s="277">
        <v>4116</v>
      </c>
      <c r="G141" s="45"/>
      <c r="I141" s="390"/>
      <c r="J141" s="387"/>
      <c r="K141" s="391"/>
    </row>
    <row r="142" spans="1:11" x14ac:dyDescent="0.25">
      <c r="A142" s="43">
        <v>42227</v>
      </c>
      <c r="B142" s="276" t="s">
        <v>363</v>
      </c>
      <c r="C142" s="21">
        <v>707.96699999999998</v>
      </c>
      <c r="D142" s="55">
        <v>707967</v>
      </c>
      <c r="E142" s="67">
        <v>33058</v>
      </c>
      <c r="F142" s="277">
        <v>4116</v>
      </c>
      <c r="G142" s="45"/>
      <c r="I142" s="390"/>
      <c r="J142" s="387"/>
      <c r="K142" s="391"/>
    </row>
    <row r="143" spans="1:11" x14ac:dyDescent="0.25">
      <c r="A143" s="43">
        <v>42227</v>
      </c>
      <c r="B143" s="276" t="s">
        <v>364</v>
      </c>
      <c r="C143" s="21">
        <v>542.32799999999997</v>
      </c>
      <c r="D143" s="55">
        <v>542328</v>
      </c>
      <c r="E143" s="67">
        <v>33058</v>
      </c>
      <c r="F143" s="277">
        <v>4116</v>
      </c>
      <c r="G143" s="45"/>
      <c r="I143" s="390"/>
      <c r="J143" s="387"/>
      <c r="K143" s="391"/>
    </row>
    <row r="144" spans="1:11" x14ac:dyDescent="0.25">
      <c r="A144" s="43">
        <v>42227</v>
      </c>
      <c r="B144" s="276" t="s">
        <v>365</v>
      </c>
      <c r="C144" s="21">
        <v>605.84699999999998</v>
      </c>
      <c r="D144" s="55">
        <v>605847</v>
      </c>
      <c r="E144" s="67">
        <v>33058</v>
      </c>
      <c r="F144" s="277">
        <v>4116</v>
      </c>
      <c r="G144" s="45"/>
      <c r="I144" s="390"/>
      <c r="J144" s="387"/>
      <c r="K144" s="391"/>
    </row>
    <row r="145" spans="1:11" x14ac:dyDescent="0.25">
      <c r="A145" s="43">
        <v>42227</v>
      </c>
      <c r="B145" s="276" t="s">
        <v>366</v>
      </c>
      <c r="C145" s="21">
        <v>914.54499999999996</v>
      </c>
      <c r="D145" s="55">
        <v>914545</v>
      </c>
      <c r="E145" s="67">
        <v>33058</v>
      </c>
      <c r="F145" s="277">
        <v>4116</v>
      </c>
      <c r="G145" s="45"/>
      <c r="I145" s="390"/>
      <c r="J145" s="387"/>
      <c r="K145" s="391"/>
    </row>
    <row r="146" spans="1:11" x14ac:dyDescent="0.25">
      <c r="A146" s="43">
        <v>42229</v>
      </c>
      <c r="B146" s="276" t="s">
        <v>369</v>
      </c>
      <c r="C146" s="21">
        <v>614.12400000000002</v>
      </c>
      <c r="D146" s="55">
        <v>614124</v>
      </c>
      <c r="E146" s="67">
        <v>33058</v>
      </c>
      <c r="F146" s="277">
        <v>4116</v>
      </c>
      <c r="G146" s="45"/>
      <c r="I146" s="390"/>
      <c r="J146" s="387"/>
      <c r="K146" s="391"/>
    </row>
    <row r="147" spans="1:11" x14ac:dyDescent="0.25">
      <c r="A147" s="43">
        <v>42229</v>
      </c>
      <c r="B147" s="276" t="s">
        <v>370</v>
      </c>
      <c r="C147" s="21">
        <v>492.49200000000002</v>
      </c>
      <c r="D147" s="55">
        <v>492492</v>
      </c>
      <c r="E147" s="67">
        <v>33058</v>
      </c>
      <c r="F147" s="277">
        <v>4116</v>
      </c>
      <c r="G147" s="45"/>
      <c r="I147" s="390"/>
      <c r="J147" s="387"/>
      <c r="K147" s="391"/>
    </row>
    <row r="148" spans="1:11" x14ac:dyDescent="0.25">
      <c r="A148" s="43">
        <v>42233</v>
      </c>
      <c r="B148" s="276" t="s">
        <v>371</v>
      </c>
      <c r="C148" s="21">
        <v>378.98</v>
      </c>
      <c r="D148" s="55">
        <v>378980</v>
      </c>
      <c r="E148" s="67">
        <v>33058</v>
      </c>
      <c r="F148" s="277">
        <v>4116</v>
      </c>
      <c r="G148" s="45"/>
      <c r="I148" s="390"/>
      <c r="J148" s="387"/>
      <c r="K148" s="391"/>
    </row>
    <row r="149" spans="1:11" x14ac:dyDescent="0.25">
      <c r="A149" s="43">
        <v>42233</v>
      </c>
      <c r="B149" s="276" t="s">
        <v>372</v>
      </c>
      <c r="C149" s="21">
        <v>785.52</v>
      </c>
      <c r="D149" s="55">
        <v>785520</v>
      </c>
      <c r="E149" s="67">
        <v>33058</v>
      </c>
      <c r="F149" s="277">
        <v>4116</v>
      </c>
      <c r="G149" s="45"/>
      <c r="I149" s="390"/>
      <c r="J149" s="387"/>
      <c r="K149" s="391"/>
    </row>
    <row r="150" spans="1:11" x14ac:dyDescent="0.25">
      <c r="A150" s="43">
        <v>42233</v>
      </c>
      <c r="B150" s="276" t="s">
        <v>373</v>
      </c>
      <c r="C150" s="21">
        <v>447.12799999999999</v>
      </c>
      <c r="D150" s="55">
        <v>447128</v>
      </c>
      <c r="E150" s="67">
        <v>33058</v>
      </c>
      <c r="F150" s="277">
        <v>4116</v>
      </c>
      <c r="G150" s="45"/>
      <c r="I150" s="390"/>
      <c r="J150" s="387"/>
      <c r="K150" s="391"/>
    </row>
    <row r="151" spans="1:11" x14ac:dyDescent="0.25">
      <c r="A151" s="43">
        <v>42233</v>
      </c>
      <c r="B151" s="276" t="s">
        <v>374</v>
      </c>
      <c r="C151" s="21">
        <v>692.15</v>
      </c>
      <c r="D151" s="55">
        <v>692150</v>
      </c>
      <c r="E151" s="67">
        <v>33058</v>
      </c>
      <c r="F151" s="277">
        <v>4116</v>
      </c>
      <c r="G151" s="45"/>
      <c r="I151" s="390"/>
      <c r="J151" s="387"/>
      <c r="K151" s="391"/>
    </row>
    <row r="152" spans="1:11" x14ac:dyDescent="0.25">
      <c r="A152" s="43">
        <v>42236</v>
      </c>
      <c r="B152" s="276" t="s">
        <v>375</v>
      </c>
      <c r="C152" s="21">
        <v>0</v>
      </c>
      <c r="D152" s="55">
        <v>479972</v>
      </c>
      <c r="E152" s="67">
        <v>33058</v>
      </c>
      <c r="F152" s="277">
        <v>4116</v>
      </c>
      <c r="G152" s="45"/>
      <c r="I152" s="390"/>
      <c r="J152" s="387"/>
      <c r="K152" s="391"/>
    </row>
    <row r="153" spans="1:11" x14ac:dyDescent="0.25">
      <c r="A153" s="43">
        <v>42236</v>
      </c>
      <c r="B153" s="276" t="s">
        <v>376</v>
      </c>
      <c r="C153" s="21">
        <v>0</v>
      </c>
      <c r="D153" s="55">
        <v>964177</v>
      </c>
      <c r="E153" s="67">
        <v>33058</v>
      </c>
      <c r="F153" s="277">
        <v>4116</v>
      </c>
      <c r="G153" s="45"/>
      <c r="I153" s="390"/>
      <c r="J153" s="387"/>
      <c r="K153" s="391"/>
    </row>
    <row r="154" spans="1:11" x14ac:dyDescent="0.25">
      <c r="A154" s="43">
        <v>42236</v>
      </c>
      <c r="B154" s="276" t="s">
        <v>377</v>
      </c>
      <c r="C154" s="21">
        <v>0</v>
      </c>
      <c r="D154" s="55">
        <v>736599</v>
      </c>
      <c r="E154" s="67">
        <v>33058</v>
      </c>
      <c r="F154" s="277">
        <v>4116</v>
      </c>
      <c r="G154" s="45"/>
      <c r="I154" s="390"/>
      <c r="J154" s="387"/>
      <c r="K154" s="391"/>
    </row>
    <row r="155" spans="1:11" x14ac:dyDescent="0.25">
      <c r="A155" s="43">
        <v>42236</v>
      </c>
      <c r="B155" s="276" t="s">
        <v>378</v>
      </c>
      <c r="C155" s="21">
        <v>0</v>
      </c>
      <c r="D155" s="55">
        <v>501897</v>
      </c>
      <c r="E155" s="67">
        <v>33058</v>
      </c>
      <c r="F155" s="277">
        <v>4116</v>
      </c>
      <c r="G155" s="45"/>
      <c r="I155" s="390"/>
      <c r="J155" s="387"/>
      <c r="K155" s="391"/>
    </row>
    <row r="156" spans="1:11" x14ac:dyDescent="0.25">
      <c r="A156" s="43">
        <v>42240</v>
      </c>
      <c r="B156" s="276" t="s">
        <v>400</v>
      </c>
      <c r="C156" s="21">
        <v>0</v>
      </c>
      <c r="D156" s="55">
        <v>390372</v>
      </c>
      <c r="E156" s="67">
        <v>33058</v>
      </c>
      <c r="F156" s="277">
        <v>4116</v>
      </c>
      <c r="G156" s="45"/>
      <c r="I156" s="390"/>
      <c r="J156" s="387"/>
      <c r="K156" s="391"/>
    </row>
    <row r="157" spans="1:11" x14ac:dyDescent="0.25">
      <c r="A157" s="43">
        <v>42240</v>
      </c>
      <c r="B157" s="276" t="s">
        <v>384</v>
      </c>
      <c r="C157" s="21">
        <v>0</v>
      </c>
      <c r="D157" s="55">
        <v>227024</v>
      </c>
      <c r="E157" s="67">
        <v>33058</v>
      </c>
      <c r="F157" s="277">
        <v>4116</v>
      </c>
      <c r="G157" s="45"/>
      <c r="I157" s="390"/>
      <c r="J157" s="387"/>
      <c r="K157" s="391"/>
    </row>
    <row r="158" spans="1:11" x14ac:dyDescent="0.25">
      <c r="A158" s="43">
        <v>42240</v>
      </c>
      <c r="B158" s="276" t="s">
        <v>385</v>
      </c>
      <c r="C158" s="21">
        <v>0</v>
      </c>
      <c r="D158" s="55">
        <v>649077</v>
      </c>
      <c r="E158" s="67">
        <v>33058</v>
      </c>
      <c r="F158" s="277">
        <v>4116</v>
      </c>
      <c r="G158" s="45"/>
      <c r="I158" s="390"/>
      <c r="J158" s="387"/>
      <c r="K158" s="391"/>
    </row>
    <row r="159" spans="1:11" x14ac:dyDescent="0.25">
      <c r="A159" s="43">
        <v>42240</v>
      </c>
      <c r="B159" s="276" t="s">
        <v>386</v>
      </c>
      <c r="C159" s="21">
        <v>0</v>
      </c>
      <c r="D159" s="55">
        <v>982693</v>
      </c>
      <c r="E159" s="67">
        <v>33058</v>
      </c>
      <c r="F159" s="277">
        <v>4116</v>
      </c>
      <c r="G159" s="45"/>
      <c r="I159" s="390"/>
      <c r="J159" s="387"/>
      <c r="K159" s="391"/>
    </row>
    <row r="160" spans="1:11" x14ac:dyDescent="0.25">
      <c r="A160" s="43">
        <v>42240</v>
      </c>
      <c r="B160" s="276" t="s">
        <v>387</v>
      </c>
      <c r="C160" s="21">
        <v>0</v>
      </c>
      <c r="D160" s="55">
        <v>481100</v>
      </c>
      <c r="E160" s="67">
        <v>33058</v>
      </c>
      <c r="F160" s="277">
        <v>4116</v>
      </c>
      <c r="G160" s="45"/>
      <c r="I160" s="390"/>
      <c r="J160" s="387"/>
      <c r="K160" s="391"/>
    </row>
    <row r="161" spans="1:11" x14ac:dyDescent="0.25">
      <c r="A161" s="43">
        <v>42240</v>
      </c>
      <c r="B161" s="276" t="s">
        <v>388</v>
      </c>
      <c r="C161" s="21">
        <v>0</v>
      </c>
      <c r="D161" s="55">
        <v>979070</v>
      </c>
      <c r="E161" s="67">
        <v>33058</v>
      </c>
      <c r="F161" s="277">
        <v>4116</v>
      </c>
      <c r="G161" s="45"/>
      <c r="I161" s="390"/>
      <c r="J161" s="387"/>
      <c r="K161" s="391"/>
    </row>
    <row r="162" spans="1:11" x14ac:dyDescent="0.25">
      <c r="A162" s="43">
        <v>42240</v>
      </c>
      <c r="B162" s="276" t="s">
        <v>389</v>
      </c>
      <c r="C162" s="21">
        <v>0</v>
      </c>
      <c r="D162" s="55">
        <v>354062</v>
      </c>
      <c r="E162" s="67">
        <v>33058</v>
      </c>
      <c r="F162" s="277">
        <v>4116</v>
      </c>
      <c r="G162" s="45"/>
      <c r="I162" s="390"/>
      <c r="J162" s="387"/>
      <c r="K162" s="391"/>
    </row>
    <row r="163" spans="1:11" x14ac:dyDescent="0.25">
      <c r="A163" s="43">
        <v>42240</v>
      </c>
      <c r="B163" s="276" t="s">
        <v>390</v>
      </c>
      <c r="C163" s="21">
        <v>0</v>
      </c>
      <c r="D163" s="55">
        <v>227024</v>
      </c>
      <c r="E163" s="67">
        <v>33058</v>
      </c>
      <c r="F163" s="277">
        <v>4116</v>
      </c>
      <c r="G163" s="45"/>
      <c r="I163" s="390"/>
      <c r="J163" s="387"/>
      <c r="K163" s="391"/>
    </row>
    <row r="164" spans="1:11" x14ac:dyDescent="0.25">
      <c r="A164" s="43">
        <v>42240</v>
      </c>
      <c r="B164" s="276" t="s">
        <v>391</v>
      </c>
      <c r="C164" s="21">
        <v>0</v>
      </c>
      <c r="D164" s="55">
        <v>998444</v>
      </c>
      <c r="E164" s="67">
        <v>33058</v>
      </c>
      <c r="F164" s="277">
        <v>4116</v>
      </c>
      <c r="G164" s="45"/>
      <c r="I164" s="390"/>
      <c r="J164" s="387"/>
      <c r="K164" s="391"/>
    </row>
    <row r="165" spans="1:11" x14ac:dyDescent="0.25">
      <c r="A165" s="43">
        <v>42240</v>
      </c>
      <c r="B165" s="276" t="s">
        <v>392</v>
      </c>
      <c r="C165" s="21">
        <v>0</v>
      </c>
      <c r="D165" s="55">
        <v>265468</v>
      </c>
      <c r="E165" s="67">
        <v>33058</v>
      </c>
      <c r="F165" s="277">
        <v>4116</v>
      </c>
      <c r="G165" s="384"/>
      <c r="H165" s="384"/>
      <c r="I165" s="390"/>
      <c r="J165" s="387"/>
      <c r="K165" s="391"/>
    </row>
    <row r="166" spans="1:11" x14ac:dyDescent="0.25">
      <c r="A166" s="43">
        <v>42242</v>
      </c>
      <c r="B166" s="276" t="s">
        <v>148</v>
      </c>
      <c r="C166" s="21">
        <v>0</v>
      </c>
      <c r="D166" s="176">
        <v>2092535.74</v>
      </c>
      <c r="E166" s="67">
        <v>33019</v>
      </c>
      <c r="F166" s="277">
        <v>4116</v>
      </c>
      <c r="G166" s="45"/>
      <c r="I166" s="390"/>
      <c r="J166" s="387"/>
      <c r="K166" s="391"/>
    </row>
    <row r="167" spans="1:11" x14ac:dyDescent="0.25">
      <c r="A167" s="43"/>
      <c r="B167" s="107"/>
      <c r="C167" s="21"/>
      <c r="D167" s="53"/>
      <c r="E167" s="67"/>
      <c r="F167" s="277">
        <v>4116</v>
      </c>
      <c r="G167" s="45"/>
      <c r="I167" s="390"/>
      <c r="J167" s="387">
        <v>181303.93</v>
      </c>
      <c r="K167" s="391"/>
    </row>
    <row r="168" spans="1:11" x14ac:dyDescent="0.25">
      <c r="A168" s="43"/>
      <c r="B168" s="273" t="s">
        <v>35</v>
      </c>
      <c r="C168" s="31">
        <f>+SUM(C169:C174)</f>
        <v>2686.6678700000002</v>
      </c>
      <c r="D168" s="31">
        <f>+SUM(D169:D174)</f>
        <v>2686667.87</v>
      </c>
      <c r="E168" s="67"/>
      <c r="F168" s="277"/>
      <c r="G168" s="45"/>
      <c r="I168" s="390"/>
      <c r="J168" s="387"/>
      <c r="K168" s="391"/>
    </row>
    <row r="169" spans="1:11" x14ac:dyDescent="0.25">
      <c r="A169" s="43">
        <v>42040</v>
      </c>
      <c r="B169" s="107" t="s">
        <v>60</v>
      </c>
      <c r="C169" s="53">
        <v>2686.6678700000002</v>
      </c>
      <c r="D169" s="53">
        <v>2686667.87</v>
      </c>
      <c r="E169" s="67">
        <v>17003</v>
      </c>
      <c r="F169" s="277" t="s">
        <v>18</v>
      </c>
      <c r="G169" s="45"/>
      <c r="I169" s="390"/>
      <c r="J169" s="387"/>
      <c r="K169" s="391"/>
    </row>
    <row r="170" spans="1:11" x14ac:dyDescent="0.25">
      <c r="A170" s="43">
        <v>42059</v>
      </c>
      <c r="B170" s="107" t="s">
        <v>105</v>
      </c>
      <c r="C170" s="53">
        <v>188.21549999999999</v>
      </c>
      <c r="D170" s="53">
        <v>188215.5</v>
      </c>
      <c r="E170" s="67">
        <v>17003</v>
      </c>
      <c r="F170" s="277">
        <v>4116</v>
      </c>
      <c r="G170" s="45"/>
      <c r="I170" s="390"/>
      <c r="J170" s="387"/>
      <c r="K170" s="391"/>
    </row>
    <row r="171" spans="1:11" x14ac:dyDescent="0.25">
      <c r="A171" s="43">
        <v>42059</v>
      </c>
      <c r="B171" s="107" t="s">
        <v>105</v>
      </c>
      <c r="C171" s="53">
        <v>33.214500000000001</v>
      </c>
      <c r="D171" s="53">
        <v>33214.5</v>
      </c>
      <c r="E171" s="67">
        <v>17002</v>
      </c>
      <c r="F171" s="277">
        <v>4116</v>
      </c>
      <c r="G171" s="45"/>
      <c r="I171" s="390"/>
      <c r="J171" s="387"/>
      <c r="K171" s="391"/>
    </row>
    <row r="172" spans="1:11" x14ac:dyDescent="0.25">
      <c r="A172" s="43">
        <v>42241</v>
      </c>
      <c r="B172" s="107" t="s">
        <v>379</v>
      </c>
      <c r="C172" s="53">
        <v>-188.21549999999999</v>
      </c>
      <c r="D172" s="53">
        <v>-188215.5</v>
      </c>
      <c r="E172" s="67">
        <v>17003</v>
      </c>
      <c r="F172" s="277">
        <v>4116</v>
      </c>
      <c r="G172" s="45"/>
      <c r="I172" s="390"/>
      <c r="J172" s="387"/>
      <c r="K172" s="391"/>
    </row>
    <row r="173" spans="1:11" x14ac:dyDescent="0.25">
      <c r="A173" s="43">
        <v>42241</v>
      </c>
      <c r="B173" s="107" t="s">
        <v>379</v>
      </c>
      <c r="C173" s="53">
        <v>-33.214500000000001</v>
      </c>
      <c r="D173" s="53">
        <v>-33214.5</v>
      </c>
      <c r="E173" s="67">
        <v>17002</v>
      </c>
      <c r="F173" s="277">
        <v>4116</v>
      </c>
      <c r="G173" s="45"/>
      <c r="I173" s="390"/>
      <c r="J173" s="387"/>
      <c r="K173" s="391"/>
    </row>
    <row r="174" spans="1:11" x14ac:dyDescent="0.25">
      <c r="A174" s="43"/>
      <c r="B174" s="289"/>
      <c r="C174" s="53"/>
      <c r="D174" s="53"/>
      <c r="E174" s="67"/>
      <c r="F174" s="277"/>
      <c r="G174" s="45"/>
      <c r="I174" s="390"/>
      <c r="J174" s="387"/>
      <c r="K174" s="391"/>
    </row>
    <row r="175" spans="1:11" x14ac:dyDescent="0.25">
      <c r="A175" s="43"/>
      <c r="B175" s="31" t="s">
        <v>36</v>
      </c>
      <c r="C175" s="31">
        <f>+SUM(C176:C181)</f>
        <v>47811.788510000006</v>
      </c>
      <c r="D175" s="31">
        <f>+SUM(D176:D181)</f>
        <v>47811788.509999998</v>
      </c>
      <c r="E175" s="67"/>
      <c r="F175" s="277"/>
      <c r="G175" s="45">
        <f>4652914-D177</f>
        <v>4147348</v>
      </c>
      <c r="I175" s="390"/>
      <c r="J175" s="387"/>
      <c r="K175" s="391"/>
    </row>
    <row r="176" spans="1:11" x14ac:dyDescent="0.25">
      <c r="A176" s="43">
        <v>42163</v>
      </c>
      <c r="B176" s="107" t="s">
        <v>237</v>
      </c>
      <c r="C176" s="21">
        <v>46797.196000000004</v>
      </c>
      <c r="D176" s="53">
        <v>46797196</v>
      </c>
      <c r="E176" s="67">
        <v>13011</v>
      </c>
      <c r="F176" s="277">
        <v>4116</v>
      </c>
      <c r="G176" s="384" t="s">
        <v>348</v>
      </c>
      <c r="H176" s="384">
        <v>42649848</v>
      </c>
      <c r="I176" s="390"/>
      <c r="J176" s="387">
        <v>42649848</v>
      </c>
      <c r="K176" s="391"/>
    </row>
    <row r="177" spans="1:11" x14ac:dyDescent="0.25">
      <c r="A177" s="43">
        <v>42163</v>
      </c>
      <c r="B177" s="107" t="s">
        <v>238</v>
      </c>
      <c r="C177" s="21">
        <v>505.56599999999997</v>
      </c>
      <c r="D177" s="53">
        <v>505566</v>
      </c>
      <c r="E177" s="67">
        <v>13011</v>
      </c>
      <c r="F177" s="277">
        <v>4116</v>
      </c>
      <c r="G177" s="45"/>
      <c r="I177" s="390"/>
      <c r="J177" s="387"/>
      <c r="K177" s="391"/>
    </row>
    <row r="178" spans="1:11" x14ac:dyDescent="0.25">
      <c r="A178" s="43"/>
      <c r="B178" s="107"/>
      <c r="C178" s="21"/>
      <c r="D178" s="53"/>
      <c r="E178" s="67"/>
      <c r="F178" s="277">
        <v>4116</v>
      </c>
      <c r="G178" s="45"/>
      <c r="I178" s="390"/>
      <c r="J178" s="387"/>
      <c r="K178" s="391"/>
    </row>
    <row r="179" spans="1:11" x14ac:dyDescent="0.25">
      <c r="A179" s="43"/>
      <c r="B179" s="107"/>
      <c r="C179" s="21"/>
      <c r="D179" s="53"/>
      <c r="E179" s="67"/>
      <c r="F179" s="277">
        <v>4116</v>
      </c>
      <c r="G179" s="45"/>
      <c r="I179" s="390"/>
      <c r="J179" s="387">
        <v>181303.93</v>
      </c>
      <c r="K179" s="391"/>
    </row>
    <row r="180" spans="1:11" x14ac:dyDescent="0.25">
      <c r="A180" s="43"/>
      <c r="B180" s="44" t="s">
        <v>196</v>
      </c>
      <c r="C180" s="176">
        <v>181.30393000000001</v>
      </c>
      <c r="D180" s="176">
        <v>181303.93</v>
      </c>
      <c r="E180" s="67">
        <v>13233</v>
      </c>
      <c r="F180" s="277">
        <v>4116</v>
      </c>
      <c r="G180" s="45"/>
      <c r="I180" s="390"/>
      <c r="J180" s="387">
        <v>327722.58</v>
      </c>
      <c r="K180" s="391"/>
    </row>
    <row r="181" spans="1:11" x14ac:dyDescent="0.25">
      <c r="A181" s="43"/>
      <c r="B181" s="44" t="s">
        <v>203</v>
      </c>
      <c r="C181" s="176">
        <v>327.72257999999999</v>
      </c>
      <c r="D181" s="176">
        <v>327722.58</v>
      </c>
      <c r="E181" s="67">
        <v>13233</v>
      </c>
      <c r="F181" s="277">
        <v>4116</v>
      </c>
      <c r="G181" s="45"/>
      <c r="I181" s="390"/>
      <c r="J181" s="387"/>
      <c r="K181" s="391"/>
    </row>
    <row r="182" spans="1:11" x14ac:dyDescent="0.25">
      <c r="A182" s="43"/>
      <c r="B182" s="58"/>
      <c r="C182" s="47"/>
      <c r="D182" s="56"/>
      <c r="E182" s="67"/>
      <c r="F182" s="277"/>
      <c r="G182" s="45"/>
      <c r="I182" s="390"/>
      <c r="J182" s="387"/>
      <c r="K182" s="391"/>
    </row>
    <row r="183" spans="1:11" x14ac:dyDescent="0.25">
      <c r="A183" s="43"/>
      <c r="B183" s="273" t="s">
        <v>38</v>
      </c>
      <c r="C183" s="31">
        <f>+C184</f>
        <v>600</v>
      </c>
      <c r="D183" s="31">
        <f>+D184</f>
        <v>600000</v>
      </c>
      <c r="E183" s="67"/>
      <c r="F183" s="277"/>
      <c r="G183" s="45"/>
      <c r="I183" s="390"/>
      <c r="J183" s="387"/>
      <c r="K183" s="391"/>
    </row>
    <row r="184" spans="1:11" x14ac:dyDescent="0.25">
      <c r="A184" s="43">
        <v>42051</v>
      </c>
      <c r="B184" s="107" t="s">
        <v>39</v>
      </c>
      <c r="C184" s="47">
        <v>600</v>
      </c>
      <c r="D184" s="47">
        <v>600000</v>
      </c>
      <c r="E184" s="67">
        <v>22005</v>
      </c>
      <c r="F184" s="277" t="s">
        <v>18</v>
      </c>
      <c r="G184" s="45"/>
      <c r="I184" s="390"/>
      <c r="J184" s="387"/>
      <c r="K184" s="391"/>
    </row>
    <row r="185" spans="1:11" x14ac:dyDescent="0.25">
      <c r="A185" s="43"/>
      <c r="B185" s="276"/>
      <c r="C185" s="47"/>
      <c r="D185" s="47"/>
      <c r="E185" s="67"/>
      <c r="F185" s="277"/>
      <c r="G185" s="45"/>
      <c r="I185" s="390"/>
      <c r="J185" s="387"/>
      <c r="K185" s="391"/>
    </row>
    <row r="186" spans="1:11" x14ac:dyDescent="0.25">
      <c r="A186" s="43"/>
      <c r="B186" s="273" t="s">
        <v>40</v>
      </c>
      <c r="C186" s="31">
        <f>SUM(C187:C203)</f>
        <v>1582.5036699999998</v>
      </c>
      <c r="D186" s="31">
        <f>SUM(D187:D203)</f>
        <v>2018748.67</v>
      </c>
      <c r="E186" s="67"/>
      <c r="F186" s="277"/>
      <c r="G186" s="45"/>
      <c r="I186" s="390"/>
      <c r="J186" s="387"/>
      <c r="K186" s="391"/>
    </row>
    <row r="187" spans="1:11" x14ac:dyDescent="0.25">
      <c r="A187" s="43">
        <v>42081</v>
      </c>
      <c r="B187" s="276" t="s">
        <v>118</v>
      </c>
      <c r="C187" s="47">
        <v>134.988</v>
      </c>
      <c r="D187" s="47">
        <v>134988</v>
      </c>
      <c r="E187" s="67">
        <v>14023</v>
      </c>
      <c r="F187" s="277">
        <v>4116</v>
      </c>
      <c r="G187" s="45"/>
      <c r="I187" s="390"/>
      <c r="J187" s="387"/>
      <c r="K187" s="391"/>
    </row>
    <row r="188" spans="1:11" x14ac:dyDescent="0.25">
      <c r="A188" s="43">
        <v>42082</v>
      </c>
      <c r="B188" s="276" t="s">
        <v>119</v>
      </c>
      <c r="C188" s="47">
        <v>72</v>
      </c>
      <c r="D188" s="47">
        <v>72000</v>
      </c>
      <c r="E188" s="67">
        <v>14336</v>
      </c>
      <c r="F188" s="277">
        <v>4116</v>
      </c>
      <c r="G188" s="45"/>
      <c r="I188" s="390"/>
      <c r="J188" s="387"/>
      <c r="K188" s="391"/>
    </row>
    <row r="189" spans="1:11" x14ac:dyDescent="0.25">
      <c r="A189" s="43">
        <v>42087</v>
      </c>
      <c r="B189" s="276" t="s">
        <v>118</v>
      </c>
      <c r="C189" s="47">
        <v>0.8</v>
      </c>
      <c r="D189" s="47">
        <v>800</v>
      </c>
      <c r="E189" s="67">
        <v>14023</v>
      </c>
      <c r="F189" s="277">
        <v>4116</v>
      </c>
      <c r="G189" s="45"/>
      <c r="I189" s="390"/>
      <c r="J189" s="387"/>
      <c r="K189" s="391"/>
    </row>
    <row r="190" spans="1:11" x14ac:dyDescent="0.25">
      <c r="A190" s="43">
        <v>42090</v>
      </c>
      <c r="B190" s="276" t="s">
        <v>118</v>
      </c>
      <c r="C190" s="47">
        <v>66.06</v>
      </c>
      <c r="D190" s="47">
        <v>66060</v>
      </c>
      <c r="E190" s="67">
        <v>14023</v>
      </c>
      <c r="F190" s="277">
        <v>4116</v>
      </c>
      <c r="G190" s="45"/>
      <c r="I190" s="390"/>
      <c r="J190" s="387"/>
      <c r="K190" s="391"/>
    </row>
    <row r="191" spans="1:11" x14ac:dyDescent="0.25">
      <c r="A191" s="43">
        <v>42096</v>
      </c>
      <c r="B191" s="276" t="s">
        <v>136</v>
      </c>
      <c r="C191" s="47">
        <v>72</v>
      </c>
      <c r="D191" s="47">
        <v>72000</v>
      </c>
      <c r="E191" s="67">
        <v>14336</v>
      </c>
      <c r="F191" s="277">
        <v>4116</v>
      </c>
      <c r="G191" s="45"/>
      <c r="I191" s="390"/>
      <c r="J191" s="387"/>
      <c r="K191" s="391"/>
    </row>
    <row r="192" spans="1:11" x14ac:dyDescent="0.25">
      <c r="A192" s="43">
        <v>42096</v>
      </c>
      <c r="B192" s="276" t="s">
        <v>137</v>
      </c>
      <c r="C192" s="47">
        <v>72</v>
      </c>
      <c r="D192" s="47">
        <v>72000</v>
      </c>
      <c r="E192" s="67">
        <v>14336</v>
      </c>
      <c r="F192" s="277">
        <v>4116</v>
      </c>
      <c r="G192" s="45"/>
      <c r="I192" s="390"/>
      <c r="J192" s="387"/>
      <c r="K192" s="391"/>
    </row>
    <row r="193" spans="1:11" x14ac:dyDescent="0.25">
      <c r="A193" s="43">
        <v>42123</v>
      </c>
      <c r="B193" s="276" t="s">
        <v>153</v>
      </c>
      <c r="C193" s="47">
        <v>72</v>
      </c>
      <c r="D193" s="47">
        <v>72000</v>
      </c>
      <c r="E193" s="67">
        <v>14336</v>
      </c>
      <c r="F193" s="277">
        <v>4116</v>
      </c>
      <c r="G193" s="45"/>
      <c r="I193" s="390"/>
      <c r="J193" s="387"/>
      <c r="K193" s="391"/>
    </row>
    <row r="194" spans="1:11" x14ac:dyDescent="0.25">
      <c r="A194" s="43">
        <v>42128</v>
      </c>
      <c r="B194" s="276" t="s">
        <v>118</v>
      </c>
      <c r="C194" s="47">
        <v>65.341999999999999</v>
      </c>
      <c r="D194" s="47">
        <v>65342</v>
      </c>
      <c r="E194" s="67">
        <v>14023</v>
      </c>
      <c r="F194" s="277">
        <v>4116</v>
      </c>
      <c r="G194" s="45"/>
      <c r="I194" s="390"/>
      <c r="J194" s="387"/>
      <c r="K194" s="391"/>
    </row>
    <row r="195" spans="1:11" x14ac:dyDescent="0.25">
      <c r="A195" s="43">
        <v>42152</v>
      </c>
      <c r="B195" s="276" t="s">
        <v>118</v>
      </c>
      <c r="C195" s="47">
        <v>69.66</v>
      </c>
      <c r="D195" s="47">
        <v>69660</v>
      </c>
      <c r="E195" s="67">
        <v>14023</v>
      </c>
      <c r="F195" s="277">
        <v>4116</v>
      </c>
      <c r="G195" s="45"/>
      <c r="I195" s="390"/>
      <c r="J195" s="387"/>
      <c r="K195" s="391"/>
    </row>
    <row r="196" spans="1:11" x14ac:dyDescent="0.25">
      <c r="A196" s="43">
        <v>42166</v>
      </c>
      <c r="B196" s="276" t="s">
        <v>229</v>
      </c>
      <c r="C196" s="47">
        <v>721</v>
      </c>
      <c r="D196" s="47">
        <f>757000-36000</f>
        <v>721000</v>
      </c>
      <c r="E196" s="67">
        <v>14018</v>
      </c>
      <c r="F196" s="277">
        <v>4116</v>
      </c>
      <c r="G196" s="45"/>
      <c r="I196" s="390"/>
      <c r="J196" s="387"/>
      <c r="K196" s="391"/>
    </row>
    <row r="197" spans="1:11" x14ac:dyDescent="0.25">
      <c r="A197" s="43">
        <v>42181</v>
      </c>
      <c r="B197" s="276" t="s">
        <v>247</v>
      </c>
      <c r="C197" s="47">
        <v>102.74966999999999</v>
      </c>
      <c r="D197" s="47">
        <v>102749.67</v>
      </c>
      <c r="E197" s="67">
        <v>14013</v>
      </c>
      <c r="F197" s="277">
        <v>4116</v>
      </c>
      <c r="G197" s="45"/>
      <c r="I197" s="390"/>
      <c r="J197" s="387"/>
      <c r="K197" s="391"/>
    </row>
    <row r="198" spans="1:11" x14ac:dyDescent="0.25">
      <c r="A198" s="43">
        <v>42184</v>
      </c>
      <c r="B198" s="276" t="s">
        <v>118</v>
      </c>
      <c r="C198" s="47">
        <f>69.6456+12.2904</f>
        <v>81.936000000000007</v>
      </c>
      <c r="D198" s="47">
        <v>81936</v>
      </c>
      <c r="E198" s="67">
        <v>14023</v>
      </c>
      <c r="F198" s="277">
        <v>4116</v>
      </c>
      <c r="G198" s="45"/>
      <c r="I198" s="390"/>
      <c r="J198" s="387"/>
      <c r="K198" s="391"/>
    </row>
    <row r="199" spans="1:11" x14ac:dyDescent="0.25">
      <c r="A199" s="43">
        <v>42213</v>
      </c>
      <c r="B199" s="276" t="s">
        <v>118</v>
      </c>
      <c r="C199" s="47">
        <v>0</v>
      </c>
      <c r="D199" s="47">
        <v>67016</v>
      </c>
      <c r="E199" s="67">
        <v>14023</v>
      </c>
      <c r="F199" s="277">
        <v>4116</v>
      </c>
      <c r="G199" s="45"/>
      <c r="I199" s="390"/>
      <c r="J199" s="402"/>
      <c r="K199" s="391"/>
    </row>
    <row r="200" spans="1:11" x14ac:dyDescent="0.25">
      <c r="A200" s="43">
        <v>42241</v>
      </c>
      <c r="B200" s="276" t="s">
        <v>118</v>
      </c>
      <c r="C200" s="47">
        <v>0</v>
      </c>
      <c r="D200" s="47">
        <f>58844.65+10384.35</f>
        <v>69229</v>
      </c>
      <c r="E200" s="67">
        <v>14023</v>
      </c>
      <c r="F200" s="277">
        <v>4116</v>
      </c>
      <c r="G200" s="45"/>
      <c r="I200" s="390"/>
      <c r="J200" s="402"/>
      <c r="K200" s="391"/>
    </row>
    <row r="201" spans="1:11" x14ac:dyDescent="0.25">
      <c r="A201" s="43"/>
      <c r="B201" s="276" t="s">
        <v>398</v>
      </c>
      <c r="C201" s="349">
        <v>0</v>
      </c>
      <c r="D201" s="349">
        <v>300000</v>
      </c>
      <c r="E201" s="67">
        <v>14336</v>
      </c>
      <c r="F201" s="277">
        <v>4116</v>
      </c>
      <c r="G201" s="384"/>
      <c r="H201" s="384"/>
      <c r="I201" s="390"/>
      <c r="J201" s="402">
        <v>300000</v>
      </c>
      <c r="K201" s="391"/>
    </row>
    <row r="202" spans="1:11" x14ac:dyDescent="0.25">
      <c r="A202" s="43"/>
      <c r="B202" s="276" t="s">
        <v>274</v>
      </c>
      <c r="C202" s="349">
        <v>36</v>
      </c>
      <c r="D202" s="349">
        <v>36000</v>
      </c>
      <c r="E202" s="67">
        <v>14018</v>
      </c>
      <c r="F202" s="277">
        <v>4116</v>
      </c>
      <c r="G202" s="45"/>
      <c r="I202" s="390"/>
      <c r="J202" s="402">
        <v>36000</v>
      </c>
      <c r="K202" s="391"/>
    </row>
    <row r="203" spans="1:11" x14ac:dyDescent="0.25">
      <c r="A203" s="43"/>
      <c r="B203" s="276" t="s">
        <v>113</v>
      </c>
      <c r="C203" s="349">
        <v>15.968</v>
      </c>
      <c r="D203" s="349">
        <f>7480+8488</f>
        <v>15968</v>
      </c>
      <c r="E203" s="67">
        <v>14137</v>
      </c>
      <c r="F203" s="277">
        <v>4116</v>
      </c>
      <c r="G203" s="45"/>
      <c r="I203" s="390"/>
      <c r="J203" s="387">
        <v>15968</v>
      </c>
      <c r="K203" s="391"/>
    </row>
    <row r="204" spans="1:11" x14ac:dyDescent="0.25">
      <c r="A204" s="43"/>
      <c r="B204" s="276"/>
      <c r="C204" s="47"/>
      <c r="D204" s="47"/>
      <c r="E204" s="67"/>
      <c r="F204" s="68"/>
      <c r="G204" s="45"/>
      <c r="I204" s="390"/>
      <c r="J204" s="387"/>
      <c r="K204" s="391"/>
    </row>
    <row r="205" spans="1:11" x14ac:dyDescent="0.25">
      <c r="A205" s="43"/>
      <c r="B205" s="273" t="s">
        <v>41</v>
      </c>
      <c r="C205" s="31">
        <f>+SUM(C206:C220)</f>
        <v>325.37400000000002</v>
      </c>
      <c r="D205" s="31">
        <f>+SUM(D206:D220)</f>
        <v>325374</v>
      </c>
      <c r="E205" s="67"/>
      <c r="F205" s="68"/>
      <c r="G205" s="45"/>
      <c r="I205" s="390"/>
      <c r="J205" s="387"/>
      <c r="K205" s="391"/>
    </row>
    <row r="206" spans="1:11" x14ac:dyDescent="0.25">
      <c r="A206" s="43">
        <v>42118</v>
      </c>
      <c r="B206" s="276" t="s">
        <v>93</v>
      </c>
      <c r="C206" s="47">
        <v>18.0625</v>
      </c>
      <c r="D206" s="47">
        <v>18062.5</v>
      </c>
      <c r="E206" s="67">
        <v>35019</v>
      </c>
      <c r="F206" s="68">
        <v>4116</v>
      </c>
      <c r="G206" s="45"/>
      <c r="I206" s="390"/>
      <c r="J206" s="387"/>
      <c r="K206" s="391"/>
    </row>
    <row r="207" spans="1:11" x14ac:dyDescent="0.25">
      <c r="A207" s="43">
        <v>42118</v>
      </c>
      <c r="B207" s="276" t="s">
        <v>94</v>
      </c>
      <c r="C207" s="47">
        <v>17.977499999999999</v>
      </c>
      <c r="D207" s="47">
        <v>17977.5</v>
      </c>
      <c r="E207" s="67">
        <v>35019</v>
      </c>
      <c r="F207" s="68">
        <v>4116</v>
      </c>
      <c r="G207" s="45"/>
      <c r="I207" s="390"/>
      <c r="J207" s="387"/>
      <c r="K207" s="391"/>
    </row>
    <row r="208" spans="1:11" x14ac:dyDescent="0.25">
      <c r="A208" s="43">
        <v>42118</v>
      </c>
      <c r="B208" s="276" t="s">
        <v>95</v>
      </c>
      <c r="C208" s="47">
        <v>32.084000000000003</v>
      </c>
      <c r="D208" s="47">
        <v>32084</v>
      </c>
      <c r="E208" s="67">
        <v>35019</v>
      </c>
      <c r="F208" s="68">
        <v>4116</v>
      </c>
      <c r="G208" s="45"/>
      <c r="I208" s="390"/>
      <c r="J208" s="387"/>
      <c r="K208" s="391"/>
    </row>
    <row r="209" spans="1:11" x14ac:dyDescent="0.25">
      <c r="A209" s="43">
        <v>42118</v>
      </c>
      <c r="B209" s="276" t="s">
        <v>95</v>
      </c>
      <c r="C209" s="47">
        <v>77</v>
      </c>
      <c r="D209" s="47">
        <v>77000</v>
      </c>
      <c r="E209" s="67">
        <v>35019</v>
      </c>
      <c r="F209" s="68">
        <v>4116</v>
      </c>
      <c r="G209" s="45"/>
      <c r="I209" s="390"/>
      <c r="J209" s="387"/>
      <c r="K209" s="391"/>
    </row>
    <row r="210" spans="1:11" x14ac:dyDescent="0.25">
      <c r="A210" s="43">
        <v>42118</v>
      </c>
      <c r="B210" s="276" t="s">
        <v>92</v>
      </c>
      <c r="C210" s="47">
        <v>40.25</v>
      </c>
      <c r="D210" s="47">
        <v>40250</v>
      </c>
      <c r="E210" s="67">
        <v>35019</v>
      </c>
      <c r="F210" s="68">
        <v>4116</v>
      </c>
      <c r="G210" s="45"/>
      <c r="I210" s="390"/>
      <c r="J210" s="387"/>
      <c r="K210" s="391"/>
    </row>
    <row r="211" spans="1:11" x14ac:dyDescent="0.25">
      <c r="A211" s="43">
        <v>42172</v>
      </c>
      <c r="B211" s="276" t="s">
        <v>100</v>
      </c>
      <c r="C211" s="47">
        <v>140</v>
      </c>
      <c r="D211" s="47">
        <v>140000</v>
      </c>
      <c r="E211" s="67">
        <v>35015</v>
      </c>
      <c r="F211" s="68">
        <v>4116</v>
      </c>
      <c r="G211" s="45"/>
      <c r="I211" s="390"/>
      <c r="J211" s="387"/>
      <c r="K211" s="391"/>
    </row>
    <row r="212" spans="1:11" x14ac:dyDescent="0.25">
      <c r="A212" s="43"/>
      <c r="B212" s="276" t="s">
        <v>93</v>
      </c>
      <c r="C212" s="47"/>
      <c r="D212" s="47"/>
      <c r="E212" s="67">
        <v>35019</v>
      </c>
      <c r="F212" s="68">
        <v>4116</v>
      </c>
      <c r="G212" s="45"/>
      <c r="I212" s="390"/>
      <c r="J212" s="387"/>
      <c r="K212" s="391"/>
    </row>
    <row r="213" spans="1:11" x14ac:dyDescent="0.25">
      <c r="A213" s="43"/>
      <c r="B213" s="276" t="s">
        <v>94</v>
      </c>
      <c r="C213" s="47"/>
      <c r="D213" s="47"/>
      <c r="E213" s="67">
        <v>35019</v>
      </c>
      <c r="F213" s="68">
        <v>4116</v>
      </c>
      <c r="G213" s="45"/>
      <c r="I213" s="390"/>
      <c r="J213" s="387"/>
      <c r="K213" s="391"/>
    </row>
    <row r="214" spans="1:11" x14ac:dyDescent="0.25">
      <c r="A214" s="43"/>
      <c r="B214" s="276" t="s">
        <v>95</v>
      </c>
      <c r="C214" s="47"/>
      <c r="D214" s="47"/>
      <c r="E214" s="67">
        <v>35019</v>
      </c>
      <c r="F214" s="68">
        <v>4116</v>
      </c>
      <c r="G214" s="45"/>
      <c r="I214" s="390"/>
      <c r="J214" s="387"/>
      <c r="K214" s="391"/>
    </row>
    <row r="215" spans="1:11" x14ac:dyDescent="0.25">
      <c r="A215" s="43"/>
      <c r="B215" s="276" t="s">
        <v>96</v>
      </c>
      <c r="C215" s="47"/>
      <c r="D215" s="47"/>
      <c r="E215" s="67">
        <v>35019</v>
      </c>
      <c r="F215" s="68">
        <v>4116</v>
      </c>
      <c r="G215" s="45"/>
      <c r="I215" s="390"/>
      <c r="J215" s="387"/>
      <c r="K215" s="391"/>
    </row>
    <row r="216" spans="1:11" x14ac:dyDescent="0.25">
      <c r="A216" s="43"/>
      <c r="B216" s="276" t="s">
        <v>93</v>
      </c>
      <c r="C216" s="47"/>
      <c r="D216" s="47"/>
      <c r="E216" s="67">
        <v>35019</v>
      </c>
      <c r="F216" s="68">
        <v>4116</v>
      </c>
      <c r="G216" s="45"/>
      <c r="I216" s="390"/>
      <c r="J216" s="387"/>
      <c r="K216" s="391"/>
    </row>
    <row r="217" spans="1:11" x14ac:dyDescent="0.25">
      <c r="A217" s="43"/>
      <c r="B217" s="276" t="s">
        <v>95</v>
      </c>
      <c r="C217" s="47"/>
      <c r="D217" s="47"/>
      <c r="E217" s="67">
        <v>35019</v>
      </c>
      <c r="F217" s="68">
        <v>4116</v>
      </c>
      <c r="G217" s="45"/>
      <c r="I217" s="390"/>
      <c r="J217" s="387"/>
      <c r="K217" s="391"/>
    </row>
    <row r="218" spans="1:11" x14ac:dyDescent="0.25">
      <c r="A218" s="43"/>
      <c r="B218" s="276" t="s">
        <v>95</v>
      </c>
      <c r="C218" s="47"/>
      <c r="D218" s="47"/>
      <c r="E218" s="67">
        <v>35019</v>
      </c>
      <c r="F218" s="68">
        <v>4116</v>
      </c>
      <c r="G218" s="45"/>
      <c r="I218" s="390"/>
      <c r="J218" s="387"/>
      <c r="K218" s="391"/>
    </row>
    <row r="219" spans="1:11" x14ac:dyDescent="0.25">
      <c r="A219" s="43"/>
      <c r="B219" s="276" t="s">
        <v>92</v>
      </c>
      <c r="C219" s="47"/>
      <c r="D219" s="47"/>
      <c r="E219" s="67">
        <v>35019</v>
      </c>
      <c r="F219" s="68">
        <v>4116</v>
      </c>
      <c r="G219" s="45"/>
      <c r="I219" s="390"/>
      <c r="J219" s="387"/>
      <c r="K219" s="391"/>
    </row>
    <row r="220" spans="1:11" x14ac:dyDescent="0.25">
      <c r="A220" s="43"/>
      <c r="B220" s="276" t="s">
        <v>100</v>
      </c>
      <c r="C220" s="47"/>
      <c r="D220" s="47"/>
      <c r="E220" s="67">
        <v>35015</v>
      </c>
      <c r="F220" s="68">
        <v>4116</v>
      </c>
      <c r="G220" s="45"/>
      <c r="I220" s="390"/>
      <c r="J220" s="387"/>
      <c r="K220" s="391"/>
    </row>
    <row r="221" spans="1:11" x14ac:dyDescent="0.25">
      <c r="A221" s="43"/>
      <c r="B221" s="276"/>
      <c r="C221" s="47"/>
      <c r="D221" s="47"/>
      <c r="E221" s="67"/>
      <c r="F221" s="68"/>
      <c r="G221" s="45"/>
      <c r="I221" s="390"/>
      <c r="J221" s="387"/>
      <c r="K221" s="391"/>
    </row>
    <row r="222" spans="1:11" x14ac:dyDescent="0.25">
      <c r="A222" s="43"/>
      <c r="B222" s="273" t="s">
        <v>42</v>
      </c>
      <c r="C222" s="31">
        <f>+SUM(C223:C229)</f>
        <v>180.94400000000002</v>
      </c>
      <c r="D222" s="31">
        <f>+SUM(D223:D229)</f>
        <v>180944</v>
      </c>
      <c r="E222" s="67"/>
      <c r="F222" s="68"/>
      <c r="G222" s="45"/>
      <c r="I222" s="390"/>
      <c r="J222" s="387"/>
      <c r="K222" s="391"/>
    </row>
    <row r="223" spans="1:11" x14ac:dyDescent="0.25">
      <c r="A223" s="43">
        <v>42142</v>
      </c>
      <c r="B223" s="276" t="s">
        <v>43</v>
      </c>
      <c r="C223" s="47">
        <v>86.159000000000006</v>
      </c>
      <c r="D223" s="47">
        <v>86159</v>
      </c>
      <c r="E223" s="67">
        <v>29008</v>
      </c>
      <c r="F223" s="68">
        <v>4116</v>
      </c>
      <c r="G223" s="45"/>
      <c r="I223" s="390"/>
      <c r="J223" s="387"/>
      <c r="K223" s="391"/>
    </row>
    <row r="224" spans="1:11" x14ac:dyDescent="0.25">
      <c r="A224" s="43">
        <v>42157</v>
      </c>
      <c r="B224" s="276" t="s">
        <v>44</v>
      </c>
      <c r="C224" s="47">
        <v>10.5</v>
      </c>
      <c r="D224" s="47">
        <v>10500</v>
      </c>
      <c r="E224" s="67">
        <v>29004</v>
      </c>
      <c r="F224" s="68">
        <v>4116</v>
      </c>
      <c r="G224" s="45"/>
      <c r="I224" s="390"/>
      <c r="J224" s="387"/>
      <c r="K224" s="391"/>
    </row>
    <row r="225" spans="1:11" x14ac:dyDescent="0.25">
      <c r="A225" s="43">
        <v>42163</v>
      </c>
      <c r="B225" s="276" t="s">
        <v>43</v>
      </c>
      <c r="C225" s="47">
        <v>84.284999999999997</v>
      </c>
      <c r="D225" s="47">
        <v>84285</v>
      </c>
      <c r="E225" s="67">
        <v>29008</v>
      </c>
      <c r="F225" s="68">
        <v>4116</v>
      </c>
      <c r="G225" s="45"/>
      <c r="I225" s="390"/>
      <c r="J225" s="387"/>
      <c r="K225" s="391"/>
    </row>
    <row r="226" spans="1:11" x14ac:dyDescent="0.25">
      <c r="A226" s="43"/>
      <c r="B226" s="276" t="s">
        <v>43</v>
      </c>
      <c r="C226" s="47"/>
      <c r="D226" s="47"/>
      <c r="E226" s="67"/>
      <c r="F226" s="68">
        <v>4116</v>
      </c>
      <c r="G226" s="45"/>
      <c r="I226" s="390"/>
      <c r="J226" s="387"/>
      <c r="K226" s="391"/>
    </row>
    <row r="227" spans="1:11" hidden="1" x14ac:dyDescent="0.25">
      <c r="A227" s="43"/>
      <c r="B227" s="276"/>
      <c r="C227" s="47"/>
      <c r="D227" s="47"/>
      <c r="E227" s="67"/>
      <c r="F227" s="68">
        <v>4116</v>
      </c>
      <c r="G227" s="45"/>
      <c r="I227" s="390"/>
      <c r="J227" s="387"/>
      <c r="K227" s="391"/>
    </row>
    <row r="228" spans="1:11" hidden="1" x14ac:dyDescent="0.25">
      <c r="A228" s="43"/>
      <c r="B228" s="276"/>
      <c r="C228" s="47"/>
      <c r="D228" s="47"/>
      <c r="E228" s="67"/>
      <c r="F228" s="68">
        <v>4116</v>
      </c>
      <c r="G228" s="45"/>
      <c r="I228" s="390"/>
      <c r="J228" s="387"/>
      <c r="K228" s="391"/>
    </row>
    <row r="229" spans="1:11" x14ac:dyDescent="0.25">
      <c r="A229" s="43"/>
      <c r="B229" s="276"/>
      <c r="C229" s="47"/>
      <c r="D229" s="47"/>
      <c r="E229" s="67"/>
      <c r="F229" s="68">
        <v>4116</v>
      </c>
      <c r="G229" s="45"/>
      <c r="I229" s="390"/>
      <c r="J229" s="387"/>
      <c r="K229" s="391"/>
    </row>
    <row r="230" spans="1:11" x14ac:dyDescent="0.25">
      <c r="A230" s="43"/>
      <c r="B230" s="273" t="s">
        <v>45</v>
      </c>
      <c r="C230" s="31">
        <f>+SUM(C231:C247)</f>
        <v>570.17939999999999</v>
      </c>
      <c r="D230" s="31">
        <f>+SUM(D231:D247)</f>
        <v>570179.4</v>
      </c>
      <c r="E230" s="67"/>
      <c r="F230" s="68"/>
      <c r="G230" s="45"/>
      <c r="I230" s="390"/>
      <c r="J230" s="387"/>
      <c r="K230" s="391"/>
    </row>
    <row r="231" spans="1:11" x14ac:dyDescent="0.25">
      <c r="A231" s="43">
        <v>42057</v>
      </c>
      <c r="B231" s="276" t="s">
        <v>146</v>
      </c>
      <c r="C231" s="47">
        <v>466.28609999999998</v>
      </c>
      <c r="D231" s="47">
        <v>466286.1</v>
      </c>
      <c r="E231" s="67">
        <v>15319</v>
      </c>
      <c r="F231" s="68">
        <v>4116</v>
      </c>
      <c r="G231" s="45"/>
      <c r="I231" s="390"/>
      <c r="J231" s="387"/>
      <c r="K231" s="391"/>
    </row>
    <row r="232" spans="1:11" x14ac:dyDescent="0.25">
      <c r="A232" s="43">
        <v>42193</v>
      </c>
      <c r="B232" s="276" t="s">
        <v>279</v>
      </c>
      <c r="C232" s="47">
        <v>77.653800000000004</v>
      </c>
      <c r="D232" s="47">
        <v>77653.8</v>
      </c>
      <c r="E232" s="67">
        <v>15319</v>
      </c>
      <c r="F232" s="68">
        <v>4116</v>
      </c>
      <c r="G232" s="45"/>
      <c r="I232" s="390"/>
      <c r="J232" s="387"/>
      <c r="K232" s="391"/>
    </row>
    <row r="233" spans="1:11" hidden="1" x14ac:dyDescent="0.25">
      <c r="A233" s="43"/>
      <c r="B233" s="276"/>
      <c r="C233" s="47"/>
      <c r="D233" s="47"/>
      <c r="E233" s="67"/>
      <c r="F233" s="68">
        <v>4116</v>
      </c>
      <c r="G233" s="45"/>
      <c r="I233" s="390"/>
      <c r="J233" s="387"/>
      <c r="K233" s="391"/>
    </row>
    <row r="234" spans="1:11" hidden="1" x14ac:dyDescent="0.25">
      <c r="A234" s="43"/>
      <c r="B234" s="276"/>
      <c r="C234" s="47"/>
      <c r="D234" s="47"/>
      <c r="E234" s="67"/>
      <c r="F234" s="68">
        <v>4116</v>
      </c>
      <c r="G234" s="45"/>
      <c r="I234" s="390"/>
      <c r="J234" s="387"/>
      <c r="K234" s="391"/>
    </row>
    <row r="235" spans="1:11" hidden="1" x14ac:dyDescent="0.25">
      <c r="A235" s="43"/>
      <c r="B235" s="276"/>
      <c r="C235" s="47"/>
      <c r="D235" s="47"/>
      <c r="E235" s="67"/>
      <c r="F235" s="68"/>
      <c r="G235" s="45"/>
      <c r="I235" s="390"/>
      <c r="J235" s="387"/>
      <c r="K235" s="391"/>
    </row>
    <row r="236" spans="1:11" hidden="1" x14ac:dyDescent="0.25">
      <c r="A236" s="272"/>
      <c r="B236" s="276"/>
      <c r="C236" s="47"/>
      <c r="D236" s="47"/>
      <c r="E236" s="67"/>
      <c r="F236" s="68">
        <v>4116</v>
      </c>
      <c r="G236" s="45"/>
      <c r="I236" s="390"/>
      <c r="J236" s="387"/>
      <c r="K236" s="391"/>
    </row>
    <row r="237" spans="1:11" hidden="1" x14ac:dyDescent="0.25">
      <c r="A237" s="272"/>
      <c r="B237" s="44"/>
      <c r="C237" s="47"/>
      <c r="D237" s="47"/>
      <c r="E237" s="67"/>
      <c r="F237" s="68"/>
      <c r="G237" s="45"/>
      <c r="I237" s="390"/>
      <c r="J237" s="387"/>
      <c r="K237" s="391"/>
    </row>
    <row r="238" spans="1:11" hidden="1" x14ac:dyDescent="0.25">
      <c r="A238" s="43"/>
      <c r="B238" s="31"/>
      <c r="C238" s="31"/>
      <c r="D238" s="31"/>
      <c r="E238" s="67"/>
      <c r="F238" s="68"/>
      <c r="G238" s="45"/>
      <c r="I238" s="390"/>
      <c r="J238" s="387"/>
      <c r="K238" s="391"/>
    </row>
    <row r="239" spans="1:11" x14ac:dyDescent="0.25">
      <c r="A239" s="43"/>
      <c r="B239" s="276" t="s">
        <v>168</v>
      </c>
      <c r="C239" s="349">
        <v>26.2395</v>
      </c>
      <c r="D239" s="349">
        <v>26239.5</v>
      </c>
      <c r="E239" s="67">
        <v>15319</v>
      </c>
      <c r="F239" s="68">
        <v>4116</v>
      </c>
      <c r="G239" s="45"/>
      <c r="I239" s="390"/>
      <c r="J239" s="389">
        <v>26239.5</v>
      </c>
      <c r="K239" s="391"/>
    </row>
    <row r="240" spans="1:11" hidden="1" x14ac:dyDescent="0.25">
      <c r="A240" s="43"/>
      <c r="B240" s="276"/>
      <c r="C240" s="47"/>
      <c r="D240" s="47"/>
      <c r="E240" s="67"/>
      <c r="F240" s="68"/>
      <c r="G240" s="45"/>
      <c r="I240" s="390"/>
      <c r="J240" s="387"/>
      <c r="K240" s="391"/>
    </row>
    <row r="241" spans="1:11" hidden="1" x14ac:dyDescent="0.25">
      <c r="A241" s="43"/>
      <c r="B241" s="44"/>
      <c r="C241" s="47"/>
      <c r="D241" s="47"/>
      <c r="E241" s="67"/>
      <c r="F241" s="68"/>
      <c r="G241" s="45"/>
      <c r="I241" s="390"/>
      <c r="J241" s="387"/>
      <c r="K241" s="391"/>
    </row>
    <row r="242" spans="1:11" hidden="1" x14ac:dyDescent="0.25">
      <c r="A242" s="43"/>
      <c r="B242" s="273"/>
      <c r="C242" s="27"/>
      <c r="D242" s="27"/>
      <c r="E242" s="67"/>
      <c r="F242" s="268"/>
      <c r="G242" s="45"/>
      <c r="I242" s="390"/>
      <c r="J242" s="387"/>
      <c r="K242" s="391"/>
    </row>
    <row r="243" spans="1:11" hidden="1" x14ac:dyDescent="0.25">
      <c r="A243" s="43"/>
      <c r="B243" s="276"/>
      <c r="C243" s="53"/>
      <c r="D243" s="55"/>
      <c r="E243" s="67"/>
      <c r="F243" s="68"/>
      <c r="G243" s="45"/>
      <c r="I243" s="390"/>
      <c r="J243" s="387"/>
      <c r="K243" s="391"/>
    </row>
    <row r="244" spans="1:11" hidden="1" x14ac:dyDescent="0.25">
      <c r="A244" s="43"/>
      <c r="B244" s="276"/>
      <c r="C244" s="53"/>
      <c r="D244" s="55"/>
      <c r="E244" s="67"/>
      <c r="F244" s="68"/>
      <c r="G244" s="45"/>
      <c r="I244" s="390"/>
      <c r="J244" s="387"/>
      <c r="K244" s="391"/>
    </row>
    <row r="245" spans="1:11" hidden="1" x14ac:dyDescent="0.25">
      <c r="A245" s="43"/>
      <c r="B245" s="31" t="s">
        <v>46</v>
      </c>
      <c r="C245" s="31">
        <f>+SUM(C246:C247)</f>
        <v>0</v>
      </c>
      <c r="D245" s="31">
        <f>+SUM(D246:D247)</f>
        <v>0</v>
      </c>
      <c r="E245" s="67"/>
      <c r="F245" s="68"/>
      <c r="G245" s="45"/>
      <c r="I245" s="390"/>
      <c r="J245" s="387"/>
      <c r="K245" s="391"/>
    </row>
    <row r="246" spans="1:11" hidden="1" x14ac:dyDescent="0.25">
      <c r="A246" s="43"/>
      <c r="B246" s="276"/>
      <c r="C246" s="47"/>
      <c r="D246" s="47"/>
      <c r="E246" s="67"/>
      <c r="F246" s="68" t="s">
        <v>47</v>
      </c>
      <c r="G246" s="45"/>
      <c r="I246" s="390"/>
      <c r="J246" s="387"/>
      <c r="K246" s="391"/>
    </row>
    <row r="247" spans="1:11" x14ac:dyDescent="0.25">
      <c r="A247" s="43"/>
      <c r="B247" s="276"/>
      <c r="C247" s="55"/>
      <c r="D247" s="55"/>
      <c r="E247" s="67"/>
      <c r="F247" s="68"/>
      <c r="G247" s="45"/>
      <c r="I247" s="390"/>
      <c r="J247" s="387"/>
      <c r="K247" s="391"/>
    </row>
    <row r="248" spans="1:11" x14ac:dyDescent="0.25">
      <c r="A248" s="43"/>
      <c r="B248" s="273" t="s">
        <v>48</v>
      </c>
      <c r="C248" s="27">
        <f>SUM(C249:C351)</f>
        <v>117336.60998000001</v>
      </c>
      <c r="D248" s="27">
        <f>SUM(D249:D341)</f>
        <v>113137305.56</v>
      </c>
      <c r="E248" s="67"/>
      <c r="F248" s="268"/>
      <c r="G248" s="45"/>
      <c r="I248" s="390"/>
      <c r="J248" s="387"/>
      <c r="K248" s="391"/>
    </row>
    <row r="249" spans="1:11" x14ac:dyDescent="0.25">
      <c r="A249" s="43">
        <v>42046</v>
      </c>
      <c r="B249" s="276" t="s">
        <v>104</v>
      </c>
      <c r="C249" s="53">
        <v>345.49686000000003</v>
      </c>
      <c r="D249" s="55">
        <v>345496.86</v>
      </c>
      <c r="E249" s="67">
        <v>33030</v>
      </c>
      <c r="F249" s="68" t="s">
        <v>49</v>
      </c>
      <c r="G249" s="45"/>
      <c r="I249" s="390"/>
      <c r="J249" s="387"/>
      <c r="K249" s="391"/>
    </row>
    <row r="250" spans="1:11" x14ac:dyDescent="0.25">
      <c r="A250" s="43">
        <v>42096</v>
      </c>
      <c r="B250" s="276" t="s">
        <v>140</v>
      </c>
      <c r="C250" s="53">
        <v>90.980059999999995</v>
      </c>
      <c r="D250" s="55">
        <v>90980.06</v>
      </c>
      <c r="E250" s="67">
        <v>33030</v>
      </c>
      <c r="F250" s="68" t="s">
        <v>49</v>
      </c>
      <c r="G250" s="45"/>
      <c r="I250" s="390"/>
      <c r="J250" s="387"/>
      <c r="K250" s="391"/>
    </row>
    <row r="251" spans="1:11" x14ac:dyDescent="0.25">
      <c r="A251" s="43">
        <v>42118</v>
      </c>
      <c r="B251" s="276" t="s">
        <v>334</v>
      </c>
      <c r="C251" s="53">
        <v>60346.559999999998</v>
      </c>
      <c r="D251" s="55">
        <v>60346560</v>
      </c>
      <c r="E251" s="67">
        <v>13305</v>
      </c>
      <c r="F251" s="68">
        <v>4122</v>
      </c>
      <c r="G251" s="384" t="s">
        <v>346</v>
      </c>
      <c r="H251" s="384">
        <v>-8464560</v>
      </c>
      <c r="I251" s="394"/>
      <c r="J251" s="387">
        <v>8464560</v>
      </c>
      <c r="K251" s="391"/>
    </row>
    <row r="252" spans="1:11" x14ac:dyDescent="0.25">
      <c r="A252" s="43">
        <v>42122</v>
      </c>
      <c r="B252" s="276" t="s">
        <v>150</v>
      </c>
      <c r="C252" s="55">
        <v>341.41081000000003</v>
      </c>
      <c r="D252" s="55">
        <v>341410.81</v>
      </c>
      <c r="E252" s="67">
        <v>33030</v>
      </c>
      <c r="F252" s="68">
        <v>4122</v>
      </c>
      <c r="G252" s="45"/>
      <c r="I252" s="390"/>
      <c r="J252" s="387"/>
      <c r="K252" s="391"/>
    </row>
    <row r="253" spans="1:11" x14ac:dyDescent="0.25">
      <c r="A253" s="43">
        <v>42138</v>
      </c>
      <c r="B253" s="276" t="s">
        <v>181</v>
      </c>
      <c r="C253" s="55">
        <v>41.08</v>
      </c>
      <c r="D253" s="55">
        <v>41080</v>
      </c>
      <c r="E253" s="67">
        <v>14011</v>
      </c>
      <c r="F253" s="68">
        <v>4122</v>
      </c>
      <c r="G253" s="45"/>
      <c r="I253" s="390"/>
      <c r="J253" s="387"/>
      <c r="K253" s="391"/>
    </row>
    <row r="254" spans="1:11" x14ac:dyDescent="0.25">
      <c r="A254" s="43">
        <v>42145</v>
      </c>
      <c r="B254" s="276" t="s">
        <v>200</v>
      </c>
      <c r="C254" s="53">
        <v>8.3298000000000005</v>
      </c>
      <c r="D254" s="55">
        <f>7080.33+1249.47</f>
        <v>8329.7999999999993</v>
      </c>
      <c r="E254" s="67">
        <v>33030</v>
      </c>
      <c r="F254" s="68">
        <v>4122</v>
      </c>
      <c r="G254" s="45"/>
      <c r="I254" s="390"/>
      <c r="J254" s="387"/>
      <c r="K254" s="391"/>
    </row>
    <row r="255" spans="1:11" x14ac:dyDescent="0.25">
      <c r="A255" s="43">
        <v>42145</v>
      </c>
      <c r="B255" s="276" t="s">
        <v>201</v>
      </c>
      <c r="C255" s="53">
        <v>1476.0851600000001</v>
      </c>
      <c r="D255" s="55">
        <f>1254672.38+221412.78</f>
        <v>1476085.16</v>
      </c>
      <c r="E255" s="67">
        <v>33030</v>
      </c>
      <c r="F255" s="68">
        <v>4122</v>
      </c>
      <c r="G255" s="45"/>
      <c r="I255" s="390"/>
      <c r="J255" s="387"/>
      <c r="K255" s="391"/>
    </row>
    <row r="256" spans="1:11" x14ac:dyDescent="0.25">
      <c r="A256" s="43">
        <v>42145</v>
      </c>
      <c r="B256" s="276" t="s">
        <v>202</v>
      </c>
      <c r="C256" s="53">
        <v>452.84152</v>
      </c>
      <c r="D256" s="55">
        <f>384915.29+67926.23</f>
        <v>452841.51999999996</v>
      </c>
      <c r="E256" s="67">
        <v>33030</v>
      </c>
      <c r="F256" s="68">
        <v>4122</v>
      </c>
      <c r="G256" s="45"/>
      <c r="I256" s="390"/>
      <c r="J256" s="387"/>
      <c r="K256" s="391"/>
    </row>
    <row r="257" spans="1:11" x14ac:dyDescent="0.25">
      <c r="A257" s="43">
        <v>42152</v>
      </c>
      <c r="B257" s="276" t="s">
        <v>181</v>
      </c>
      <c r="C257" s="53">
        <v>29.64</v>
      </c>
      <c r="D257" s="55">
        <v>29640</v>
      </c>
      <c r="E257" s="67">
        <v>14011</v>
      </c>
      <c r="F257" s="68">
        <v>4122</v>
      </c>
      <c r="G257" s="45"/>
      <c r="I257" s="390"/>
      <c r="J257" s="387"/>
      <c r="K257" s="391"/>
    </row>
    <row r="258" spans="1:11" x14ac:dyDescent="0.25">
      <c r="A258" s="43">
        <v>42160</v>
      </c>
      <c r="B258" s="276" t="s">
        <v>239</v>
      </c>
      <c r="C258" s="53">
        <v>100</v>
      </c>
      <c r="D258" s="55">
        <v>100000</v>
      </c>
      <c r="E258" s="67">
        <v>539</v>
      </c>
      <c r="F258" s="68">
        <v>4122</v>
      </c>
      <c r="G258" s="45"/>
      <c r="I258" s="390"/>
      <c r="J258" s="387"/>
      <c r="K258" s="391"/>
    </row>
    <row r="259" spans="1:11" x14ac:dyDescent="0.25">
      <c r="A259" s="43">
        <v>42160</v>
      </c>
      <c r="B259" s="276" t="s">
        <v>240</v>
      </c>
      <c r="C259" s="53">
        <v>98</v>
      </c>
      <c r="D259" s="55">
        <v>98000</v>
      </c>
      <c r="E259" s="67">
        <v>539</v>
      </c>
      <c r="F259" s="68">
        <v>4122</v>
      </c>
      <c r="G259" s="45"/>
      <c r="I259" s="390"/>
      <c r="J259" s="387"/>
      <c r="K259" s="391"/>
    </row>
    <row r="260" spans="1:11" x14ac:dyDescent="0.25">
      <c r="A260" s="43">
        <v>42173</v>
      </c>
      <c r="B260" s="276" t="s">
        <v>236</v>
      </c>
      <c r="C260" s="53">
        <v>100</v>
      </c>
      <c r="D260" s="55">
        <v>100000</v>
      </c>
      <c r="E260" s="67">
        <v>539</v>
      </c>
      <c r="F260" s="68">
        <v>4122</v>
      </c>
      <c r="G260" s="45"/>
      <c r="I260" s="390"/>
      <c r="J260" s="387"/>
      <c r="K260" s="391"/>
    </row>
    <row r="261" spans="1:11" x14ac:dyDescent="0.25">
      <c r="A261" s="43">
        <v>42178</v>
      </c>
      <c r="B261" s="276" t="s">
        <v>243</v>
      </c>
      <c r="C261" s="53">
        <v>81.797319999999999</v>
      </c>
      <c r="D261" s="55">
        <f>69527.72+12269.6</f>
        <v>81797.320000000007</v>
      </c>
      <c r="E261" s="67">
        <v>33030</v>
      </c>
      <c r="F261" s="68">
        <v>4122</v>
      </c>
      <c r="G261" s="45"/>
      <c r="I261" s="390"/>
      <c r="J261" s="387"/>
      <c r="K261" s="391"/>
    </row>
    <row r="262" spans="1:11" x14ac:dyDescent="0.25">
      <c r="A262" s="43">
        <v>42181</v>
      </c>
      <c r="B262" s="276" t="s">
        <v>250</v>
      </c>
      <c r="C262" s="53">
        <v>200</v>
      </c>
      <c r="D262" s="55">
        <v>200000</v>
      </c>
      <c r="E262" s="67">
        <v>539</v>
      </c>
      <c r="F262" s="68">
        <v>4122</v>
      </c>
      <c r="G262" s="45"/>
      <c r="I262" s="390"/>
      <c r="J262" s="387"/>
      <c r="K262" s="391"/>
    </row>
    <row r="263" spans="1:11" x14ac:dyDescent="0.25">
      <c r="A263" s="43">
        <v>42181</v>
      </c>
      <c r="B263" s="276" t="s">
        <v>252</v>
      </c>
      <c r="C263" s="53">
        <v>701.62408000000005</v>
      </c>
      <c r="D263" s="55">
        <v>701624.08</v>
      </c>
      <c r="E263" s="67">
        <v>33030</v>
      </c>
      <c r="F263" s="68">
        <v>4122</v>
      </c>
      <c r="G263" s="45"/>
      <c r="I263" s="390"/>
      <c r="J263" s="387"/>
      <c r="K263" s="391"/>
    </row>
    <row r="264" spans="1:11" x14ac:dyDescent="0.25">
      <c r="A264" s="43">
        <v>42181</v>
      </c>
      <c r="B264" s="276" t="s">
        <v>251</v>
      </c>
      <c r="C264" s="53">
        <v>93.395690000000002</v>
      </c>
      <c r="D264" s="55">
        <v>93395.69</v>
      </c>
      <c r="E264" s="67">
        <v>33030</v>
      </c>
      <c r="F264" s="68">
        <v>4122</v>
      </c>
      <c r="G264" s="45"/>
      <c r="I264" s="390"/>
      <c r="J264" s="387"/>
      <c r="K264" s="391"/>
    </row>
    <row r="265" spans="1:11" x14ac:dyDescent="0.25">
      <c r="A265" s="43">
        <v>42181</v>
      </c>
      <c r="B265" s="276" t="s">
        <v>253</v>
      </c>
      <c r="C265" s="53">
        <v>137.19474</v>
      </c>
      <c r="D265" s="55">
        <v>137194.74</v>
      </c>
      <c r="E265" s="67">
        <v>33030</v>
      </c>
      <c r="F265" s="68">
        <v>4122</v>
      </c>
      <c r="G265" s="45"/>
      <c r="I265" s="390"/>
      <c r="J265" s="387"/>
      <c r="K265" s="391"/>
    </row>
    <row r="266" spans="1:11" x14ac:dyDescent="0.25">
      <c r="A266" s="43">
        <v>42184</v>
      </c>
      <c r="B266" s="276" t="s">
        <v>254</v>
      </c>
      <c r="C266" s="53">
        <v>276.28805999999997</v>
      </c>
      <c r="D266" s="55">
        <v>276288.06</v>
      </c>
      <c r="E266" s="67">
        <v>33030</v>
      </c>
      <c r="F266" s="68">
        <v>4122</v>
      </c>
      <c r="G266" s="45"/>
      <c r="I266" s="390"/>
      <c r="J266" s="387"/>
      <c r="K266" s="391"/>
    </row>
    <row r="267" spans="1:11" x14ac:dyDescent="0.25">
      <c r="A267" s="43">
        <v>42184</v>
      </c>
      <c r="B267" s="276" t="s">
        <v>150</v>
      </c>
      <c r="C267" s="53">
        <v>371.08757000000003</v>
      </c>
      <c r="D267" s="55">
        <v>371087.57</v>
      </c>
      <c r="E267" s="67">
        <v>33030</v>
      </c>
      <c r="F267" s="68">
        <v>4122</v>
      </c>
      <c r="G267" s="45"/>
      <c r="I267" s="390"/>
      <c r="J267" s="387"/>
      <c r="K267" s="391"/>
    </row>
    <row r="268" spans="1:11" x14ac:dyDescent="0.25">
      <c r="A268" s="43">
        <v>42184</v>
      </c>
      <c r="B268" s="276" t="s">
        <v>256</v>
      </c>
      <c r="C268" s="53">
        <v>120</v>
      </c>
      <c r="D268" s="55">
        <v>120000</v>
      </c>
      <c r="E268" s="67">
        <v>311</v>
      </c>
      <c r="F268" s="68">
        <v>4122</v>
      </c>
      <c r="G268" s="45"/>
      <c r="I268" s="390"/>
      <c r="J268" s="387"/>
      <c r="K268" s="391"/>
    </row>
    <row r="269" spans="1:11" x14ac:dyDescent="0.25">
      <c r="A269" s="43">
        <v>42184</v>
      </c>
      <c r="B269" s="276" t="s">
        <v>255</v>
      </c>
      <c r="C269" s="53">
        <v>60</v>
      </c>
      <c r="D269" s="55">
        <v>60000</v>
      </c>
      <c r="E269" s="67">
        <v>311</v>
      </c>
      <c r="F269" s="68">
        <v>4122</v>
      </c>
      <c r="G269" s="45"/>
      <c r="I269" s="390"/>
      <c r="J269" s="387"/>
      <c r="K269" s="391"/>
    </row>
    <row r="270" spans="1:11" x14ac:dyDescent="0.25">
      <c r="A270" s="43">
        <v>42187</v>
      </c>
      <c r="B270" s="276" t="s">
        <v>281</v>
      </c>
      <c r="C270" s="53">
        <v>50</v>
      </c>
      <c r="D270" s="55">
        <v>50000</v>
      </c>
      <c r="E270" s="67">
        <v>311</v>
      </c>
      <c r="F270" s="68">
        <v>4122</v>
      </c>
      <c r="G270" s="45"/>
      <c r="I270" s="390"/>
      <c r="J270" s="387"/>
      <c r="K270" s="391"/>
    </row>
    <row r="271" spans="1:11" x14ac:dyDescent="0.25">
      <c r="A271" s="43">
        <v>42187</v>
      </c>
      <c r="B271" s="276" t="s">
        <v>282</v>
      </c>
      <c r="C271" s="53">
        <v>50</v>
      </c>
      <c r="D271" s="55">
        <v>50000</v>
      </c>
      <c r="E271" s="67">
        <v>311</v>
      </c>
      <c r="F271" s="68">
        <v>4122</v>
      </c>
      <c r="G271" s="45"/>
      <c r="I271" s="390"/>
      <c r="J271" s="387"/>
      <c r="K271" s="391"/>
    </row>
    <row r="272" spans="1:11" x14ac:dyDescent="0.25">
      <c r="A272" s="43">
        <v>42192</v>
      </c>
      <c r="B272" s="276" t="s">
        <v>285</v>
      </c>
      <c r="C272" s="53">
        <v>100</v>
      </c>
      <c r="D272" s="55">
        <v>100000</v>
      </c>
      <c r="E272" s="67">
        <v>331</v>
      </c>
      <c r="F272" s="68">
        <v>4122</v>
      </c>
      <c r="G272" s="45"/>
      <c r="I272" s="390"/>
      <c r="J272" s="387"/>
      <c r="K272" s="391"/>
    </row>
    <row r="273" spans="1:11" x14ac:dyDescent="0.25">
      <c r="A273" s="43">
        <v>42192</v>
      </c>
      <c r="B273" s="276" t="s">
        <v>286</v>
      </c>
      <c r="C273" s="53">
        <v>100</v>
      </c>
      <c r="D273" s="55">
        <v>100000</v>
      </c>
      <c r="E273" s="67">
        <v>331</v>
      </c>
      <c r="F273" s="68">
        <v>4122</v>
      </c>
      <c r="G273" s="45"/>
      <c r="I273" s="390"/>
      <c r="J273" s="387"/>
      <c r="K273" s="391"/>
    </row>
    <row r="274" spans="1:11" x14ac:dyDescent="0.25">
      <c r="A274" s="43">
        <v>42192</v>
      </c>
      <c r="B274" s="276" t="s">
        <v>287</v>
      </c>
      <c r="C274" s="53">
        <v>200</v>
      </c>
      <c r="D274" s="55">
        <v>200000</v>
      </c>
      <c r="E274" s="67">
        <v>331</v>
      </c>
      <c r="F274" s="68">
        <v>4122</v>
      </c>
      <c r="G274" s="45"/>
      <c r="I274" s="390"/>
      <c r="J274" s="387"/>
      <c r="K274" s="391"/>
    </row>
    <row r="275" spans="1:11" x14ac:dyDescent="0.25">
      <c r="A275" s="43">
        <v>42192</v>
      </c>
      <c r="B275" s="276" t="s">
        <v>288</v>
      </c>
      <c r="C275" s="53">
        <v>600</v>
      </c>
      <c r="D275" s="55">
        <v>600000</v>
      </c>
      <c r="E275" s="67">
        <v>331</v>
      </c>
      <c r="F275" s="68">
        <v>4122</v>
      </c>
      <c r="G275" s="45"/>
      <c r="I275" s="390"/>
      <c r="J275" s="387"/>
      <c r="K275" s="391"/>
    </row>
    <row r="276" spans="1:11" x14ac:dyDescent="0.25">
      <c r="A276" s="43">
        <v>42192</v>
      </c>
      <c r="B276" s="276" t="s">
        <v>414</v>
      </c>
      <c r="C276" s="53">
        <v>400</v>
      </c>
      <c r="D276" s="55">
        <v>400000</v>
      </c>
      <c r="E276" s="67">
        <v>331</v>
      </c>
      <c r="F276" s="68">
        <v>4122</v>
      </c>
      <c r="G276" s="45"/>
      <c r="I276" s="390"/>
      <c r="J276" s="387"/>
      <c r="K276" s="391"/>
    </row>
    <row r="277" spans="1:11" x14ac:dyDescent="0.25">
      <c r="A277" s="43">
        <v>42192</v>
      </c>
      <c r="B277" s="276" t="s">
        <v>290</v>
      </c>
      <c r="C277" s="53">
        <v>600</v>
      </c>
      <c r="D277" s="55">
        <v>600000</v>
      </c>
      <c r="E277" s="67">
        <v>331</v>
      </c>
      <c r="F277" s="68">
        <v>4122</v>
      </c>
      <c r="G277" s="45"/>
      <c r="I277" s="390"/>
      <c r="J277" s="387"/>
      <c r="K277" s="391"/>
    </row>
    <row r="278" spans="1:11" x14ac:dyDescent="0.25">
      <c r="A278" s="43">
        <v>42192</v>
      </c>
      <c r="B278" s="276" t="s">
        <v>291</v>
      </c>
      <c r="C278" s="53">
        <v>600</v>
      </c>
      <c r="D278" s="55">
        <v>600000</v>
      </c>
      <c r="E278" s="67">
        <v>331</v>
      </c>
      <c r="F278" s="68">
        <v>4122</v>
      </c>
      <c r="G278" s="45"/>
      <c r="I278" s="390"/>
      <c r="J278" s="387"/>
      <c r="K278" s="391"/>
    </row>
    <row r="279" spans="1:11" x14ac:dyDescent="0.25">
      <c r="A279" s="43">
        <v>42192</v>
      </c>
      <c r="B279" s="276" t="s">
        <v>292</v>
      </c>
      <c r="C279" s="53">
        <v>600</v>
      </c>
      <c r="D279" s="55">
        <v>600000</v>
      </c>
      <c r="E279" s="67">
        <v>331</v>
      </c>
      <c r="F279" s="68">
        <v>4122</v>
      </c>
      <c r="G279" s="45"/>
      <c r="I279" s="390"/>
      <c r="J279" s="387"/>
      <c r="K279" s="391"/>
    </row>
    <row r="280" spans="1:11" x14ac:dyDescent="0.25">
      <c r="A280" s="43">
        <v>42192</v>
      </c>
      <c r="B280" s="276" t="s">
        <v>293</v>
      </c>
      <c r="C280" s="53">
        <v>600</v>
      </c>
      <c r="D280" s="55">
        <v>600000</v>
      </c>
      <c r="E280" s="67">
        <v>331</v>
      </c>
      <c r="F280" s="68">
        <v>4122</v>
      </c>
      <c r="G280" s="45"/>
      <c r="I280" s="390"/>
      <c r="J280" s="387"/>
      <c r="K280" s="391"/>
    </row>
    <row r="281" spans="1:11" x14ac:dyDescent="0.25">
      <c r="A281" s="43">
        <v>42213</v>
      </c>
      <c r="B281" s="276" t="s">
        <v>333</v>
      </c>
      <c r="C281" s="53">
        <v>40231.040000000001</v>
      </c>
      <c r="D281" s="55">
        <v>40231040</v>
      </c>
      <c r="E281" s="67">
        <v>13305</v>
      </c>
      <c r="F281" s="68">
        <v>4122</v>
      </c>
      <c r="G281" s="384" t="s">
        <v>346</v>
      </c>
      <c r="H281" s="384">
        <f>-3646440-1996600</f>
        <v>-5643040</v>
      </c>
      <c r="I281" s="394"/>
      <c r="J281" s="387">
        <v>5643040</v>
      </c>
      <c r="K281" s="391"/>
    </row>
    <row r="282" spans="1:11" hidden="1" x14ac:dyDescent="0.25">
      <c r="A282" s="43"/>
      <c r="B282" s="276"/>
      <c r="C282" s="55"/>
      <c r="D282" s="55"/>
      <c r="E282" s="67"/>
      <c r="F282" s="68">
        <v>4122</v>
      </c>
      <c r="G282" s="45"/>
      <c r="I282" s="390"/>
      <c r="J282" s="387"/>
      <c r="K282" s="391"/>
    </row>
    <row r="283" spans="1:11" hidden="1" x14ac:dyDescent="0.25">
      <c r="A283" s="43"/>
      <c r="B283" s="276"/>
      <c r="C283" s="55"/>
      <c r="D283" s="55"/>
      <c r="E283" s="67"/>
      <c r="F283" s="68">
        <v>4122</v>
      </c>
      <c r="G283" s="45"/>
      <c r="I283" s="390"/>
      <c r="J283" s="387"/>
      <c r="K283" s="391"/>
    </row>
    <row r="284" spans="1:11" hidden="1" x14ac:dyDescent="0.25">
      <c r="A284" s="43"/>
      <c r="B284" s="276"/>
      <c r="C284" s="55"/>
      <c r="D284" s="55"/>
      <c r="E284" s="67"/>
      <c r="F284" s="68">
        <v>4122</v>
      </c>
      <c r="G284" s="45"/>
      <c r="I284" s="390"/>
      <c r="J284" s="387"/>
      <c r="K284" s="391"/>
    </row>
    <row r="285" spans="1:11" hidden="1" x14ac:dyDescent="0.25">
      <c r="A285" s="43"/>
      <c r="B285" s="276"/>
      <c r="C285" s="55"/>
      <c r="D285" s="55"/>
      <c r="E285" s="67"/>
      <c r="F285" s="68">
        <v>4122</v>
      </c>
      <c r="G285" s="45"/>
      <c r="I285" s="390"/>
      <c r="J285" s="387"/>
      <c r="K285" s="391"/>
    </row>
    <row r="286" spans="1:11" hidden="1" x14ac:dyDescent="0.25">
      <c r="A286" s="43"/>
      <c r="B286" s="276"/>
      <c r="C286" s="55"/>
      <c r="D286" s="55"/>
      <c r="E286" s="67"/>
      <c r="F286" s="68">
        <v>4122</v>
      </c>
      <c r="G286" s="45"/>
      <c r="I286" s="390"/>
      <c r="J286" s="387"/>
      <c r="K286" s="391"/>
    </row>
    <row r="287" spans="1:11" hidden="1" x14ac:dyDescent="0.25">
      <c r="A287" s="43"/>
      <c r="B287" s="276"/>
      <c r="C287" s="55"/>
      <c r="D287" s="55"/>
      <c r="E287" s="67"/>
      <c r="F287" s="68">
        <v>4122</v>
      </c>
      <c r="G287" s="45"/>
      <c r="I287" s="390"/>
      <c r="J287" s="387"/>
      <c r="K287" s="391"/>
    </row>
    <row r="288" spans="1:11" hidden="1" x14ac:dyDescent="0.25">
      <c r="A288" s="43"/>
      <c r="B288" s="276"/>
      <c r="C288" s="53"/>
      <c r="D288" s="55"/>
      <c r="E288" s="67"/>
      <c r="F288" s="68">
        <v>4122</v>
      </c>
      <c r="G288" s="45"/>
      <c r="I288" s="390"/>
      <c r="J288" s="387"/>
      <c r="K288" s="391"/>
    </row>
    <row r="289" spans="1:11" x14ac:dyDescent="0.25">
      <c r="A289" s="43"/>
      <c r="B289" s="276" t="s">
        <v>309</v>
      </c>
      <c r="C289" s="176">
        <v>50</v>
      </c>
      <c r="D289" s="197">
        <v>50000</v>
      </c>
      <c r="E289" s="67">
        <v>551</v>
      </c>
      <c r="F289" s="68">
        <v>4122</v>
      </c>
      <c r="G289" s="384"/>
      <c r="H289" s="384"/>
      <c r="I289" s="390"/>
      <c r="J289" s="387">
        <v>50000</v>
      </c>
      <c r="K289" s="395"/>
    </row>
    <row r="290" spans="1:11" x14ac:dyDescent="0.25">
      <c r="A290" s="43"/>
      <c r="B290" s="276" t="s">
        <v>311</v>
      </c>
      <c r="C290" s="176">
        <v>130</v>
      </c>
      <c r="D290" s="197">
        <v>130000</v>
      </c>
      <c r="E290" s="67">
        <v>551</v>
      </c>
      <c r="F290" s="68">
        <v>4122</v>
      </c>
      <c r="G290" s="384"/>
      <c r="H290" s="384"/>
      <c r="I290" s="390"/>
      <c r="J290" s="387">
        <v>130000</v>
      </c>
      <c r="K290" s="395"/>
    </row>
    <row r="291" spans="1:11" x14ac:dyDescent="0.25">
      <c r="A291" s="43"/>
      <c r="B291" s="276" t="s">
        <v>249</v>
      </c>
      <c r="C291" s="176">
        <v>60</v>
      </c>
      <c r="D291" s="197">
        <v>60000</v>
      </c>
      <c r="E291" s="67">
        <v>539</v>
      </c>
      <c r="F291" s="68">
        <v>4122</v>
      </c>
      <c r="G291" s="45"/>
      <c r="I291" s="390"/>
      <c r="J291" s="387">
        <v>60000</v>
      </c>
      <c r="K291" s="391"/>
    </row>
    <row r="292" spans="1:11" x14ac:dyDescent="0.25">
      <c r="A292" s="43"/>
      <c r="B292" s="276" t="s">
        <v>69</v>
      </c>
      <c r="C292" s="176">
        <f>674.88547+191.22315+33.74527</f>
        <v>899.85389000000009</v>
      </c>
      <c r="D292" s="197">
        <f>674885.47+224968.42</f>
        <v>899853.89</v>
      </c>
      <c r="E292" s="268">
        <v>33030</v>
      </c>
      <c r="F292" s="68">
        <v>4122</v>
      </c>
      <c r="G292" s="45"/>
      <c r="I292" s="390"/>
      <c r="J292" s="387">
        <f>674885.47+224968.42</f>
        <v>899853.89</v>
      </c>
      <c r="K292" s="391"/>
    </row>
    <row r="293" spans="1:11" x14ac:dyDescent="0.25">
      <c r="A293" s="43"/>
      <c r="B293" s="276" t="s">
        <v>259</v>
      </c>
      <c r="C293" s="176">
        <v>35</v>
      </c>
      <c r="D293" s="197">
        <v>35000</v>
      </c>
      <c r="E293" s="268">
        <v>539</v>
      </c>
      <c r="F293" s="68">
        <v>4122</v>
      </c>
      <c r="G293" s="45"/>
      <c r="I293" s="390"/>
      <c r="J293" s="387">
        <v>35000</v>
      </c>
      <c r="K293" s="391"/>
    </row>
    <row r="294" spans="1:11" x14ac:dyDescent="0.25">
      <c r="A294" s="43"/>
      <c r="B294" s="276" t="s">
        <v>139</v>
      </c>
      <c r="C294" s="176">
        <f>669.36+446.24</f>
        <v>1115.5999999999999</v>
      </c>
      <c r="D294" s="197">
        <f>669360+446240</f>
        <v>1115600</v>
      </c>
      <c r="E294" s="268">
        <v>13305</v>
      </c>
      <c r="F294" s="68">
        <v>4122</v>
      </c>
      <c r="G294" s="45"/>
      <c r="I294" s="390"/>
      <c r="J294" s="387">
        <f>669360+446240</f>
        <v>1115600</v>
      </c>
      <c r="K294" s="391"/>
    </row>
    <row r="295" spans="1:11" x14ac:dyDescent="0.25">
      <c r="A295" s="43"/>
      <c r="B295" s="276" t="s">
        <v>151</v>
      </c>
      <c r="C295" s="176">
        <v>964</v>
      </c>
      <c r="D295" s="197">
        <f>578400+385600</f>
        <v>964000</v>
      </c>
      <c r="E295" s="268">
        <v>13305</v>
      </c>
      <c r="F295" s="68">
        <v>4122</v>
      </c>
      <c r="G295" s="45"/>
      <c r="I295" s="390"/>
      <c r="J295" s="387">
        <f>578400+385600</f>
        <v>964000</v>
      </c>
      <c r="K295" s="391"/>
    </row>
    <row r="296" spans="1:11" x14ac:dyDescent="0.25">
      <c r="A296" s="43"/>
      <c r="B296" s="276" t="s">
        <v>332</v>
      </c>
      <c r="C296" s="176">
        <v>80</v>
      </c>
      <c r="D296" s="197">
        <v>80000</v>
      </c>
      <c r="E296" s="268">
        <v>551</v>
      </c>
      <c r="F296" s="68">
        <v>4122</v>
      </c>
      <c r="G296" s="384"/>
      <c r="H296" s="384"/>
      <c r="I296" s="390"/>
      <c r="J296" s="387">
        <v>80000</v>
      </c>
      <c r="K296" s="391"/>
    </row>
    <row r="297" spans="1:11" hidden="1" x14ac:dyDescent="0.25">
      <c r="A297" s="43"/>
      <c r="B297" s="276"/>
      <c r="C297" s="53"/>
      <c r="D297" s="55"/>
      <c r="E297" s="268"/>
      <c r="F297" s="68"/>
      <c r="G297" s="45"/>
      <c r="I297" s="390"/>
      <c r="J297" s="387"/>
      <c r="K297" s="395"/>
    </row>
    <row r="298" spans="1:11" hidden="1" x14ac:dyDescent="0.25">
      <c r="A298" s="43"/>
      <c r="B298" s="276"/>
      <c r="C298" s="53"/>
      <c r="D298" s="55"/>
      <c r="E298" s="268"/>
      <c r="F298" s="68"/>
      <c r="G298" s="45"/>
      <c r="I298" s="390"/>
      <c r="J298" s="387"/>
      <c r="K298" s="396"/>
    </row>
    <row r="299" spans="1:11" x14ac:dyDescent="0.25">
      <c r="A299" s="43"/>
      <c r="B299" s="276" t="s">
        <v>304</v>
      </c>
      <c r="C299" s="176">
        <v>55</v>
      </c>
      <c r="D299" s="197">
        <v>55000</v>
      </c>
      <c r="E299" s="268">
        <v>551</v>
      </c>
      <c r="F299" s="68">
        <v>4122</v>
      </c>
      <c r="G299" s="384"/>
      <c r="H299" s="384"/>
      <c r="I299" s="390"/>
      <c r="J299" s="387">
        <v>55000</v>
      </c>
      <c r="K299" s="396"/>
    </row>
    <row r="300" spans="1:11" x14ac:dyDescent="0.25">
      <c r="A300" s="43"/>
      <c r="B300" s="276" t="s">
        <v>331</v>
      </c>
      <c r="C300" s="176">
        <v>90</v>
      </c>
      <c r="D300" s="197">
        <v>90000</v>
      </c>
      <c r="E300" s="268">
        <v>551</v>
      </c>
      <c r="F300" s="68">
        <v>4122</v>
      </c>
      <c r="G300" s="384"/>
      <c r="H300" s="384"/>
      <c r="I300" s="390"/>
      <c r="J300" s="387">
        <v>90000</v>
      </c>
      <c r="K300" s="395"/>
    </row>
    <row r="301" spans="1:11" x14ac:dyDescent="0.25">
      <c r="A301" s="43"/>
      <c r="B301" s="276" t="s">
        <v>310</v>
      </c>
      <c r="C301" s="176">
        <v>55</v>
      </c>
      <c r="D301" s="197">
        <v>55000</v>
      </c>
      <c r="E301" s="268">
        <v>551</v>
      </c>
      <c r="F301" s="68">
        <v>4122</v>
      </c>
      <c r="G301" s="384"/>
      <c r="H301" s="384"/>
      <c r="I301" s="390"/>
      <c r="J301" s="387">
        <v>55000</v>
      </c>
      <c r="K301" s="395"/>
    </row>
    <row r="302" spans="1:11" hidden="1" x14ac:dyDescent="0.25">
      <c r="A302" s="43"/>
      <c r="B302" s="276"/>
      <c r="C302" s="53"/>
      <c r="D302" s="55"/>
      <c r="E302" s="268"/>
      <c r="F302" s="68">
        <v>4122</v>
      </c>
      <c r="G302" s="45"/>
      <c r="H302" s="269"/>
      <c r="I302" s="390"/>
      <c r="J302" s="387"/>
      <c r="K302" s="395"/>
    </row>
    <row r="303" spans="1:11" hidden="1" x14ac:dyDescent="0.25">
      <c r="A303" s="43"/>
      <c r="B303" s="276"/>
      <c r="C303" s="53"/>
      <c r="D303" s="55"/>
      <c r="E303" s="268"/>
      <c r="F303" s="68">
        <v>4122</v>
      </c>
      <c r="G303" s="45"/>
      <c r="H303" s="269"/>
      <c r="I303" s="390"/>
      <c r="J303" s="387"/>
      <c r="K303" s="391"/>
    </row>
    <row r="304" spans="1:11" hidden="1" x14ac:dyDescent="0.25">
      <c r="A304" s="43"/>
      <c r="B304" s="276"/>
      <c r="C304" s="53"/>
      <c r="D304" s="55"/>
      <c r="E304" s="268"/>
      <c r="F304" s="68">
        <v>4122</v>
      </c>
      <c r="G304" s="45"/>
      <c r="H304" s="269"/>
      <c r="I304" s="390"/>
      <c r="J304" s="387"/>
      <c r="K304" s="391"/>
    </row>
    <row r="305" spans="1:11" hidden="1" x14ac:dyDescent="0.25">
      <c r="A305" s="43"/>
      <c r="B305" s="276"/>
      <c r="C305" s="53"/>
      <c r="D305" s="55"/>
      <c r="E305" s="268"/>
      <c r="F305" s="68">
        <v>4122</v>
      </c>
      <c r="G305" s="45"/>
      <c r="H305" s="269"/>
      <c r="I305" s="390"/>
      <c r="J305" s="387"/>
      <c r="K305" s="391"/>
    </row>
    <row r="306" spans="1:11" hidden="1" x14ac:dyDescent="0.25">
      <c r="A306" s="43"/>
      <c r="B306" s="276"/>
      <c r="C306" s="53"/>
      <c r="D306" s="55"/>
      <c r="E306" s="268"/>
      <c r="F306" s="68">
        <v>4122</v>
      </c>
      <c r="G306" s="45"/>
      <c r="H306" s="269"/>
      <c r="I306" s="390"/>
      <c r="J306" s="387"/>
      <c r="K306" s="391"/>
    </row>
    <row r="307" spans="1:11" hidden="1" x14ac:dyDescent="0.25">
      <c r="A307" s="43"/>
      <c r="B307" s="276"/>
      <c r="C307" s="53"/>
      <c r="D307" s="55"/>
      <c r="E307" s="268"/>
      <c r="F307" s="68">
        <v>4122</v>
      </c>
      <c r="G307" s="45"/>
      <c r="H307" s="269"/>
      <c r="I307" s="390"/>
      <c r="J307" s="387"/>
      <c r="K307" s="391"/>
    </row>
    <row r="308" spans="1:11" hidden="1" x14ac:dyDescent="0.25">
      <c r="A308" s="43"/>
      <c r="B308" s="276"/>
      <c r="C308" s="53"/>
      <c r="D308" s="55"/>
      <c r="E308" s="268"/>
      <c r="F308" s="68">
        <v>4122</v>
      </c>
      <c r="G308" s="45"/>
      <c r="H308" s="269"/>
      <c r="I308" s="390"/>
      <c r="J308" s="387"/>
      <c r="K308" s="391"/>
    </row>
    <row r="309" spans="1:11" hidden="1" x14ac:dyDescent="0.25">
      <c r="A309" s="43"/>
      <c r="B309" s="276"/>
      <c r="C309" s="53"/>
      <c r="D309" s="55"/>
      <c r="E309" s="268"/>
      <c r="F309" s="68">
        <v>4122</v>
      </c>
      <c r="G309" s="45"/>
      <c r="H309" s="269"/>
      <c r="I309" s="390"/>
      <c r="J309" s="387"/>
      <c r="K309" s="391"/>
    </row>
    <row r="310" spans="1:11" hidden="1" x14ac:dyDescent="0.25">
      <c r="A310" s="43"/>
      <c r="B310" s="276"/>
      <c r="C310" s="53"/>
      <c r="D310" s="55"/>
      <c r="E310" s="268"/>
      <c r="F310" s="68">
        <v>4122</v>
      </c>
      <c r="G310" s="45"/>
      <c r="H310" s="269"/>
      <c r="I310" s="390"/>
      <c r="J310" s="387"/>
      <c r="K310" s="391"/>
    </row>
    <row r="311" spans="1:11" hidden="1" x14ac:dyDescent="0.25">
      <c r="A311" s="43"/>
      <c r="B311" s="276"/>
      <c r="C311" s="53"/>
      <c r="D311" s="55"/>
      <c r="E311" s="268"/>
      <c r="F311" s="68">
        <v>4122</v>
      </c>
      <c r="G311" s="45"/>
      <c r="H311" s="269"/>
      <c r="I311" s="390"/>
      <c r="J311" s="387"/>
      <c r="K311" s="391"/>
    </row>
    <row r="312" spans="1:11" hidden="1" x14ac:dyDescent="0.25">
      <c r="A312" s="43"/>
      <c r="B312" s="276"/>
      <c r="C312" s="53"/>
      <c r="D312" s="55"/>
      <c r="E312" s="268"/>
      <c r="F312" s="68">
        <v>4122</v>
      </c>
      <c r="G312" s="45"/>
      <c r="H312" s="269"/>
      <c r="I312" s="390"/>
      <c r="J312" s="387"/>
      <c r="K312" s="391"/>
    </row>
    <row r="313" spans="1:11" hidden="1" x14ac:dyDescent="0.25">
      <c r="A313" s="43"/>
      <c r="B313" s="276"/>
      <c r="C313" s="53"/>
      <c r="D313" s="55"/>
      <c r="E313" s="268"/>
      <c r="F313" s="68">
        <v>4122</v>
      </c>
      <c r="G313" s="45"/>
      <c r="H313" s="269"/>
      <c r="I313" s="390"/>
      <c r="J313" s="387"/>
      <c r="K313" s="391"/>
    </row>
    <row r="314" spans="1:11" hidden="1" x14ac:dyDescent="0.25">
      <c r="A314" s="43"/>
      <c r="B314" s="276"/>
      <c r="C314" s="53"/>
      <c r="D314" s="55"/>
      <c r="E314" s="268"/>
      <c r="F314" s="68">
        <v>4122</v>
      </c>
      <c r="G314" s="45"/>
      <c r="H314" s="269"/>
      <c r="I314" s="390"/>
      <c r="J314" s="387"/>
      <c r="K314" s="391"/>
    </row>
    <row r="315" spans="1:11" hidden="1" x14ac:dyDescent="0.25">
      <c r="A315" s="43"/>
      <c r="B315" s="276"/>
      <c r="C315" s="53"/>
      <c r="D315" s="55"/>
      <c r="E315" s="268"/>
      <c r="F315" s="68">
        <v>4122</v>
      </c>
      <c r="G315" s="45"/>
      <c r="H315" s="269"/>
      <c r="I315" s="390"/>
      <c r="J315" s="387"/>
      <c r="K315" s="391"/>
    </row>
    <row r="316" spans="1:11" hidden="1" x14ac:dyDescent="0.25">
      <c r="A316" s="43"/>
      <c r="B316" s="276"/>
      <c r="C316" s="53"/>
      <c r="D316" s="55"/>
      <c r="E316" s="268"/>
      <c r="F316" s="68">
        <v>4122</v>
      </c>
      <c r="G316" s="45"/>
      <c r="H316" s="269"/>
      <c r="I316" s="390"/>
      <c r="J316" s="387"/>
      <c r="K316" s="391"/>
    </row>
    <row r="317" spans="1:11" hidden="1" x14ac:dyDescent="0.25">
      <c r="A317" s="43"/>
      <c r="B317" s="276"/>
      <c r="C317" s="53"/>
      <c r="D317" s="55"/>
      <c r="E317" s="268"/>
      <c r="F317" s="68">
        <v>4122</v>
      </c>
      <c r="G317" s="45"/>
      <c r="H317" s="269"/>
      <c r="I317" s="390"/>
      <c r="J317" s="387"/>
      <c r="K317" s="391"/>
    </row>
    <row r="318" spans="1:11" hidden="1" x14ac:dyDescent="0.25">
      <c r="A318" s="43"/>
      <c r="B318" s="276"/>
      <c r="C318" s="53"/>
      <c r="D318" s="55"/>
      <c r="E318" s="268"/>
      <c r="F318" s="68">
        <v>4122</v>
      </c>
      <c r="G318" s="45"/>
      <c r="H318" s="269"/>
      <c r="I318" s="390"/>
      <c r="J318" s="387"/>
      <c r="K318" s="391"/>
    </row>
    <row r="319" spans="1:11" hidden="1" x14ac:dyDescent="0.25">
      <c r="A319" s="43"/>
      <c r="B319" s="276"/>
      <c r="C319" s="53"/>
      <c r="D319" s="55"/>
      <c r="E319" s="268"/>
      <c r="F319" s="68">
        <v>4122</v>
      </c>
      <c r="G319" s="45"/>
      <c r="H319" s="269"/>
      <c r="I319" s="390"/>
      <c r="J319" s="387"/>
      <c r="K319" s="391"/>
    </row>
    <row r="320" spans="1:11" hidden="1" x14ac:dyDescent="0.25">
      <c r="A320" s="43"/>
      <c r="B320" s="276"/>
      <c r="C320" s="53"/>
      <c r="D320" s="55"/>
      <c r="E320" s="268"/>
      <c r="F320" s="68">
        <v>4122</v>
      </c>
      <c r="G320" s="45"/>
      <c r="H320" s="269"/>
      <c r="I320" s="390"/>
      <c r="J320" s="387"/>
      <c r="K320" s="391"/>
    </row>
    <row r="321" spans="1:11" hidden="1" x14ac:dyDescent="0.25">
      <c r="A321" s="43"/>
      <c r="B321" s="276"/>
      <c r="C321" s="53"/>
      <c r="D321" s="55"/>
      <c r="E321" s="268"/>
      <c r="F321" s="68">
        <v>4122</v>
      </c>
      <c r="G321" s="45"/>
      <c r="H321" s="269"/>
      <c r="I321" s="390"/>
      <c r="J321" s="387"/>
      <c r="K321" s="391"/>
    </row>
    <row r="322" spans="1:11" hidden="1" x14ac:dyDescent="0.25">
      <c r="A322" s="43"/>
      <c r="B322" s="276"/>
      <c r="C322" s="53"/>
      <c r="D322" s="55"/>
      <c r="E322" s="268"/>
      <c r="F322" s="68">
        <v>4122</v>
      </c>
      <c r="G322" s="45"/>
      <c r="H322" s="269"/>
      <c r="I322" s="390"/>
      <c r="J322" s="387"/>
      <c r="K322" s="391"/>
    </row>
    <row r="323" spans="1:11" hidden="1" x14ac:dyDescent="0.25">
      <c r="A323" s="43"/>
      <c r="B323" s="276"/>
      <c r="C323" s="53"/>
      <c r="D323" s="55"/>
      <c r="E323" s="268"/>
      <c r="F323" s="68">
        <v>4122</v>
      </c>
      <c r="G323" s="45"/>
      <c r="H323" s="269"/>
      <c r="I323" s="390"/>
      <c r="J323" s="387"/>
      <c r="K323" s="391"/>
    </row>
    <row r="324" spans="1:11" hidden="1" x14ac:dyDescent="0.25">
      <c r="A324" s="43"/>
      <c r="B324" s="276"/>
      <c r="C324" s="53"/>
      <c r="D324" s="55"/>
      <c r="E324" s="268"/>
      <c r="F324" s="68">
        <v>4122</v>
      </c>
      <c r="G324" s="45"/>
      <c r="H324" s="269"/>
      <c r="I324" s="390"/>
      <c r="J324" s="387"/>
      <c r="K324" s="391"/>
    </row>
    <row r="325" spans="1:11" hidden="1" x14ac:dyDescent="0.25">
      <c r="A325" s="43"/>
      <c r="B325" s="276"/>
      <c r="C325" s="53"/>
      <c r="D325" s="55"/>
      <c r="E325" s="268"/>
      <c r="F325" s="68">
        <v>4122</v>
      </c>
      <c r="G325" s="45"/>
      <c r="H325" s="269"/>
      <c r="I325" s="390"/>
      <c r="J325" s="387"/>
      <c r="K325" s="391"/>
    </row>
    <row r="326" spans="1:11" hidden="1" x14ac:dyDescent="0.25">
      <c r="A326" s="43"/>
      <c r="B326" s="276"/>
      <c r="C326" s="53"/>
      <c r="D326" s="55"/>
      <c r="E326" s="268"/>
      <c r="F326" s="68">
        <v>4122</v>
      </c>
      <c r="G326" s="45"/>
      <c r="H326" s="269"/>
      <c r="I326" s="390"/>
      <c r="J326" s="387"/>
      <c r="K326" s="391"/>
    </row>
    <row r="327" spans="1:11" hidden="1" x14ac:dyDescent="0.25">
      <c r="A327" s="43"/>
      <c r="B327" s="276"/>
      <c r="C327" s="53"/>
      <c r="D327" s="55"/>
      <c r="E327" s="268"/>
      <c r="F327" s="68">
        <v>4122</v>
      </c>
      <c r="G327" s="45"/>
      <c r="H327" s="269"/>
      <c r="I327" s="390"/>
      <c r="J327" s="387"/>
      <c r="K327" s="391"/>
    </row>
    <row r="328" spans="1:11" hidden="1" x14ac:dyDescent="0.25">
      <c r="A328" s="43"/>
      <c r="B328" s="276"/>
      <c r="C328" s="53"/>
      <c r="D328" s="55"/>
      <c r="E328" s="268"/>
      <c r="F328" s="68">
        <v>4122</v>
      </c>
      <c r="G328" s="45"/>
      <c r="H328" s="269"/>
      <c r="I328" s="390"/>
      <c r="J328" s="387"/>
      <c r="K328" s="391"/>
    </row>
    <row r="329" spans="1:11" hidden="1" x14ac:dyDescent="0.25">
      <c r="A329" s="43"/>
      <c r="B329" s="276"/>
      <c r="C329" s="55"/>
      <c r="D329" s="55"/>
      <c r="E329" s="67"/>
      <c r="F329" s="68">
        <v>4122</v>
      </c>
      <c r="G329" s="45"/>
      <c r="H329" s="269"/>
      <c r="I329" s="390"/>
      <c r="J329" s="387"/>
      <c r="K329" s="391"/>
    </row>
    <row r="330" spans="1:11" hidden="1" x14ac:dyDescent="0.25">
      <c r="A330" s="43"/>
      <c r="B330" s="276"/>
      <c r="C330" s="55"/>
      <c r="D330" s="55"/>
      <c r="E330" s="67"/>
      <c r="F330" s="68">
        <v>4122</v>
      </c>
      <c r="G330" s="45"/>
      <c r="H330" s="269"/>
      <c r="I330" s="390"/>
      <c r="J330" s="387"/>
      <c r="K330" s="391"/>
    </row>
    <row r="331" spans="1:11" hidden="1" x14ac:dyDescent="0.25">
      <c r="A331" s="43"/>
      <c r="B331" s="276"/>
      <c r="C331" s="55"/>
      <c r="D331" s="55"/>
      <c r="E331" s="67"/>
      <c r="F331" s="68">
        <v>4122</v>
      </c>
      <c r="G331" s="45"/>
      <c r="H331" s="269"/>
      <c r="I331" s="390"/>
      <c r="J331" s="387"/>
      <c r="K331" s="391"/>
    </row>
    <row r="332" spans="1:11" hidden="1" x14ac:dyDescent="0.25">
      <c r="A332" s="43"/>
      <c r="B332" s="276"/>
      <c r="C332" s="55"/>
      <c r="D332" s="55"/>
      <c r="E332" s="67"/>
      <c r="F332" s="68">
        <v>4122</v>
      </c>
      <c r="G332" s="45"/>
      <c r="H332" s="269"/>
      <c r="I332" s="390"/>
      <c r="J332" s="387"/>
      <c r="K332" s="391"/>
    </row>
    <row r="333" spans="1:11" hidden="1" x14ac:dyDescent="0.25">
      <c r="A333" s="43"/>
      <c r="B333" s="276"/>
      <c r="C333" s="55"/>
      <c r="D333" s="55"/>
      <c r="E333" s="67"/>
      <c r="F333" s="68">
        <v>4122</v>
      </c>
      <c r="G333" s="45"/>
      <c r="H333" s="269"/>
      <c r="I333" s="390"/>
      <c r="J333" s="387"/>
      <c r="K333" s="391"/>
    </row>
    <row r="334" spans="1:11" hidden="1" x14ac:dyDescent="0.25">
      <c r="A334" s="43"/>
      <c r="B334" s="276"/>
      <c r="C334" s="55"/>
      <c r="D334" s="55"/>
      <c r="E334" s="67"/>
      <c r="F334" s="68">
        <v>4122</v>
      </c>
      <c r="G334" s="45"/>
      <c r="H334" s="269"/>
      <c r="I334" s="390"/>
      <c r="J334" s="387"/>
      <c r="K334" s="391"/>
    </row>
    <row r="335" spans="1:11" hidden="1" x14ac:dyDescent="0.25">
      <c r="A335" s="43"/>
      <c r="B335" s="276"/>
      <c r="C335" s="55"/>
      <c r="D335" s="55"/>
      <c r="E335" s="67"/>
      <c r="F335" s="68">
        <v>4122</v>
      </c>
      <c r="G335" s="45"/>
      <c r="H335" s="269"/>
      <c r="I335" s="390"/>
      <c r="J335" s="387"/>
      <c r="K335" s="391"/>
    </row>
    <row r="336" spans="1:11" hidden="1" x14ac:dyDescent="0.25">
      <c r="A336" s="43"/>
      <c r="B336" s="276"/>
      <c r="C336" s="55"/>
      <c r="D336" s="55"/>
      <c r="E336" s="67"/>
      <c r="F336" s="68">
        <v>4122</v>
      </c>
      <c r="G336" s="45"/>
      <c r="H336" s="269"/>
      <c r="I336" s="390"/>
      <c r="J336" s="387"/>
      <c r="K336" s="391"/>
    </row>
    <row r="337" spans="1:11" hidden="1" x14ac:dyDescent="0.25">
      <c r="A337" s="43"/>
      <c r="B337" s="276"/>
      <c r="C337" s="55"/>
      <c r="D337" s="55"/>
      <c r="E337" s="67"/>
      <c r="F337" s="68">
        <v>4122</v>
      </c>
      <c r="G337" s="45"/>
      <c r="H337" s="269"/>
      <c r="I337" s="390"/>
      <c r="J337" s="387"/>
      <c r="K337" s="391"/>
    </row>
    <row r="338" spans="1:11" hidden="1" x14ac:dyDescent="0.25">
      <c r="A338" s="43"/>
      <c r="B338" s="276"/>
      <c r="C338" s="55"/>
      <c r="D338" s="55"/>
      <c r="E338" s="67"/>
      <c r="F338" s="68">
        <v>4122</v>
      </c>
      <c r="G338" s="45"/>
      <c r="I338" s="390"/>
      <c r="J338" s="387"/>
      <c r="K338" s="391"/>
    </row>
    <row r="339" spans="1:11" hidden="1" x14ac:dyDescent="0.25">
      <c r="A339" s="43"/>
      <c r="B339" s="276"/>
      <c r="C339" s="55"/>
      <c r="D339" s="55"/>
      <c r="E339" s="67"/>
      <c r="F339" s="68">
        <v>4122</v>
      </c>
      <c r="G339" s="45"/>
      <c r="I339" s="390"/>
      <c r="J339" s="387"/>
      <c r="K339" s="391"/>
    </row>
    <row r="340" spans="1:11" hidden="1" x14ac:dyDescent="0.25">
      <c r="A340" s="43"/>
      <c r="B340" s="276"/>
      <c r="C340" s="55"/>
      <c r="D340" s="55"/>
      <c r="E340" s="67"/>
      <c r="F340" s="68">
        <v>4122</v>
      </c>
      <c r="G340" s="45"/>
      <c r="I340" s="390"/>
      <c r="J340" s="387"/>
      <c r="K340" s="391"/>
    </row>
    <row r="341" spans="1:11" x14ac:dyDescent="0.25">
      <c r="A341" s="43"/>
      <c r="B341" s="276"/>
      <c r="C341" s="55"/>
      <c r="D341" s="55"/>
      <c r="E341" s="67"/>
      <c r="F341" s="277"/>
      <c r="G341" s="45"/>
      <c r="I341" s="390"/>
      <c r="J341" s="387"/>
      <c r="K341" s="391"/>
    </row>
    <row r="342" spans="1:11" x14ac:dyDescent="0.25">
      <c r="A342" s="43"/>
      <c r="B342" s="31" t="s">
        <v>50</v>
      </c>
      <c r="C342" s="27">
        <f>SUM(C343:C347)</f>
        <v>1808.6522100000002</v>
      </c>
      <c r="D342" s="27">
        <f>+SUM(D343:D347)</f>
        <v>1808652.21</v>
      </c>
      <c r="E342" s="67"/>
      <c r="F342" s="277"/>
      <c r="G342" s="45"/>
      <c r="I342" s="390"/>
      <c r="J342" s="387"/>
      <c r="K342" s="391"/>
    </row>
    <row r="343" spans="1:11" x14ac:dyDescent="0.25">
      <c r="A343" s="272">
        <v>42101</v>
      </c>
      <c r="B343" s="276" t="s">
        <v>138</v>
      </c>
      <c r="C343" s="53">
        <v>131.06369000000001</v>
      </c>
      <c r="D343" s="55">
        <v>131063.69</v>
      </c>
      <c r="E343" s="268">
        <v>86005</v>
      </c>
      <c r="F343" s="68">
        <v>4123</v>
      </c>
      <c r="G343" s="45"/>
      <c r="I343" s="390"/>
      <c r="J343" s="387"/>
      <c r="K343" s="391"/>
    </row>
    <row r="344" spans="1:11" x14ac:dyDescent="0.25">
      <c r="A344" s="287">
        <v>42131</v>
      </c>
      <c r="B344" s="276" t="s">
        <v>180</v>
      </c>
      <c r="C344" s="53">
        <v>853.73328000000004</v>
      </c>
      <c r="D344" s="55">
        <v>853733.28</v>
      </c>
      <c r="E344" s="290">
        <v>86005</v>
      </c>
      <c r="F344" s="68">
        <v>4123</v>
      </c>
      <c r="G344" s="45"/>
      <c r="I344" s="390"/>
      <c r="J344" s="387"/>
      <c r="K344" s="391"/>
    </row>
    <row r="345" spans="1:11" x14ac:dyDescent="0.25">
      <c r="A345" s="287">
        <v>42178</v>
      </c>
      <c r="B345" s="276" t="s">
        <v>245</v>
      </c>
      <c r="C345" s="53">
        <v>823.85523999999998</v>
      </c>
      <c r="D345" s="55">
        <v>823855.24</v>
      </c>
      <c r="E345" s="290">
        <v>86005</v>
      </c>
      <c r="F345" s="68">
        <v>4123</v>
      </c>
      <c r="G345" s="45"/>
      <c r="I345" s="390"/>
      <c r="J345" s="387"/>
      <c r="K345" s="391"/>
    </row>
    <row r="346" spans="1:11" hidden="1" x14ac:dyDescent="0.25">
      <c r="A346" s="287"/>
      <c r="B346" s="276"/>
      <c r="C346" s="53"/>
      <c r="D346" s="55"/>
      <c r="E346" s="290"/>
      <c r="F346" s="68">
        <v>4123</v>
      </c>
      <c r="G346" s="45"/>
      <c r="I346" s="390"/>
      <c r="J346" s="387"/>
      <c r="K346" s="391"/>
    </row>
    <row r="347" spans="1:11" hidden="1" x14ac:dyDescent="0.25">
      <c r="A347" s="43"/>
      <c r="B347" s="291"/>
      <c r="C347" s="56"/>
      <c r="D347" s="56"/>
      <c r="E347" s="67"/>
      <c r="F347" s="68"/>
      <c r="G347" s="45"/>
      <c r="I347" s="390"/>
      <c r="J347" s="387"/>
      <c r="K347" s="391"/>
    </row>
    <row r="348" spans="1:11" hidden="1" x14ac:dyDescent="0.25">
      <c r="A348" s="43"/>
      <c r="B348" s="292" t="s">
        <v>51</v>
      </c>
      <c r="C348" s="31">
        <f>+C349</f>
        <v>0</v>
      </c>
      <c r="D348" s="31">
        <f>+D349</f>
        <v>0</v>
      </c>
      <c r="E348" s="67"/>
      <c r="F348" s="277"/>
      <c r="G348" s="45"/>
      <c r="I348" s="390"/>
      <c r="J348" s="387"/>
      <c r="K348" s="391"/>
    </row>
    <row r="349" spans="1:11" hidden="1" x14ac:dyDescent="0.25">
      <c r="A349" s="43"/>
      <c r="B349" s="44"/>
      <c r="C349" s="47"/>
      <c r="D349" s="47"/>
      <c r="E349" s="67"/>
      <c r="F349" s="68">
        <v>4151</v>
      </c>
      <c r="G349" s="45"/>
      <c r="I349" s="390"/>
      <c r="J349" s="387"/>
      <c r="K349" s="391"/>
    </row>
    <row r="350" spans="1:11" x14ac:dyDescent="0.25">
      <c r="A350" s="43"/>
      <c r="B350" s="44"/>
      <c r="C350" s="47"/>
      <c r="D350" s="47"/>
      <c r="E350" s="67"/>
      <c r="F350" s="68"/>
      <c r="G350" s="45"/>
      <c r="I350" s="390"/>
      <c r="J350" s="387"/>
      <c r="K350" s="391"/>
    </row>
    <row r="351" spans="1:11" x14ac:dyDescent="0.25">
      <c r="A351" s="43"/>
      <c r="B351" s="293" t="s">
        <v>52</v>
      </c>
      <c r="C351" s="31">
        <f>+SUM(C352:C355)</f>
        <v>582</v>
      </c>
      <c r="D351" s="31">
        <f>+SUM(D352:D355)</f>
        <v>2400018.1000000006</v>
      </c>
      <c r="E351" s="67"/>
      <c r="F351" s="68"/>
      <c r="G351" s="45"/>
      <c r="I351" s="390"/>
      <c r="J351" s="387"/>
      <c r="K351" s="391"/>
    </row>
    <row r="352" spans="1:11" x14ac:dyDescent="0.25">
      <c r="A352" s="43">
        <v>42075</v>
      </c>
      <c r="B352" s="276" t="s">
        <v>124</v>
      </c>
      <c r="C352" s="53">
        <v>582</v>
      </c>
      <c r="D352" s="55">
        <v>581714.24</v>
      </c>
      <c r="E352" s="67"/>
      <c r="F352" s="68">
        <v>4152</v>
      </c>
      <c r="G352" s="45"/>
      <c r="I352" s="390"/>
      <c r="J352" s="387"/>
      <c r="K352" s="391"/>
    </row>
    <row r="353" spans="1:11" x14ac:dyDescent="0.25">
      <c r="A353" s="43">
        <v>42174</v>
      </c>
      <c r="B353" s="276" t="s">
        <v>244</v>
      </c>
      <c r="C353" s="53">
        <v>0</v>
      </c>
      <c r="D353" s="55">
        <v>1794728.87</v>
      </c>
      <c r="E353" s="67"/>
      <c r="F353" s="68">
        <v>4152</v>
      </c>
      <c r="G353" s="45"/>
      <c r="I353" s="390"/>
      <c r="J353" s="387"/>
      <c r="K353" s="391"/>
    </row>
    <row r="354" spans="1:11" x14ac:dyDescent="0.25">
      <c r="A354" s="43">
        <v>42233</v>
      </c>
      <c r="B354" s="276" t="s">
        <v>402</v>
      </c>
      <c r="C354" s="53">
        <v>0</v>
      </c>
      <c r="D354" s="55">
        <v>23574.99</v>
      </c>
      <c r="E354" s="67"/>
      <c r="F354" s="68">
        <v>4152</v>
      </c>
      <c r="G354" s="45"/>
      <c r="I354" s="390"/>
      <c r="J354" s="387"/>
      <c r="K354" s="391"/>
    </row>
    <row r="355" spans="1:11" x14ac:dyDescent="0.25">
      <c r="A355" s="43"/>
      <c r="B355" s="276"/>
      <c r="C355" s="53"/>
      <c r="D355" s="55"/>
      <c r="E355" s="67"/>
      <c r="F355" s="68">
        <v>4152</v>
      </c>
      <c r="G355" s="45"/>
      <c r="I355" s="390"/>
      <c r="J355" s="387"/>
      <c r="K355" s="391"/>
    </row>
    <row r="356" spans="1:11" x14ac:dyDescent="0.25">
      <c r="A356" s="43"/>
      <c r="B356" s="276"/>
      <c r="C356" s="47"/>
      <c r="D356" s="55"/>
      <c r="E356" s="67"/>
      <c r="F356" s="68"/>
      <c r="G356" s="45"/>
      <c r="I356" s="390"/>
      <c r="J356" s="387"/>
      <c r="K356" s="391"/>
    </row>
    <row r="357" spans="1:11" x14ac:dyDescent="0.25">
      <c r="A357" s="43"/>
      <c r="B357" s="294" t="s">
        <v>53</v>
      </c>
      <c r="C357" s="27">
        <f>+C351+C348+C342+C238+C235+C220+C212+C193+C176+C171+C164+C143+C104+C67+C62+C36+C32+C18+C12+C7</f>
        <v>130222.79770000001</v>
      </c>
      <c r="D357" s="27">
        <f>+D351+D348+D342+D248+D245+D230+D222+D205+D186+D183+D175+D168+D104+D67+D62+D36+D32+D18+D12+D7</f>
        <v>261211042.90000001</v>
      </c>
      <c r="E357" s="295"/>
      <c r="F357" s="268"/>
      <c r="G357" s="45"/>
      <c r="I357" s="390"/>
      <c r="J357" s="387"/>
      <c r="K357" s="391"/>
    </row>
    <row r="358" spans="1:11" ht="16.5" thickBot="1" x14ac:dyDescent="0.3">
      <c r="A358" s="296"/>
      <c r="B358" s="297"/>
      <c r="C358" s="75"/>
      <c r="D358" s="75"/>
      <c r="E358" s="298"/>
      <c r="F358" s="299"/>
      <c r="G358" s="45"/>
      <c r="I358" s="390"/>
      <c r="J358" s="387"/>
      <c r="K358" s="391"/>
    </row>
    <row r="359" spans="1:11" x14ac:dyDescent="0.25">
      <c r="A359" s="300"/>
      <c r="B359" s="79"/>
      <c r="C359" s="79"/>
      <c r="D359" s="79"/>
      <c r="E359" s="301"/>
      <c r="F359" s="301"/>
      <c r="G359" s="45"/>
      <c r="I359" s="390"/>
      <c r="J359" s="387"/>
      <c r="K359" s="391"/>
    </row>
    <row r="360" spans="1:11" ht="16.5" thickBot="1" x14ac:dyDescent="0.3">
      <c r="A360" s="300"/>
      <c r="B360" s="79"/>
      <c r="C360" s="79"/>
      <c r="D360" s="79"/>
      <c r="E360" s="301"/>
      <c r="F360" s="301"/>
      <c r="G360" s="45"/>
      <c r="I360" s="390"/>
      <c r="J360" s="387"/>
      <c r="K360" s="391"/>
    </row>
    <row r="361" spans="1:11" x14ac:dyDescent="0.25">
      <c r="A361" s="690" t="s">
        <v>141</v>
      </c>
      <c r="B361" s="5"/>
      <c r="C361" s="5"/>
      <c r="D361" s="5"/>
      <c r="E361" s="302"/>
      <c r="F361" s="302"/>
      <c r="G361" s="45"/>
      <c r="I361" s="390"/>
      <c r="J361" s="387"/>
      <c r="K361" s="391"/>
    </row>
    <row r="362" spans="1:11" ht="16.5" thickBot="1" x14ac:dyDescent="0.3">
      <c r="A362" s="691"/>
      <c r="B362" s="10" t="s">
        <v>54</v>
      </c>
      <c r="C362" s="10" t="s">
        <v>3</v>
      </c>
      <c r="D362" s="10" t="s">
        <v>4</v>
      </c>
      <c r="E362" s="303" t="s">
        <v>5</v>
      </c>
      <c r="F362" s="303" t="s">
        <v>6</v>
      </c>
      <c r="G362" s="45"/>
      <c r="I362" s="390"/>
      <c r="J362" s="387"/>
      <c r="K362" s="391"/>
    </row>
    <row r="363" spans="1:11" x14ac:dyDescent="0.25">
      <c r="A363" s="43"/>
      <c r="B363" s="273" t="s">
        <v>14</v>
      </c>
      <c r="C363" s="40">
        <f>+SUM(C364:C395)</f>
        <v>1203.8456900000001</v>
      </c>
      <c r="D363" s="40">
        <f>+SUM(D364:D396)</f>
        <v>1636925.7200000002</v>
      </c>
      <c r="E363" s="68"/>
      <c r="F363" s="68"/>
      <c r="G363" s="45"/>
      <c r="I363" s="390"/>
      <c r="J363" s="387"/>
      <c r="K363" s="391"/>
    </row>
    <row r="364" spans="1:11" x14ac:dyDescent="0.25">
      <c r="A364" s="43">
        <v>42069</v>
      </c>
      <c r="B364" s="44" t="s">
        <v>114</v>
      </c>
      <c r="C364" s="53">
        <v>141.55572000000001</v>
      </c>
      <c r="D364" s="21">
        <v>141555.72</v>
      </c>
      <c r="E364" s="68">
        <v>90877</v>
      </c>
      <c r="F364" s="68">
        <v>4213</v>
      </c>
      <c r="G364" s="45"/>
      <c r="I364" s="390"/>
      <c r="J364" s="387"/>
      <c r="K364" s="391"/>
    </row>
    <row r="365" spans="1:11" x14ac:dyDescent="0.25">
      <c r="A365" s="43">
        <v>42114</v>
      </c>
      <c r="B365" s="44" t="s">
        <v>156</v>
      </c>
      <c r="C365" s="53">
        <v>47.117789999999999</v>
      </c>
      <c r="D365" s="21">
        <v>47117.79</v>
      </c>
      <c r="E365" s="68">
        <v>90877</v>
      </c>
      <c r="F365" s="68">
        <v>4213</v>
      </c>
      <c r="G365" s="45"/>
      <c r="I365" s="390"/>
      <c r="J365" s="387"/>
      <c r="K365" s="391"/>
    </row>
    <row r="366" spans="1:11" x14ac:dyDescent="0.25">
      <c r="A366" s="43">
        <v>42142</v>
      </c>
      <c r="B366" s="44" t="s">
        <v>169</v>
      </c>
      <c r="C366" s="53">
        <v>21.145890000000001</v>
      </c>
      <c r="D366" s="21">
        <v>21145.89</v>
      </c>
      <c r="E366" s="68">
        <v>90877</v>
      </c>
      <c r="F366" s="68">
        <v>4213</v>
      </c>
      <c r="G366" s="45"/>
      <c r="I366" s="390"/>
      <c r="J366" s="387"/>
      <c r="K366" s="391"/>
    </row>
    <row r="367" spans="1:11" x14ac:dyDescent="0.25">
      <c r="A367" s="43">
        <v>42150</v>
      </c>
      <c r="B367" s="44" t="s">
        <v>218</v>
      </c>
      <c r="C367" s="53">
        <v>32.193080000000002</v>
      </c>
      <c r="D367" s="21">
        <v>32193.08</v>
      </c>
      <c r="E367" s="68">
        <v>90877</v>
      </c>
      <c r="F367" s="68">
        <v>4213</v>
      </c>
      <c r="G367" s="45"/>
      <c r="I367" s="390"/>
      <c r="J367" s="387"/>
      <c r="K367" s="391"/>
    </row>
    <row r="368" spans="1:11" x14ac:dyDescent="0.25">
      <c r="A368" s="43">
        <v>42150</v>
      </c>
      <c r="B368" s="44" t="s">
        <v>219</v>
      </c>
      <c r="C368" s="53">
        <v>21.296060000000001</v>
      </c>
      <c r="D368" s="21">
        <v>21296.06</v>
      </c>
      <c r="E368" s="68">
        <v>90877</v>
      </c>
      <c r="F368" s="68">
        <v>4213</v>
      </c>
      <c r="G368" s="45"/>
      <c r="I368" s="390"/>
      <c r="J368" s="387"/>
      <c r="K368" s="391"/>
    </row>
    <row r="369" spans="1:11" x14ac:dyDescent="0.25">
      <c r="A369" s="43">
        <v>42167</v>
      </c>
      <c r="B369" s="44" t="s">
        <v>232</v>
      </c>
      <c r="C369" s="53">
        <v>28.64677</v>
      </c>
      <c r="D369" s="21">
        <v>28646.77</v>
      </c>
      <c r="E369" s="68">
        <v>90877</v>
      </c>
      <c r="F369" s="68">
        <v>4213</v>
      </c>
      <c r="G369" s="45"/>
      <c r="I369" s="390"/>
      <c r="J369" s="387"/>
      <c r="K369" s="391"/>
    </row>
    <row r="370" spans="1:11" x14ac:dyDescent="0.25">
      <c r="A370" s="43">
        <v>42199</v>
      </c>
      <c r="B370" s="44" t="s">
        <v>280</v>
      </c>
      <c r="C370" s="53">
        <v>120.05096</v>
      </c>
      <c r="D370" s="21">
        <v>120050.96</v>
      </c>
      <c r="E370" s="68">
        <v>90877</v>
      </c>
      <c r="F370" s="68">
        <v>4213</v>
      </c>
      <c r="G370" s="45"/>
      <c r="I370" s="390"/>
      <c r="J370" s="387"/>
      <c r="K370" s="391"/>
    </row>
    <row r="371" spans="1:11" x14ac:dyDescent="0.25">
      <c r="A371" s="43">
        <v>42195</v>
      </c>
      <c r="B371" s="44" t="s">
        <v>294</v>
      </c>
      <c r="C371" s="53">
        <v>20.106369999999998</v>
      </c>
      <c r="D371" s="21">
        <v>20106.37</v>
      </c>
      <c r="E371" s="68">
        <v>90877</v>
      </c>
      <c r="F371" s="68">
        <v>4213</v>
      </c>
      <c r="G371" s="45"/>
      <c r="I371" s="390"/>
      <c r="J371" s="387"/>
      <c r="K371" s="391"/>
    </row>
    <row r="372" spans="1:11" x14ac:dyDescent="0.25">
      <c r="A372" s="43">
        <v>42205</v>
      </c>
      <c r="B372" s="44" t="s">
        <v>303</v>
      </c>
      <c r="C372" s="53">
        <v>19.5185</v>
      </c>
      <c r="D372" s="21">
        <v>19518.5</v>
      </c>
      <c r="E372" s="68">
        <v>90877</v>
      </c>
      <c r="F372" s="68">
        <v>4213</v>
      </c>
      <c r="G372" s="373">
        <v>72.443290000000005</v>
      </c>
      <c r="I372" s="390"/>
      <c r="J372" s="387"/>
      <c r="K372" s="391"/>
    </row>
    <row r="373" spans="1:11" x14ac:dyDescent="0.25">
      <c r="A373" s="43">
        <v>42209</v>
      </c>
      <c r="B373" s="44" t="s">
        <v>330</v>
      </c>
      <c r="C373" s="53">
        <v>20.354620000000001</v>
      </c>
      <c r="D373" s="21">
        <v>20354.62</v>
      </c>
      <c r="E373" s="68">
        <v>90877</v>
      </c>
      <c r="F373" s="68">
        <v>4213</v>
      </c>
      <c r="G373" s="373">
        <v>214.12066999999999</v>
      </c>
      <c r="I373" s="390"/>
      <c r="J373" s="387"/>
      <c r="K373" s="391"/>
    </row>
    <row r="374" spans="1:11" x14ac:dyDescent="0.25">
      <c r="A374" s="43">
        <v>42220</v>
      </c>
      <c r="B374" s="44" t="s">
        <v>343</v>
      </c>
      <c r="C374" s="53"/>
      <c r="D374" s="21">
        <v>72443.289999999994</v>
      </c>
      <c r="E374" s="68">
        <v>90877</v>
      </c>
      <c r="F374" s="68">
        <v>4213</v>
      </c>
      <c r="G374" s="373">
        <v>7.7073600000000004</v>
      </c>
      <c r="I374" s="390"/>
      <c r="J374" s="387"/>
      <c r="K374" s="391"/>
    </row>
    <row r="375" spans="1:11" x14ac:dyDescent="0.25">
      <c r="A375" s="43">
        <v>42222</v>
      </c>
      <c r="B375" s="44" t="s">
        <v>368</v>
      </c>
      <c r="C375" s="53"/>
      <c r="D375" s="21">
        <v>214120.67</v>
      </c>
      <c r="E375" s="68">
        <v>90877</v>
      </c>
      <c r="F375" s="68">
        <v>4213</v>
      </c>
      <c r="G375" s="160"/>
      <c r="I375" s="390"/>
      <c r="J375" s="387"/>
      <c r="K375" s="391"/>
    </row>
    <row r="376" spans="1:11" x14ac:dyDescent="0.25">
      <c r="A376" s="43">
        <v>42226</v>
      </c>
      <c r="B376" s="44" t="s">
        <v>218</v>
      </c>
      <c r="C376" s="53"/>
      <c r="D376" s="21">
        <v>7707.36</v>
      </c>
      <c r="E376" s="68">
        <v>90877</v>
      </c>
      <c r="F376" s="68">
        <v>4213</v>
      </c>
      <c r="G376" s="160">
        <f>+SUM(D364:D376)</f>
        <v>766257.08000000007</v>
      </c>
      <c r="I376" s="390"/>
      <c r="J376" s="387"/>
      <c r="K376" s="391"/>
    </row>
    <row r="377" spans="1:11" hidden="1" x14ac:dyDescent="0.25">
      <c r="A377" s="43"/>
      <c r="B377" s="44"/>
      <c r="C377" s="53"/>
      <c r="D377" s="21"/>
      <c r="E377" s="68"/>
      <c r="F377" s="68">
        <v>4213</v>
      </c>
      <c r="G377" s="45">
        <f>905065.79-G376</f>
        <v>138808.70999999996</v>
      </c>
      <c r="I377" s="390"/>
      <c r="J377" s="387"/>
      <c r="K377" s="391"/>
    </row>
    <row r="378" spans="1:11" hidden="1" x14ac:dyDescent="0.25">
      <c r="A378" s="43"/>
      <c r="B378" s="44"/>
      <c r="C378" s="53"/>
      <c r="D378" s="21"/>
      <c r="E378" s="68"/>
      <c r="F378" s="68">
        <v>4213</v>
      </c>
      <c r="G378" s="45">
        <f>+G377-D396</f>
        <v>61072.649999999965</v>
      </c>
      <c r="I378" s="390"/>
      <c r="J378" s="387"/>
      <c r="K378" s="391"/>
    </row>
    <row r="379" spans="1:11" hidden="1" x14ac:dyDescent="0.25">
      <c r="A379" s="43"/>
      <c r="B379" s="44"/>
      <c r="C379" s="53"/>
      <c r="D379" s="21"/>
      <c r="E379" s="68"/>
      <c r="F379" s="68">
        <v>4213</v>
      </c>
      <c r="G379" s="45">
        <f>+G378-H391</f>
        <v>302.49999999996362</v>
      </c>
      <c r="I379" s="390"/>
      <c r="J379" s="387"/>
      <c r="K379" s="391"/>
    </row>
    <row r="380" spans="1:11" hidden="1" x14ac:dyDescent="0.25">
      <c r="A380" s="43"/>
      <c r="B380" s="44"/>
      <c r="C380" s="53"/>
      <c r="D380" s="21"/>
      <c r="E380" s="68"/>
      <c r="F380" s="68">
        <v>4213</v>
      </c>
      <c r="G380" s="45"/>
      <c r="I380" s="390"/>
      <c r="J380" s="387"/>
      <c r="K380" s="391"/>
    </row>
    <row r="381" spans="1:11" hidden="1" x14ac:dyDescent="0.25">
      <c r="A381" s="43"/>
      <c r="B381" s="44"/>
      <c r="C381" s="53"/>
      <c r="D381" s="21"/>
      <c r="E381" s="68"/>
      <c r="F381" s="68">
        <v>4213</v>
      </c>
      <c r="G381" s="45"/>
      <c r="I381" s="390"/>
      <c r="J381" s="387"/>
      <c r="K381" s="391"/>
    </row>
    <row r="382" spans="1:11" hidden="1" x14ac:dyDescent="0.25">
      <c r="A382" s="43"/>
      <c r="B382" s="44"/>
      <c r="C382" s="21"/>
      <c r="D382" s="21"/>
      <c r="E382" s="68"/>
      <c r="F382" s="68">
        <v>4213</v>
      </c>
      <c r="G382" s="45"/>
      <c r="I382" s="390"/>
      <c r="J382" s="387"/>
      <c r="K382" s="391"/>
    </row>
    <row r="383" spans="1:11" hidden="1" x14ac:dyDescent="0.25">
      <c r="A383" s="43"/>
      <c r="B383" s="276"/>
      <c r="C383" s="21"/>
      <c r="D383" s="21"/>
      <c r="E383" s="68"/>
      <c r="F383" s="68">
        <v>4213</v>
      </c>
      <c r="G383" s="45"/>
      <c r="I383" s="390"/>
      <c r="J383" s="387"/>
      <c r="K383" s="391"/>
    </row>
    <row r="384" spans="1:11" hidden="1" x14ac:dyDescent="0.25">
      <c r="A384" s="43"/>
      <c r="B384" s="44"/>
      <c r="C384" s="21"/>
      <c r="D384" s="21"/>
      <c r="E384" s="68"/>
      <c r="F384" s="68">
        <v>4213</v>
      </c>
      <c r="G384" s="45"/>
      <c r="I384" s="390"/>
      <c r="J384" s="387"/>
      <c r="K384" s="391"/>
    </row>
    <row r="385" spans="1:11" hidden="1" x14ac:dyDescent="0.25">
      <c r="A385" s="43"/>
      <c r="B385" s="44"/>
      <c r="C385" s="21"/>
      <c r="D385" s="21"/>
      <c r="E385" s="68"/>
      <c r="F385" s="68">
        <v>4213</v>
      </c>
      <c r="G385" s="45"/>
      <c r="I385" s="390"/>
      <c r="J385" s="387"/>
      <c r="K385" s="391"/>
    </row>
    <row r="386" spans="1:11" hidden="1" x14ac:dyDescent="0.25">
      <c r="A386" s="43"/>
      <c r="B386" s="44"/>
      <c r="C386" s="21"/>
      <c r="D386" s="21"/>
      <c r="E386" s="68"/>
      <c r="F386" s="68">
        <v>4213</v>
      </c>
      <c r="G386" s="45"/>
      <c r="I386" s="390"/>
      <c r="J386" s="387"/>
      <c r="K386" s="391"/>
    </row>
    <row r="387" spans="1:11" x14ac:dyDescent="0.25">
      <c r="A387" s="43"/>
      <c r="B387" s="44" t="s">
        <v>380</v>
      </c>
      <c r="C387" s="347">
        <v>105.33132000000001</v>
      </c>
      <c r="D387" s="347">
        <v>105331.32</v>
      </c>
      <c r="E387" s="68">
        <v>90877</v>
      </c>
      <c r="F387" s="68">
        <v>4213</v>
      </c>
      <c r="G387" s="384" t="s">
        <v>64</v>
      </c>
      <c r="I387" s="390">
        <v>105331.32</v>
      </c>
      <c r="J387" s="389"/>
      <c r="K387" s="391"/>
    </row>
    <row r="388" spans="1:11" x14ac:dyDescent="0.25">
      <c r="A388" s="43"/>
      <c r="B388" s="44" t="s">
        <v>121</v>
      </c>
      <c r="C388" s="347">
        <v>0.97499999999999998</v>
      </c>
      <c r="D388" s="347">
        <v>975</v>
      </c>
      <c r="E388" s="68">
        <v>90877</v>
      </c>
      <c r="F388" s="68">
        <v>4213</v>
      </c>
      <c r="G388" s="45"/>
      <c r="I388" s="390"/>
      <c r="J388" s="389">
        <v>975</v>
      </c>
      <c r="K388" s="391"/>
    </row>
    <row r="389" spans="1:11" x14ac:dyDescent="0.25">
      <c r="A389" s="43"/>
      <c r="B389" s="44" t="s">
        <v>301</v>
      </c>
      <c r="C389" s="347">
        <v>1.42302</v>
      </c>
      <c r="D389" s="347">
        <v>1423.02</v>
      </c>
      <c r="E389" s="68">
        <v>90877</v>
      </c>
      <c r="F389" s="68">
        <v>4213</v>
      </c>
      <c r="G389" s="45"/>
      <c r="I389" s="404"/>
      <c r="J389" s="389">
        <v>1423.02</v>
      </c>
      <c r="K389" s="391"/>
    </row>
    <row r="390" spans="1:11" x14ac:dyDescent="0.25">
      <c r="A390" s="43"/>
      <c r="B390" s="44" t="s">
        <v>110</v>
      </c>
      <c r="C390" s="347">
        <v>392.03399999999999</v>
      </c>
      <c r="D390" s="347">
        <v>392034</v>
      </c>
      <c r="E390" s="68">
        <v>90909</v>
      </c>
      <c r="F390" s="68">
        <v>4213</v>
      </c>
      <c r="G390" s="45"/>
      <c r="I390" s="404">
        <v>392034</v>
      </c>
      <c r="J390" s="387"/>
      <c r="K390" s="391"/>
    </row>
    <row r="391" spans="1:11" x14ac:dyDescent="0.25">
      <c r="A391" s="43"/>
      <c r="B391" s="44" t="s">
        <v>283</v>
      </c>
      <c r="C391" s="347">
        <v>217.08201</v>
      </c>
      <c r="D391" s="347">
        <f>217082.01+60770.15</f>
        <v>277852.16000000003</v>
      </c>
      <c r="E391" s="68">
        <v>90877</v>
      </c>
      <c r="F391" s="68">
        <v>4213</v>
      </c>
      <c r="G391" s="384" t="s">
        <v>399</v>
      </c>
      <c r="H391" s="384">
        <v>60770.15</v>
      </c>
      <c r="I391" s="390"/>
      <c r="J391" s="389">
        <v>217082.01</v>
      </c>
      <c r="K391" s="391">
        <v>60770.15</v>
      </c>
    </row>
    <row r="392" spans="1:11" x14ac:dyDescent="0.25">
      <c r="A392" s="43"/>
      <c r="B392" s="44" t="s">
        <v>397</v>
      </c>
      <c r="C392" s="347">
        <v>0</v>
      </c>
      <c r="D392" s="21">
        <v>302.5</v>
      </c>
      <c r="E392" s="68">
        <v>90877</v>
      </c>
      <c r="F392" s="68">
        <v>4213</v>
      </c>
      <c r="G392" s="384" t="s">
        <v>399</v>
      </c>
      <c r="H392" s="160">
        <v>302.5</v>
      </c>
      <c r="I392" s="390"/>
      <c r="K392" s="391">
        <v>302.5</v>
      </c>
    </row>
    <row r="393" spans="1:11" x14ac:dyDescent="0.25">
      <c r="A393" s="43"/>
      <c r="B393" s="44" t="s">
        <v>360</v>
      </c>
      <c r="C393" s="347">
        <v>9.3895999999999997</v>
      </c>
      <c r="D393" s="347">
        <v>9389.6</v>
      </c>
      <c r="E393" s="68">
        <v>90877</v>
      </c>
      <c r="F393" s="68">
        <v>4213</v>
      </c>
      <c r="G393" s="45"/>
      <c r="H393" s="160"/>
      <c r="I393" s="390"/>
      <c r="J393" s="402">
        <v>9389.6</v>
      </c>
      <c r="K393" s="391"/>
    </row>
    <row r="394" spans="1:11" x14ac:dyDescent="0.25">
      <c r="A394" s="43"/>
      <c r="B394" s="44" t="s">
        <v>228</v>
      </c>
      <c r="C394" s="347">
        <v>2.125</v>
      </c>
      <c r="D394" s="347">
        <v>2125</v>
      </c>
      <c r="E394" s="68">
        <v>90877</v>
      </c>
      <c r="F394" s="68">
        <v>4213</v>
      </c>
      <c r="G394" s="45"/>
      <c r="H394" s="160"/>
      <c r="I394" s="390"/>
      <c r="J394" s="389">
        <v>2125</v>
      </c>
      <c r="K394" s="391"/>
    </row>
    <row r="395" spans="1:11" x14ac:dyDescent="0.25">
      <c r="A395" s="43"/>
      <c r="B395" s="44" t="s">
        <v>230</v>
      </c>
      <c r="C395" s="347">
        <v>3.4999799999999999</v>
      </c>
      <c r="D395" s="347">
        <v>3499.98</v>
      </c>
      <c r="E395" s="68">
        <v>90877</v>
      </c>
      <c r="F395" s="68">
        <v>4213</v>
      </c>
      <c r="G395" s="45"/>
      <c r="H395" s="160"/>
      <c r="I395" s="390"/>
      <c r="J395" s="389">
        <v>3499.98</v>
      </c>
      <c r="K395" s="391"/>
    </row>
    <row r="396" spans="1:11" x14ac:dyDescent="0.25">
      <c r="A396" s="43"/>
      <c r="B396" s="44" t="s">
        <v>396</v>
      </c>
      <c r="C396" s="347">
        <v>0</v>
      </c>
      <c r="D396" s="21">
        <v>77736.06</v>
      </c>
      <c r="E396" s="68">
        <v>90877</v>
      </c>
      <c r="F396" s="68">
        <v>4213</v>
      </c>
      <c r="G396" s="384" t="s">
        <v>399</v>
      </c>
      <c r="H396" s="160">
        <v>77736.06</v>
      </c>
      <c r="I396" s="390"/>
      <c r="J396" s="387"/>
      <c r="K396" s="391">
        <v>77736.06</v>
      </c>
    </row>
    <row r="397" spans="1:11" x14ac:dyDescent="0.25">
      <c r="A397" s="43"/>
      <c r="B397" s="44"/>
      <c r="C397" s="21"/>
      <c r="D397" s="21"/>
      <c r="E397" s="68"/>
      <c r="F397" s="68"/>
      <c r="G397" s="45"/>
      <c r="I397" s="390"/>
      <c r="J397" s="387"/>
      <c r="K397" s="391"/>
    </row>
    <row r="398" spans="1:11" x14ac:dyDescent="0.25">
      <c r="A398" s="43"/>
      <c r="B398" s="285" t="s">
        <v>33</v>
      </c>
      <c r="C398" s="40">
        <v>0</v>
      </c>
      <c r="D398" s="40">
        <f>+D399</f>
        <v>100000</v>
      </c>
      <c r="E398" s="68"/>
      <c r="F398" s="68"/>
      <c r="G398" s="45"/>
      <c r="I398" s="390"/>
      <c r="J398" s="387"/>
      <c r="K398" s="391"/>
    </row>
    <row r="399" spans="1:11" x14ac:dyDescent="0.25">
      <c r="A399" s="43">
        <v>42244</v>
      </c>
      <c r="B399" s="44" t="s">
        <v>322</v>
      </c>
      <c r="C399" s="21">
        <v>0</v>
      </c>
      <c r="D399" s="21">
        <v>100000</v>
      </c>
      <c r="E399" s="68">
        <v>34941</v>
      </c>
      <c r="F399" s="68">
        <v>4216</v>
      </c>
      <c r="G399" s="45"/>
      <c r="I399" s="390"/>
      <c r="J399" s="387"/>
      <c r="K399" s="391"/>
    </row>
    <row r="400" spans="1:11" x14ac:dyDescent="0.25">
      <c r="A400" s="43"/>
      <c r="B400" s="44"/>
      <c r="C400" s="21"/>
      <c r="D400" s="40"/>
      <c r="E400" s="68"/>
      <c r="F400" s="68"/>
      <c r="G400" s="45"/>
      <c r="I400" s="390"/>
      <c r="J400" s="387"/>
      <c r="K400" s="391"/>
    </row>
    <row r="401" spans="1:11" x14ac:dyDescent="0.25">
      <c r="A401" s="43"/>
      <c r="B401" s="273" t="s">
        <v>45</v>
      </c>
      <c r="C401" s="40">
        <f>+SUM(C402:C436)</f>
        <v>11394.35261</v>
      </c>
      <c r="D401" s="40">
        <f>+SUM(D402:D436)</f>
        <v>18756713.620000001</v>
      </c>
      <c r="E401" s="68"/>
      <c r="F401" s="68"/>
      <c r="G401" s="45"/>
      <c r="I401" s="390"/>
      <c r="J401" s="387"/>
      <c r="K401" s="391"/>
    </row>
    <row r="402" spans="1:11" x14ac:dyDescent="0.25">
      <c r="A402" s="43">
        <v>42114</v>
      </c>
      <c r="B402" s="44" t="s">
        <v>156</v>
      </c>
      <c r="C402" s="53">
        <v>801.00243</v>
      </c>
      <c r="D402" s="21">
        <v>801002.43</v>
      </c>
      <c r="E402" s="68">
        <v>15827</v>
      </c>
      <c r="F402" s="68">
        <v>4216</v>
      </c>
      <c r="G402" s="45"/>
      <c r="I402" s="390"/>
      <c r="J402" s="387"/>
      <c r="K402" s="391"/>
    </row>
    <row r="403" spans="1:11" x14ac:dyDescent="0.25">
      <c r="A403" s="43">
        <v>42139</v>
      </c>
      <c r="B403" s="44" t="s">
        <v>169</v>
      </c>
      <c r="C403" s="53">
        <v>359.48018999999999</v>
      </c>
      <c r="D403" s="21">
        <v>359480.19</v>
      </c>
      <c r="E403" s="68">
        <v>15835</v>
      </c>
      <c r="F403" s="68">
        <v>4216</v>
      </c>
      <c r="G403" s="45"/>
      <c r="I403" s="390"/>
      <c r="J403" s="387"/>
      <c r="K403" s="391"/>
    </row>
    <row r="404" spans="1:11" x14ac:dyDescent="0.25">
      <c r="A404" s="43">
        <v>42150</v>
      </c>
      <c r="B404" s="44" t="s">
        <v>218</v>
      </c>
      <c r="C404" s="53">
        <v>547.28240000000005</v>
      </c>
      <c r="D404" s="21">
        <v>547282.4</v>
      </c>
      <c r="E404" s="68">
        <v>15835</v>
      </c>
      <c r="F404" s="68">
        <v>4216</v>
      </c>
      <c r="G404" s="45"/>
      <c r="I404" s="390"/>
      <c r="J404" s="387"/>
      <c r="K404" s="391"/>
    </row>
    <row r="405" spans="1:11" x14ac:dyDescent="0.25">
      <c r="A405" s="43">
        <v>42150</v>
      </c>
      <c r="B405" s="44" t="s">
        <v>219</v>
      </c>
      <c r="C405" s="53">
        <v>362.03313000000003</v>
      </c>
      <c r="D405" s="21">
        <v>362033.13</v>
      </c>
      <c r="E405" s="68">
        <v>15835</v>
      </c>
      <c r="F405" s="68">
        <v>4216</v>
      </c>
      <c r="G405" s="45"/>
      <c r="I405" s="390"/>
      <c r="J405" s="387"/>
      <c r="K405" s="391"/>
    </row>
    <row r="406" spans="1:11" x14ac:dyDescent="0.25">
      <c r="A406" s="43">
        <v>42167</v>
      </c>
      <c r="B406" s="44" t="s">
        <v>232</v>
      </c>
      <c r="C406" s="53">
        <v>486.99520000000001</v>
      </c>
      <c r="D406" s="21">
        <v>486995.20000000001</v>
      </c>
      <c r="E406" s="68">
        <v>15835</v>
      </c>
      <c r="F406" s="68">
        <v>4216</v>
      </c>
      <c r="G406" s="45"/>
      <c r="I406" s="390"/>
      <c r="J406" s="387"/>
      <c r="K406" s="391"/>
    </row>
    <row r="407" spans="1:11" x14ac:dyDescent="0.25">
      <c r="A407" s="43">
        <v>42198</v>
      </c>
      <c r="B407" s="44" t="s">
        <v>280</v>
      </c>
      <c r="C407" s="53">
        <v>2040.8663899999999</v>
      </c>
      <c r="D407" s="21">
        <v>2040866.39</v>
      </c>
      <c r="E407" s="68">
        <v>15835</v>
      </c>
      <c r="F407" s="68">
        <v>4216</v>
      </c>
      <c r="G407" s="45"/>
      <c r="I407" s="390"/>
      <c r="J407" s="387"/>
      <c r="K407" s="391"/>
    </row>
    <row r="408" spans="1:11" x14ac:dyDescent="0.25">
      <c r="A408" s="43">
        <v>42194</v>
      </c>
      <c r="B408" s="44" t="s">
        <v>294</v>
      </c>
      <c r="C408" s="53">
        <v>341.80831999999998</v>
      </c>
      <c r="D408" s="21">
        <v>341808.32</v>
      </c>
      <c r="E408" s="68">
        <v>15835</v>
      </c>
      <c r="F408" s="68">
        <v>4216</v>
      </c>
      <c r="G408" s="45"/>
      <c r="I408" s="390"/>
      <c r="J408" s="387"/>
      <c r="K408" s="391"/>
    </row>
    <row r="409" spans="1:11" x14ac:dyDescent="0.25">
      <c r="A409" s="43">
        <v>42205</v>
      </c>
      <c r="B409" s="44" t="s">
        <v>303</v>
      </c>
      <c r="C409" s="53">
        <v>331.81452999999999</v>
      </c>
      <c r="D409" s="21">
        <v>331814.53000000003</v>
      </c>
      <c r="E409" s="68">
        <v>15835</v>
      </c>
      <c r="F409" s="68">
        <v>4216</v>
      </c>
      <c r="G409" s="45"/>
      <c r="I409" s="390"/>
      <c r="J409" s="387"/>
      <c r="K409" s="391"/>
    </row>
    <row r="410" spans="1:11" x14ac:dyDescent="0.25">
      <c r="A410" s="43">
        <v>42209</v>
      </c>
      <c r="B410" s="44" t="s">
        <v>329</v>
      </c>
      <c r="C410" s="53">
        <v>346.02866999999998</v>
      </c>
      <c r="D410" s="21">
        <v>346028.67</v>
      </c>
      <c r="E410" s="68">
        <v>15835</v>
      </c>
      <c r="F410" s="68">
        <v>4216</v>
      </c>
      <c r="G410" s="45"/>
      <c r="I410" s="390"/>
      <c r="J410" s="387"/>
      <c r="K410" s="391"/>
    </row>
    <row r="411" spans="1:11" x14ac:dyDescent="0.25">
      <c r="A411" s="43">
        <v>42220</v>
      </c>
      <c r="B411" s="44" t="s">
        <v>343</v>
      </c>
      <c r="C411" s="53"/>
      <c r="D411" s="21">
        <v>1231535.95</v>
      </c>
      <c r="E411" s="68">
        <v>15835</v>
      </c>
      <c r="F411" s="68">
        <v>4216</v>
      </c>
      <c r="G411" s="373">
        <v>1231.53595</v>
      </c>
      <c r="I411" s="390"/>
      <c r="J411" s="387"/>
      <c r="K411" s="391"/>
    </row>
    <row r="412" spans="1:11" x14ac:dyDescent="0.25">
      <c r="A412" s="43">
        <v>42222</v>
      </c>
      <c r="B412" s="44" t="s">
        <v>368</v>
      </c>
      <c r="C412" s="53"/>
      <c r="D412" s="21">
        <v>3640051.55</v>
      </c>
      <c r="E412" s="68">
        <v>15835</v>
      </c>
      <c r="F412" s="68">
        <v>4216</v>
      </c>
      <c r="G412" s="373">
        <v>3640.0515500000001</v>
      </c>
      <c r="I412" s="390"/>
      <c r="J412" s="387"/>
      <c r="K412" s="391"/>
    </row>
    <row r="413" spans="1:11" x14ac:dyDescent="0.25">
      <c r="A413" s="43">
        <v>42223</v>
      </c>
      <c r="B413" s="44" t="s">
        <v>218</v>
      </c>
      <c r="C413" s="53"/>
      <c r="D413" s="21">
        <v>131025.23</v>
      </c>
      <c r="E413" s="68">
        <v>15835</v>
      </c>
      <c r="F413" s="68">
        <v>4216</v>
      </c>
      <c r="G413" s="373">
        <v>131.02522999999999</v>
      </c>
      <c r="I413" s="390"/>
      <c r="J413" s="387"/>
      <c r="K413" s="391"/>
    </row>
    <row r="414" spans="1:11" hidden="1" x14ac:dyDescent="0.25">
      <c r="A414" s="43"/>
      <c r="B414" s="44"/>
      <c r="C414" s="53"/>
      <c r="D414" s="21"/>
      <c r="E414" s="68"/>
      <c r="F414" s="68">
        <v>4216</v>
      </c>
      <c r="G414" s="45"/>
      <c r="I414" s="390"/>
      <c r="J414" s="387"/>
      <c r="K414" s="391"/>
    </row>
    <row r="415" spans="1:11" hidden="1" x14ac:dyDescent="0.25">
      <c r="A415" s="43"/>
      <c r="B415" s="44"/>
      <c r="C415" s="53"/>
      <c r="D415" s="21"/>
      <c r="E415" s="68"/>
      <c r="F415" s="68">
        <v>4216</v>
      </c>
      <c r="G415" s="45"/>
      <c r="I415" s="390"/>
      <c r="J415" s="387"/>
      <c r="K415" s="391"/>
    </row>
    <row r="416" spans="1:11" hidden="1" x14ac:dyDescent="0.25">
      <c r="A416" s="43"/>
      <c r="B416" s="44"/>
      <c r="C416" s="53"/>
      <c r="D416" s="21"/>
      <c r="E416" s="68"/>
      <c r="F416" s="68">
        <v>4216</v>
      </c>
      <c r="G416" s="45"/>
      <c r="I416" s="390"/>
      <c r="J416" s="387"/>
      <c r="K416" s="391"/>
    </row>
    <row r="417" spans="1:11" hidden="1" x14ac:dyDescent="0.25">
      <c r="A417" s="43"/>
      <c r="B417" s="44"/>
      <c r="C417" s="53"/>
      <c r="D417" s="21"/>
      <c r="E417" s="68"/>
      <c r="F417" s="68">
        <v>4216</v>
      </c>
      <c r="G417" s="45"/>
      <c r="I417" s="390"/>
      <c r="J417" s="387"/>
      <c r="K417" s="391"/>
    </row>
    <row r="418" spans="1:11" hidden="1" x14ac:dyDescent="0.25">
      <c r="A418" s="43"/>
      <c r="B418" s="44"/>
      <c r="C418" s="53"/>
      <c r="D418" s="21"/>
      <c r="E418" s="68"/>
      <c r="F418" s="68">
        <v>4216</v>
      </c>
      <c r="G418" s="45"/>
      <c r="I418" s="390"/>
      <c r="J418" s="387"/>
      <c r="K418" s="391"/>
    </row>
    <row r="419" spans="1:11" hidden="1" x14ac:dyDescent="0.25">
      <c r="A419" s="43"/>
      <c r="B419" s="44"/>
      <c r="C419" s="53"/>
      <c r="D419" s="21"/>
      <c r="E419" s="68"/>
      <c r="F419" s="68">
        <v>4216</v>
      </c>
      <c r="G419" s="45"/>
      <c r="I419" s="390"/>
      <c r="J419" s="387"/>
      <c r="K419" s="391"/>
    </row>
    <row r="420" spans="1:11" hidden="1" x14ac:dyDescent="0.25">
      <c r="A420" s="43"/>
      <c r="B420" s="44"/>
      <c r="C420" s="53"/>
      <c r="D420" s="21"/>
      <c r="E420" s="68"/>
      <c r="F420" s="68">
        <v>4216</v>
      </c>
      <c r="G420" s="45"/>
      <c r="I420" s="390"/>
      <c r="J420" s="387"/>
      <c r="K420" s="391"/>
    </row>
    <row r="421" spans="1:11" x14ac:dyDescent="0.25">
      <c r="A421" s="43"/>
      <c r="B421" s="44" t="s">
        <v>380</v>
      </c>
      <c r="C421" s="347">
        <v>1790.63256</v>
      </c>
      <c r="D421" s="347">
        <v>1790632.56</v>
      </c>
      <c r="E421" s="68">
        <v>15835</v>
      </c>
      <c r="F421" s="68">
        <v>4216</v>
      </c>
      <c r="G421" s="384" t="s">
        <v>64</v>
      </c>
      <c r="I421" s="390">
        <v>1790632.56</v>
      </c>
      <c r="J421" s="387"/>
      <c r="K421" s="391"/>
    </row>
    <row r="422" spans="1:11" x14ac:dyDescent="0.25">
      <c r="A422" s="43"/>
      <c r="B422" s="44" t="s">
        <v>121</v>
      </c>
      <c r="C422" s="347">
        <v>16.574999999999999</v>
      </c>
      <c r="D422" s="347">
        <v>16575</v>
      </c>
      <c r="E422" s="68">
        <v>15835</v>
      </c>
      <c r="F422" s="68">
        <v>4216</v>
      </c>
      <c r="G422" s="45"/>
      <c r="I422" s="390"/>
      <c r="J422" s="402">
        <v>16575</v>
      </c>
      <c r="K422" s="391"/>
    </row>
    <row r="423" spans="1:11" x14ac:dyDescent="0.25">
      <c r="A423" s="43"/>
      <c r="B423" s="44" t="s">
        <v>301</v>
      </c>
      <c r="C423" s="347">
        <v>24.19134</v>
      </c>
      <c r="D423" s="347">
        <v>24191.34</v>
      </c>
      <c r="E423" s="68">
        <v>15835</v>
      </c>
      <c r="F423" s="68">
        <v>4216</v>
      </c>
      <c r="G423" s="45"/>
      <c r="I423" s="390"/>
      <c r="J423" s="402">
        <v>24191.34</v>
      </c>
      <c r="K423" s="391"/>
    </row>
    <row r="424" spans="1:11" x14ac:dyDescent="0.25">
      <c r="A424" s="43"/>
      <c r="B424" s="44" t="s">
        <v>284</v>
      </c>
      <c r="C424" s="347">
        <v>3690.3942699999998</v>
      </c>
      <c r="D424" s="347">
        <f>3690394.27+1033092.67</f>
        <v>4723486.9400000004</v>
      </c>
      <c r="E424" s="68">
        <v>15835</v>
      </c>
      <c r="F424" s="68">
        <v>4216</v>
      </c>
      <c r="G424" s="384" t="s">
        <v>399</v>
      </c>
      <c r="H424" s="384">
        <v>1033092.67</v>
      </c>
      <c r="I424" s="390"/>
      <c r="J424" s="402">
        <v>3690394.27</v>
      </c>
      <c r="K424" s="391">
        <v>1033092.67</v>
      </c>
    </row>
    <row r="425" spans="1:11" x14ac:dyDescent="0.25">
      <c r="A425" s="43"/>
      <c r="B425" s="44" t="s">
        <v>397</v>
      </c>
      <c r="C425" s="347">
        <v>0</v>
      </c>
      <c r="D425" s="21">
        <v>5142.5</v>
      </c>
      <c r="E425" s="68">
        <v>15835</v>
      </c>
      <c r="F425" s="68">
        <v>4216</v>
      </c>
      <c r="G425" s="384" t="s">
        <v>399</v>
      </c>
      <c r="H425" s="384">
        <v>5142.5</v>
      </c>
      <c r="I425" s="390"/>
      <c r="J425" s="402"/>
      <c r="K425" s="391">
        <v>5142.5</v>
      </c>
    </row>
    <row r="426" spans="1:11" x14ac:dyDescent="0.25">
      <c r="A426" s="43"/>
      <c r="B426" s="44" t="s">
        <v>360</v>
      </c>
      <c r="C426" s="347">
        <v>159.6232</v>
      </c>
      <c r="D426" s="347">
        <v>159623.20000000001</v>
      </c>
      <c r="E426" s="68">
        <v>15835</v>
      </c>
      <c r="F426" s="68">
        <v>4216</v>
      </c>
      <c r="G426" s="45"/>
      <c r="H426" s="384"/>
      <c r="I426" s="390"/>
      <c r="J426" s="45">
        <v>159623.20000000001</v>
      </c>
      <c r="K426" s="391"/>
    </row>
    <row r="427" spans="1:11" x14ac:dyDescent="0.25">
      <c r="A427" s="43"/>
      <c r="B427" s="44" t="s">
        <v>228</v>
      </c>
      <c r="C427" s="347">
        <v>36.125</v>
      </c>
      <c r="D427" s="347">
        <v>36125</v>
      </c>
      <c r="E427" s="68">
        <v>15835</v>
      </c>
      <c r="F427" s="68">
        <v>4216</v>
      </c>
      <c r="G427" s="45"/>
      <c r="H427" s="384"/>
      <c r="I427" s="390"/>
      <c r="J427" s="402">
        <v>36125</v>
      </c>
      <c r="K427" s="391"/>
    </row>
    <row r="428" spans="1:11" x14ac:dyDescent="0.25">
      <c r="A428" s="43"/>
      <c r="B428" s="44" t="s">
        <v>230</v>
      </c>
      <c r="C428" s="347">
        <v>59.499980000000001</v>
      </c>
      <c r="D428" s="347">
        <v>59499.98</v>
      </c>
      <c r="E428" s="68">
        <v>15835</v>
      </c>
      <c r="F428" s="68">
        <v>4216</v>
      </c>
      <c r="G428" s="45"/>
      <c r="H428" s="384"/>
      <c r="I428" s="390"/>
      <c r="J428" s="402">
        <v>59499.98</v>
      </c>
      <c r="K428" s="391"/>
    </row>
    <row r="429" spans="1:11" x14ac:dyDescent="0.25">
      <c r="A429" s="43"/>
      <c r="B429" s="44" t="s">
        <v>396</v>
      </c>
      <c r="C429" s="53">
        <v>0</v>
      </c>
      <c r="D429" s="21">
        <v>1321513.1100000001</v>
      </c>
      <c r="E429" s="68">
        <v>15835</v>
      </c>
      <c r="F429" s="68">
        <v>4216</v>
      </c>
      <c r="G429" s="384" t="s">
        <v>399</v>
      </c>
      <c r="H429" s="384">
        <v>1321513.1100000001</v>
      </c>
      <c r="I429" s="390"/>
      <c r="J429" s="387"/>
      <c r="K429" s="391">
        <v>1321513.1100000001</v>
      </c>
    </row>
    <row r="430" spans="1:11" hidden="1" x14ac:dyDescent="0.25">
      <c r="A430" s="43"/>
      <c r="B430" s="276"/>
      <c r="C430" s="53"/>
      <c r="D430" s="21"/>
      <c r="E430" s="68"/>
      <c r="F430" s="68">
        <v>4216</v>
      </c>
      <c r="G430" s="45"/>
      <c r="H430" s="384"/>
      <c r="I430" s="390"/>
      <c r="J430" s="387"/>
      <c r="K430" s="391"/>
    </row>
    <row r="431" spans="1:11" hidden="1" x14ac:dyDescent="0.25">
      <c r="A431" s="43"/>
      <c r="B431" s="276"/>
      <c r="C431" s="53"/>
      <c r="D431" s="21"/>
      <c r="E431" s="68"/>
      <c r="F431" s="68">
        <v>4216</v>
      </c>
      <c r="G431" s="45"/>
      <c r="I431" s="390"/>
      <c r="J431" s="387"/>
      <c r="K431" s="391"/>
    </row>
    <row r="432" spans="1:11" hidden="1" x14ac:dyDescent="0.25">
      <c r="A432" s="43"/>
      <c r="B432" s="276"/>
      <c r="C432" s="53"/>
      <c r="D432" s="21"/>
      <c r="E432" s="68"/>
      <c r="F432" s="68">
        <v>4216</v>
      </c>
      <c r="G432" s="45"/>
      <c r="I432" s="390"/>
      <c r="J432" s="387"/>
      <c r="K432" s="391"/>
    </row>
    <row r="433" spans="1:11" hidden="1" x14ac:dyDescent="0.25">
      <c r="A433" s="43"/>
      <c r="B433" s="276"/>
      <c r="C433" s="53"/>
      <c r="D433" s="21"/>
      <c r="E433" s="68"/>
      <c r="F433" s="68">
        <v>4216</v>
      </c>
      <c r="G433" s="45"/>
      <c r="I433" s="390"/>
      <c r="J433" s="387"/>
      <c r="K433" s="391"/>
    </row>
    <row r="434" spans="1:11" hidden="1" x14ac:dyDescent="0.25">
      <c r="A434" s="43"/>
      <c r="B434" s="276"/>
      <c r="C434" s="53"/>
      <c r="D434" s="21"/>
      <c r="E434" s="68"/>
      <c r="F434" s="68">
        <v>4216</v>
      </c>
      <c r="G434" s="45"/>
      <c r="I434" s="390"/>
      <c r="J434" s="387"/>
      <c r="K434" s="391"/>
    </row>
    <row r="435" spans="1:11" hidden="1" x14ac:dyDescent="0.25">
      <c r="A435" s="43"/>
      <c r="B435" s="276"/>
      <c r="C435" s="53"/>
      <c r="D435" s="21"/>
      <c r="E435" s="68"/>
      <c r="F435" s="68">
        <v>4216</v>
      </c>
      <c r="G435" s="45"/>
      <c r="I435" s="390"/>
      <c r="J435" s="387"/>
      <c r="K435" s="391"/>
    </row>
    <row r="436" spans="1:11" x14ac:dyDescent="0.25">
      <c r="A436" s="43"/>
      <c r="B436" s="276"/>
      <c r="C436" s="21"/>
      <c r="D436" s="21"/>
      <c r="E436" s="68"/>
      <c r="F436" s="68">
        <v>4216</v>
      </c>
      <c r="G436" s="45"/>
      <c r="I436" s="390"/>
      <c r="J436" s="387"/>
      <c r="K436" s="391"/>
    </row>
    <row r="437" spans="1:11" x14ac:dyDescent="0.25">
      <c r="A437" s="43"/>
      <c r="B437" s="31" t="s">
        <v>36</v>
      </c>
      <c r="C437" s="40">
        <f>+C438+C439</f>
        <v>0</v>
      </c>
      <c r="D437" s="40">
        <f>+D438+D439</f>
        <v>0</v>
      </c>
      <c r="E437" s="68"/>
      <c r="F437" s="68"/>
      <c r="G437" s="45"/>
      <c r="I437" s="390"/>
      <c r="J437" s="387"/>
      <c r="K437" s="391"/>
    </row>
    <row r="438" spans="1:11" x14ac:dyDescent="0.25">
      <c r="A438" s="43"/>
      <c r="B438" s="276"/>
      <c r="C438" s="21"/>
      <c r="D438" s="21"/>
      <c r="E438" s="68"/>
      <c r="F438" s="68">
        <v>4216</v>
      </c>
      <c r="G438" s="45"/>
      <c r="I438" s="390"/>
      <c r="J438" s="387"/>
      <c r="K438" s="391"/>
    </row>
    <row r="439" spans="1:11" x14ac:dyDescent="0.25">
      <c r="A439" s="43"/>
      <c r="B439" s="276"/>
      <c r="C439" s="21"/>
      <c r="D439" s="21"/>
      <c r="E439" s="68"/>
      <c r="F439" s="68">
        <v>4216</v>
      </c>
      <c r="G439" s="45"/>
      <c r="I439" s="390"/>
      <c r="J439" s="387"/>
      <c r="K439" s="391"/>
    </row>
    <row r="440" spans="1:11" x14ac:dyDescent="0.25">
      <c r="A440" s="43"/>
      <c r="B440" s="285" t="s">
        <v>91</v>
      </c>
      <c r="C440" s="40">
        <f>+C442+C441+C443</f>
        <v>27949.130580000001</v>
      </c>
      <c r="D440" s="40">
        <f>+D442+D441+D443</f>
        <v>27949130.579999998</v>
      </c>
      <c r="E440" s="68"/>
      <c r="F440" s="68"/>
      <c r="G440" s="45"/>
      <c r="I440" s="390"/>
      <c r="J440" s="387"/>
      <c r="K440" s="391"/>
    </row>
    <row r="441" spans="1:11" x14ac:dyDescent="0.25">
      <c r="A441" s="43">
        <v>42034</v>
      </c>
      <c r="B441" s="276" t="s">
        <v>103</v>
      </c>
      <c r="C441" s="21">
        <v>4395.5924400000004</v>
      </c>
      <c r="D441" s="21">
        <v>4395592.4400000004</v>
      </c>
      <c r="E441" s="68">
        <v>17871</v>
      </c>
      <c r="F441" s="68">
        <v>4216</v>
      </c>
      <c r="G441" s="45"/>
      <c r="I441" s="390"/>
      <c r="J441" s="387"/>
      <c r="K441" s="391"/>
    </row>
    <row r="442" spans="1:11" x14ac:dyDescent="0.25">
      <c r="A442" s="43">
        <v>42034</v>
      </c>
      <c r="B442" s="276" t="s">
        <v>103</v>
      </c>
      <c r="C442" s="21">
        <v>775.69277999999997</v>
      </c>
      <c r="D442" s="21">
        <v>775692.78</v>
      </c>
      <c r="E442" s="68">
        <v>17870</v>
      </c>
      <c r="F442" s="68">
        <v>4216</v>
      </c>
      <c r="G442" s="45"/>
      <c r="I442" s="390"/>
      <c r="J442" s="387"/>
      <c r="K442" s="391"/>
    </row>
    <row r="443" spans="1:11" x14ac:dyDescent="0.25">
      <c r="A443" s="43">
        <v>42151</v>
      </c>
      <c r="B443" s="276" t="s">
        <v>220</v>
      </c>
      <c r="C443" s="21">
        <v>22777.845359999999</v>
      </c>
      <c r="D443" s="21">
        <v>22777845.359999999</v>
      </c>
      <c r="E443" s="68">
        <v>17871</v>
      </c>
      <c r="F443" s="68">
        <v>4216</v>
      </c>
      <c r="G443" s="45"/>
      <c r="I443" s="390"/>
      <c r="J443" s="387"/>
      <c r="K443" s="391"/>
    </row>
    <row r="444" spans="1:11" x14ac:dyDescent="0.25">
      <c r="A444" s="43"/>
      <c r="B444" s="276"/>
      <c r="C444" s="21"/>
      <c r="D444" s="21"/>
      <c r="E444" s="68"/>
      <c r="F444" s="68"/>
      <c r="G444" s="45"/>
      <c r="I444" s="390"/>
      <c r="J444" s="387"/>
      <c r="K444" s="391"/>
    </row>
    <row r="445" spans="1:11" x14ac:dyDescent="0.25">
      <c r="A445" s="43"/>
      <c r="B445" s="31" t="s">
        <v>149</v>
      </c>
      <c r="C445" s="40">
        <f>+C446</f>
        <v>450</v>
      </c>
      <c r="D445" s="40">
        <f>+D446</f>
        <v>450000</v>
      </c>
      <c r="E445" s="68"/>
      <c r="F445" s="68"/>
      <c r="G445" s="45"/>
      <c r="I445" s="390"/>
      <c r="J445" s="387"/>
      <c r="K445" s="391"/>
    </row>
    <row r="446" spans="1:11" x14ac:dyDescent="0.25">
      <c r="A446" s="43">
        <v>42121</v>
      </c>
      <c r="B446" s="276" t="s">
        <v>155</v>
      </c>
      <c r="C446" s="21">
        <v>450</v>
      </c>
      <c r="D446" s="21">
        <v>450000</v>
      </c>
      <c r="E446" s="68">
        <v>35674</v>
      </c>
      <c r="F446" s="68">
        <v>4216</v>
      </c>
      <c r="G446" s="45"/>
      <c r="I446" s="390"/>
      <c r="J446" s="387"/>
      <c r="K446" s="391"/>
    </row>
    <row r="447" spans="1:11" x14ac:dyDescent="0.25">
      <c r="A447" s="43"/>
      <c r="B447" s="273"/>
      <c r="C447" s="40"/>
      <c r="D447" s="40"/>
      <c r="E447" s="68"/>
      <c r="F447" s="68"/>
      <c r="G447" s="45"/>
      <c r="I447" s="390"/>
      <c r="J447" s="387"/>
      <c r="K447" s="391"/>
    </row>
    <row r="448" spans="1:11" x14ac:dyDescent="0.25">
      <c r="A448" s="43"/>
      <c r="B448" s="273" t="s">
        <v>48</v>
      </c>
      <c r="C448" s="40">
        <f>SUM(C449:C463)</f>
        <v>1520</v>
      </c>
      <c r="D448" s="40">
        <f>SUM(D449:D463)</f>
        <v>2720000</v>
      </c>
      <c r="E448" s="68"/>
      <c r="F448" s="68"/>
      <c r="G448" s="45"/>
      <c r="I448" s="390"/>
      <c r="J448" s="387"/>
      <c r="K448" s="391"/>
    </row>
    <row r="449" spans="1:11" hidden="1" x14ac:dyDescent="0.25">
      <c r="A449" s="43"/>
      <c r="B449" s="44"/>
      <c r="C449" s="53"/>
      <c r="D449" s="55"/>
      <c r="E449" s="268"/>
      <c r="F449" s="68">
        <v>4222</v>
      </c>
      <c r="G449" s="45"/>
      <c r="H449" s="269"/>
      <c r="I449" s="390"/>
      <c r="J449" s="387"/>
      <c r="K449" s="391"/>
    </row>
    <row r="450" spans="1:11" hidden="1" x14ac:dyDescent="0.25">
      <c r="A450" s="43"/>
      <c r="B450" s="44"/>
      <c r="C450" s="53"/>
      <c r="D450" s="55"/>
      <c r="E450" s="268"/>
      <c r="F450" s="68">
        <v>4222</v>
      </c>
      <c r="G450" s="45"/>
      <c r="H450" s="269"/>
      <c r="I450" s="390"/>
      <c r="J450" s="387"/>
      <c r="K450" s="391"/>
    </row>
    <row r="451" spans="1:11" hidden="1" x14ac:dyDescent="0.25">
      <c r="A451" s="43"/>
      <c r="B451" s="44"/>
      <c r="C451" s="21"/>
      <c r="D451" s="55"/>
      <c r="E451" s="68"/>
      <c r="F451" s="68">
        <v>4222</v>
      </c>
      <c r="G451" s="45"/>
      <c r="I451" s="390"/>
      <c r="J451" s="387"/>
      <c r="K451" s="391"/>
    </row>
    <row r="452" spans="1:11" hidden="1" x14ac:dyDescent="0.25">
      <c r="A452" s="43"/>
      <c r="B452" s="44"/>
      <c r="C452" s="21"/>
      <c r="D452" s="55"/>
      <c r="E452" s="68"/>
      <c r="F452" s="68">
        <v>4222</v>
      </c>
      <c r="G452" s="45"/>
      <c r="I452" s="390"/>
      <c r="J452" s="387"/>
      <c r="K452" s="391"/>
    </row>
    <row r="453" spans="1:11" hidden="1" x14ac:dyDescent="0.25">
      <c r="A453" s="43"/>
      <c r="B453" s="44"/>
      <c r="C453" s="21"/>
      <c r="D453" s="55"/>
      <c r="E453" s="68"/>
      <c r="F453" s="68">
        <v>4222</v>
      </c>
      <c r="G453" s="45"/>
      <c r="I453" s="390"/>
      <c r="J453" s="387"/>
      <c r="K453" s="391"/>
    </row>
    <row r="454" spans="1:11" hidden="1" x14ac:dyDescent="0.25">
      <c r="A454" s="43"/>
      <c r="B454" s="44"/>
      <c r="C454" s="21"/>
      <c r="D454" s="55"/>
      <c r="E454" s="68"/>
      <c r="F454" s="68">
        <v>4222</v>
      </c>
      <c r="G454" s="45"/>
      <c r="I454" s="390"/>
      <c r="J454" s="387"/>
      <c r="K454" s="391"/>
    </row>
    <row r="455" spans="1:11" hidden="1" x14ac:dyDescent="0.25">
      <c r="A455" s="43"/>
      <c r="B455" s="44"/>
      <c r="C455" s="21"/>
      <c r="D455" s="55"/>
      <c r="E455" s="68"/>
      <c r="F455" s="68">
        <v>4222</v>
      </c>
      <c r="G455" s="45"/>
      <c r="I455" s="390"/>
      <c r="J455" s="387"/>
      <c r="K455" s="391"/>
    </row>
    <row r="456" spans="1:11" x14ac:dyDescent="0.25">
      <c r="A456" s="43"/>
      <c r="B456" s="44" t="s">
        <v>308</v>
      </c>
      <c r="C456" s="347">
        <v>200</v>
      </c>
      <c r="D456" s="197">
        <v>200000</v>
      </c>
      <c r="E456" s="68">
        <v>551</v>
      </c>
      <c r="F456" s="68">
        <v>4222</v>
      </c>
      <c r="G456" s="45"/>
      <c r="I456" s="390"/>
      <c r="J456" s="387"/>
      <c r="K456" s="395"/>
    </row>
    <row r="457" spans="1:11" x14ac:dyDescent="0.25">
      <c r="A457" s="43"/>
      <c r="B457" s="44" t="s">
        <v>305</v>
      </c>
      <c r="C457" s="347"/>
      <c r="D457" s="197">
        <v>500000</v>
      </c>
      <c r="E457" s="68">
        <v>551</v>
      </c>
      <c r="F457" s="68">
        <v>4222</v>
      </c>
      <c r="G457" s="45"/>
      <c r="I457" s="390"/>
      <c r="J457" s="387"/>
      <c r="K457" s="395"/>
    </row>
    <row r="458" spans="1:11" x14ac:dyDescent="0.25">
      <c r="A458" s="43"/>
      <c r="B458" s="44" t="s">
        <v>312</v>
      </c>
      <c r="C458" s="347">
        <v>90</v>
      </c>
      <c r="D458" s="197">
        <v>90000</v>
      </c>
      <c r="E458" s="68">
        <v>551</v>
      </c>
      <c r="F458" s="68">
        <v>4222</v>
      </c>
      <c r="G458" s="45"/>
      <c r="I458" s="390"/>
      <c r="J458" s="387"/>
      <c r="K458" s="395"/>
    </row>
    <row r="459" spans="1:11" x14ac:dyDescent="0.25">
      <c r="A459" s="43"/>
      <c r="B459" s="44" t="s">
        <v>345</v>
      </c>
      <c r="C459" s="347">
        <v>500</v>
      </c>
      <c r="D459" s="197">
        <v>500000</v>
      </c>
      <c r="E459" s="68">
        <v>551</v>
      </c>
      <c r="F459" s="68">
        <v>4222</v>
      </c>
      <c r="G459" s="45"/>
      <c r="I459" s="390"/>
      <c r="J459" s="387"/>
      <c r="K459" s="395"/>
    </row>
    <row r="460" spans="1:11" x14ac:dyDescent="0.25">
      <c r="A460" s="43"/>
      <c r="B460" s="44" t="s">
        <v>306</v>
      </c>
      <c r="C460" s="347">
        <v>300</v>
      </c>
      <c r="D460" s="197">
        <v>300000</v>
      </c>
      <c r="E460" s="68">
        <v>551</v>
      </c>
      <c r="F460" s="68">
        <v>4222</v>
      </c>
      <c r="G460" s="45"/>
      <c r="I460" s="390"/>
      <c r="J460" s="387"/>
      <c r="K460" s="395"/>
    </row>
    <row r="461" spans="1:11" x14ac:dyDescent="0.25">
      <c r="A461" s="43"/>
      <c r="B461" s="44" t="s">
        <v>313</v>
      </c>
      <c r="C461" s="347"/>
      <c r="D461" s="197">
        <v>700000</v>
      </c>
      <c r="E461" s="68">
        <v>551</v>
      </c>
      <c r="F461" s="68">
        <v>4222</v>
      </c>
      <c r="G461" s="45"/>
      <c r="I461" s="390"/>
      <c r="J461" s="387"/>
      <c r="K461" s="395"/>
    </row>
    <row r="462" spans="1:11" x14ac:dyDescent="0.25">
      <c r="A462" s="43"/>
      <c r="B462" s="44" t="s">
        <v>302</v>
      </c>
      <c r="C462" s="349">
        <v>30</v>
      </c>
      <c r="D462" s="197">
        <v>30000</v>
      </c>
      <c r="E462" s="68">
        <v>433</v>
      </c>
      <c r="F462" s="68">
        <v>4222</v>
      </c>
      <c r="G462" s="45"/>
      <c r="I462" s="390"/>
      <c r="J462" s="387">
        <v>30000</v>
      </c>
      <c r="K462" s="391"/>
    </row>
    <row r="463" spans="1:11" x14ac:dyDescent="0.25">
      <c r="A463" s="43"/>
      <c r="B463" s="44" t="s">
        <v>307</v>
      </c>
      <c r="C463" s="347">
        <v>400</v>
      </c>
      <c r="D463" s="197">
        <v>400000</v>
      </c>
      <c r="E463" s="68">
        <v>551</v>
      </c>
      <c r="F463" s="68">
        <v>4222</v>
      </c>
      <c r="G463" s="45"/>
      <c r="I463" s="390"/>
      <c r="J463" s="387"/>
      <c r="K463" s="395"/>
    </row>
    <row r="464" spans="1:11" x14ac:dyDescent="0.25">
      <c r="A464" s="43"/>
      <c r="B464" s="304"/>
      <c r="C464" s="53"/>
      <c r="D464" s="55"/>
      <c r="E464" s="268"/>
      <c r="F464" s="68"/>
      <c r="G464" s="45"/>
      <c r="I464" s="390"/>
      <c r="J464" s="387"/>
      <c r="K464" s="391"/>
    </row>
    <row r="465" spans="1:11" x14ac:dyDescent="0.25">
      <c r="A465" s="43"/>
      <c r="B465" s="31" t="s">
        <v>50</v>
      </c>
      <c r="C465" s="31">
        <f>+SUM(C466:C476)</f>
        <v>87703.473750000005</v>
      </c>
      <c r="D465" s="31">
        <f>+SUM(D466:D476)</f>
        <v>97280792.209999993</v>
      </c>
      <c r="E465" s="68"/>
      <c r="F465" s="68"/>
      <c r="G465" s="45"/>
      <c r="I465" s="390"/>
      <c r="J465" s="387"/>
      <c r="K465" s="391"/>
    </row>
    <row r="466" spans="1:11" x14ac:dyDescent="0.25">
      <c r="A466" s="43">
        <v>42073</v>
      </c>
      <c r="B466" s="276" t="s">
        <v>112</v>
      </c>
      <c r="C466" s="21">
        <v>24568.326000000001</v>
      </c>
      <c r="D466" s="21">
        <v>24568326</v>
      </c>
      <c r="E466" s="68">
        <v>86505</v>
      </c>
      <c r="F466" s="68">
        <v>4223</v>
      </c>
      <c r="G466" s="45"/>
      <c r="I466" s="390"/>
      <c r="J466" s="387"/>
      <c r="K466" s="391"/>
    </row>
    <row r="467" spans="1:11" x14ac:dyDescent="0.25">
      <c r="A467" s="43">
        <v>42073</v>
      </c>
      <c r="B467" s="276" t="s">
        <v>112</v>
      </c>
      <c r="C467" s="21">
        <v>2167.7934799999998</v>
      </c>
      <c r="D467" s="21">
        <v>2167793.48</v>
      </c>
      <c r="E467" s="68">
        <v>86501</v>
      </c>
      <c r="F467" s="68">
        <v>4223</v>
      </c>
      <c r="G467" s="45"/>
      <c r="I467" s="390"/>
      <c r="J467" s="387"/>
      <c r="K467" s="391"/>
    </row>
    <row r="468" spans="1:11" x14ac:dyDescent="0.25">
      <c r="A468" s="43">
        <v>42087</v>
      </c>
      <c r="B468" s="44" t="s">
        <v>123</v>
      </c>
      <c r="C468" s="47">
        <v>17507.565600000002</v>
      </c>
      <c r="D468" s="47">
        <v>17507565.600000001</v>
      </c>
      <c r="E468" s="268">
        <v>86505</v>
      </c>
      <c r="F468" s="68">
        <v>4223</v>
      </c>
      <c r="G468" s="45"/>
      <c r="I468" s="390"/>
      <c r="J468" s="387"/>
      <c r="K468" s="391"/>
    </row>
    <row r="469" spans="1:11" x14ac:dyDescent="0.25">
      <c r="A469" s="43">
        <v>42101</v>
      </c>
      <c r="B469" s="44" t="s">
        <v>138</v>
      </c>
      <c r="C469" s="47">
        <v>3893.92481</v>
      </c>
      <c r="D469" s="47">
        <v>3893924.81</v>
      </c>
      <c r="E469" s="268">
        <v>86505</v>
      </c>
      <c r="F469" s="68">
        <v>4223</v>
      </c>
      <c r="G469" s="45"/>
      <c r="I469" s="390"/>
      <c r="J469" s="387"/>
      <c r="K469" s="391"/>
    </row>
    <row r="470" spans="1:11" x14ac:dyDescent="0.25">
      <c r="A470" s="43">
        <v>42122</v>
      </c>
      <c r="B470" s="44" t="s">
        <v>152</v>
      </c>
      <c r="C470" s="47">
        <v>4191.1944100000001</v>
      </c>
      <c r="D470" s="47">
        <v>4191194.41</v>
      </c>
      <c r="E470" s="268">
        <v>86505</v>
      </c>
      <c r="F470" s="68">
        <v>4223</v>
      </c>
      <c r="G470" s="45"/>
      <c r="I470" s="390"/>
      <c r="J470" s="387"/>
      <c r="K470" s="391"/>
    </row>
    <row r="471" spans="1:11" x14ac:dyDescent="0.25">
      <c r="A471" s="43">
        <v>42143</v>
      </c>
      <c r="B471" s="44" t="s">
        <v>171</v>
      </c>
      <c r="C471" s="47">
        <v>18985.09273</v>
      </c>
      <c r="D471" s="21">
        <v>18985092.73</v>
      </c>
      <c r="E471" s="268">
        <v>86505</v>
      </c>
      <c r="F471" s="68">
        <v>4223</v>
      </c>
      <c r="G471" s="45"/>
      <c r="I471" s="390"/>
      <c r="J471" s="387"/>
      <c r="K471" s="391"/>
    </row>
    <row r="472" spans="1:11" x14ac:dyDescent="0.25">
      <c r="A472" s="43">
        <v>42178</v>
      </c>
      <c r="B472" s="44" t="s">
        <v>246</v>
      </c>
      <c r="C472" s="47">
        <v>10777.64892</v>
      </c>
      <c r="D472" s="21">
        <v>10777648.92</v>
      </c>
      <c r="E472" s="268">
        <v>86505</v>
      </c>
      <c r="F472" s="68">
        <v>4223</v>
      </c>
      <c r="G472" s="45"/>
      <c r="I472" s="390"/>
      <c r="J472" s="387"/>
      <c r="K472" s="391"/>
    </row>
    <row r="473" spans="1:11" x14ac:dyDescent="0.25">
      <c r="A473" s="43">
        <v>42242</v>
      </c>
      <c r="B473" s="44" t="s">
        <v>393</v>
      </c>
      <c r="C473" s="47">
        <v>0</v>
      </c>
      <c r="D473" s="21">
        <v>9577318.4600000009</v>
      </c>
      <c r="E473" s="268">
        <v>86505</v>
      </c>
      <c r="F473" s="68">
        <v>4223</v>
      </c>
      <c r="G473" s="45"/>
      <c r="I473" s="390"/>
      <c r="J473" s="387"/>
      <c r="K473" s="391"/>
    </row>
    <row r="474" spans="1:11" x14ac:dyDescent="0.25">
      <c r="A474" s="43"/>
      <c r="B474" s="44"/>
      <c r="C474" s="47"/>
      <c r="D474" s="21"/>
      <c r="E474" s="268"/>
      <c r="F474" s="68">
        <v>4223</v>
      </c>
      <c r="G474" s="45"/>
      <c r="I474" s="390"/>
      <c r="J474" s="387"/>
      <c r="K474" s="391"/>
    </row>
    <row r="475" spans="1:11" x14ac:dyDescent="0.25">
      <c r="A475" s="43"/>
      <c r="B475" s="44" t="s">
        <v>262</v>
      </c>
      <c r="C475" s="349">
        <v>5611.9278000000004</v>
      </c>
      <c r="D475" s="347">
        <v>5611927.7999999998</v>
      </c>
      <c r="E475" s="268">
        <v>86505</v>
      </c>
      <c r="F475" s="68">
        <v>4223</v>
      </c>
      <c r="G475" s="384" t="s">
        <v>351</v>
      </c>
      <c r="I475" s="404">
        <v>5611927.7999999998</v>
      </c>
      <c r="J475" s="387"/>
      <c r="K475" s="391"/>
    </row>
    <row r="476" spans="1:11" x14ac:dyDescent="0.25">
      <c r="A476" s="43"/>
      <c r="B476" s="44"/>
      <c r="C476" s="47"/>
      <c r="D476" s="21"/>
      <c r="E476" s="268"/>
      <c r="F476" s="68"/>
      <c r="G476" s="45"/>
      <c r="I476" s="390"/>
      <c r="J476" s="387"/>
      <c r="K476" s="391"/>
    </row>
    <row r="477" spans="1:11" x14ac:dyDescent="0.25">
      <c r="A477" s="43"/>
      <c r="B477" s="293" t="s">
        <v>52</v>
      </c>
      <c r="C477" s="31">
        <v>0</v>
      </c>
      <c r="D477" s="40">
        <f>+D478</f>
        <v>876199.86</v>
      </c>
      <c r="E477" s="268"/>
      <c r="F477" s="68"/>
      <c r="G477" s="45"/>
      <c r="I477" s="390"/>
      <c r="J477" s="387"/>
      <c r="K477" s="391"/>
    </row>
    <row r="478" spans="1:11" x14ac:dyDescent="0.25">
      <c r="A478" s="43">
        <v>42174</v>
      </c>
      <c r="B478" s="44" t="s">
        <v>244</v>
      </c>
      <c r="C478" s="47">
        <v>0</v>
      </c>
      <c r="D478" s="21">
        <v>876199.86</v>
      </c>
      <c r="E478" s="268"/>
      <c r="F478" s="68">
        <v>4232</v>
      </c>
      <c r="G478" s="45"/>
      <c r="I478" s="390"/>
      <c r="J478" s="387"/>
      <c r="K478" s="391"/>
    </row>
    <row r="479" spans="1:11" x14ac:dyDescent="0.25">
      <c r="A479" s="43"/>
      <c r="B479" s="44"/>
      <c r="C479" s="47"/>
      <c r="D479" s="21"/>
      <c r="E479" s="268"/>
      <c r="F479" s="68"/>
      <c r="I479" s="390"/>
      <c r="J479" s="387"/>
      <c r="K479" s="391"/>
    </row>
    <row r="480" spans="1:11" x14ac:dyDescent="0.25">
      <c r="A480" s="43"/>
      <c r="B480" s="276"/>
      <c r="C480" s="47"/>
      <c r="D480" s="86"/>
      <c r="E480" s="68"/>
      <c r="F480" s="68"/>
      <c r="I480" s="390"/>
      <c r="J480" s="387"/>
      <c r="K480" s="391"/>
    </row>
    <row r="481" spans="1:13" x14ac:dyDescent="0.25">
      <c r="A481" s="43"/>
      <c r="B481" s="294" t="s">
        <v>55</v>
      </c>
      <c r="C481" s="27">
        <f>+C477+C465+C448+C445+C440+C437+C401+C398+C363</f>
        <v>130220.80263000001</v>
      </c>
      <c r="D481" s="27">
        <f>+D477+D465+D448+D445+D440+D437+D401+D398+D363</f>
        <v>149769761.98999998</v>
      </c>
      <c r="E481" s="295"/>
      <c r="F481" s="67"/>
      <c r="I481" s="390"/>
      <c r="J481" s="387"/>
      <c r="K481" s="391"/>
    </row>
    <row r="482" spans="1:13" ht="16.5" thickBot="1" x14ac:dyDescent="0.3">
      <c r="A482" s="296"/>
      <c r="B482" s="297"/>
      <c r="C482" s="75"/>
      <c r="D482" s="75"/>
      <c r="E482" s="298"/>
      <c r="F482" s="298"/>
      <c r="I482" s="390"/>
      <c r="J482" s="387"/>
      <c r="K482" s="391"/>
    </row>
    <row r="483" spans="1:13" ht="16.5" thickBot="1" x14ac:dyDescent="0.3">
      <c r="I483" s="405"/>
      <c r="J483" s="406"/>
      <c r="K483" s="407"/>
    </row>
    <row r="484" spans="1:13" ht="16.5" thickBot="1" x14ac:dyDescent="0.3">
      <c r="A484" s="307"/>
      <c r="B484" s="91"/>
      <c r="C484" s="91"/>
      <c r="D484" s="91"/>
      <c r="E484" s="308"/>
      <c r="F484" s="308"/>
      <c r="I484" s="408">
        <f>SUM(I8:I482)</f>
        <v>14601050.68</v>
      </c>
      <c r="J484" s="409">
        <f>SUM(J8:J482)</f>
        <v>68462492.290000007</v>
      </c>
      <c r="K484" s="401">
        <f>SUM(K8:K482)</f>
        <v>2673153.84</v>
      </c>
      <c r="L484" s="45">
        <f>SUM(L6:L482)</f>
        <v>0</v>
      </c>
    </row>
    <row r="485" spans="1:13" x14ac:dyDescent="0.25">
      <c r="A485" s="309"/>
      <c r="B485" s="310"/>
      <c r="C485" s="310"/>
      <c r="D485" s="5"/>
      <c r="E485" s="311"/>
      <c r="F485" s="312"/>
      <c r="G485" s="306"/>
      <c r="H485" s="269"/>
    </row>
    <row r="486" spans="1:13" ht="16.5" thickBot="1" x14ac:dyDescent="0.3">
      <c r="A486" s="309"/>
      <c r="B486" s="10" t="s">
        <v>56</v>
      </c>
      <c r="C486" s="10" t="s">
        <v>3</v>
      </c>
      <c r="D486" s="10" t="s">
        <v>4</v>
      </c>
      <c r="E486" s="311"/>
      <c r="F486" s="312"/>
      <c r="G486" s="306"/>
      <c r="H486" s="269"/>
    </row>
    <row r="487" spans="1:13" x14ac:dyDescent="0.25">
      <c r="A487" s="309"/>
      <c r="B487" s="313"/>
      <c r="C487" s="313"/>
      <c r="D487" s="97"/>
      <c r="E487" s="311"/>
      <c r="F487" s="312"/>
      <c r="G487" s="306"/>
      <c r="H487" s="269"/>
    </row>
    <row r="488" spans="1:13" x14ac:dyDescent="0.25">
      <c r="A488" s="314"/>
      <c r="B488" s="122" t="s">
        <v>57</v>
      </c>
      <c r="C488" s="122">
        <f>+C357</f>
        <v>130222.79770000001</v>
      </c>
      <c r="D488" s="56">
        <f>+D357</f>
        <v>261211042.90000001</v>
      </c>
      <c r="E488" s="315"/>
      <c r="F488" s="301"/>
      <c r="G488" s="306" t="s">
        <v>61</v>
      </c>
      <c r="H488" s="269">
        <f>'[1]Vstupni Seznam'!$M$1</f>
        <v>951693271.66000009</v>
      </c>
      <c r="I488" s="319" t="s">
        <v>405</v>
      </c>
      <c r="J488" s="45">
        <v>6534090.2699999996</v>
      </c>
      <c r="K488" s="45" t="s">
        <v>406</v>
      </c>
    </row>
    <row r="489" spans="1:13" x14ac:dyDescent="0.25">
      <c r="A489" s="314"/>
      <c r="B489" s="122" t="s">
        <v>58</v>
      </c>
      <c r="C489" s="122">
        <f>+C481</f>
        <v>130220.80263000001</v>
      </c>
      <c r="D489" s="122">
        <f>+D481</f>
        <v>149769761.98999998</v>
      </c>
      <c r="E489" s="316"/>
      <c r="F489" s="308"/>
      <c r="G489" s="306" t="s">
        <v>62</v>
      </c>
      <c r="H489" s="269">
        <f>27388800*9</f>
        <v>246499200</v>
      </c>
      <c r="J489" s="45">
        <v>1153074.75</v>
      </c>
      <c r="K489" s="45" t="s">
        <v>406</v>
      </c>
    </row>
    <row r="490" spans="1:13" x14ac:dyDescent="0.25">
      <c r="A490" s="314"/>
      <c r="B490" s="122"/>
      <c r="C490" s="122"/>
      <c r="D490" s="56"/>
      <c r="E490" s="316"/>
      <c r="F490" s="308"/>
      <c r="G490" s="306" t="s">
        <v>64</v>
      </c>
      <c r="H490" s="269">
        <f>+D43+D44+D47+D46+D48+D49+D50+D51+D52+D53+D54+D55+D56+D57+D58+D59+D60+D45+D475+D390+D421+D387+D42</f>
        <v>17381230.68</v>
      </c>
      <c r="J490" s="45">
        <v>302.5</v>
      </c>
      <c r="K490" s="45" t="s">
        <v>407</v>
      </c>
    </row>
    <row r="491" spans="1:13" x14ac:dyDescent="0.25">
      <c r="A491" s="314"/>
      <c r="B491" s="317" t="s">
        <v>59</v>
      </c>
      <c r="C491" s="317">
        <f>+C488+C489</f>
        <v>260443.60033000002</v>
      </c>
      <c r="D491" s="27">
        <f>SUM(D488:D489)</f>
        <v>410980804.88999999</v>
      </c>
      <c r="E491" s="316"/>
      <c r="F491" s="308"/>
      <c r="G491" s="45" t="s">
        <v>63</v>
      </c>
      <c r="H491" s="269">
        <f>+H488-H489+H490-H487</f>
        <v>722575302.34000003</v>
      </c>
      <c r="J491" s="45">
        <v>5142.5</v>
      </c>
      <c r="K491" s="45" t="s">
        <v>407</v>
      </c>
    </row>
    <row r="492" spans="1:13" ht="16.5" thickBot="1" x14ac:dyDescent="0.3">
      <c r="A492" s="314"/>
      <c r="B492" s="318"/>
      <c r="C492" s="318"/>
      <c r="D492" s="318"/>
      <c r="E492" s="315"/>
      <c r="F492" s="301"/>
      <c r="G492" s="45"/>
      <c r="H492" s="269">
        <f>+D491-H491</f>
        <v>-311594497.45000005</v>
      </c>
      <c r="I492" s="319"/>
      <c r="J492" s="45">
        <v>974471.4</v>
      </c>
      <c r="K492" s="367" t="s">
        <v>408</v>
      </c>
    </row>
    <row r="493" spans="1:13" x14ac:dyDescent="0.25">
      <c r="C493" s="285"/>
      <c r="D493" s="356"/>
      <c r="E493" s="269"/>
      <c r="F493" s="45"/>
      <c r="H493" s="269">
        <v>0</v>
      </c>
      <c r="I493" s="320"/>
      <c r="J493" s="45">
        <f>175.45+3333.55</f>
        <v>3509</v>
      </c>
      <c r="K493" s="45" t="s">
        <v>409</v>
      </c>
    </row>
    <row r="494" spans="1:13" ht="16.5" thickBot="1" x14ac:dyDescent="0.3">
      <c r="B494" s="321"/>
      <c r="C494" s="154"/>
      <c r="D494" s="154"/>
      <c r="E494" s="305"/>
      <c r="F494" s="305"/>
      <c r="H494" s="269">
        <f>+H492-H493</f>
        <v>-311594497.45000005</v>
      </c>
      <c r="I494" s="45" t="s">
        <v>401</v>
      </c>
      <c r="J494" s="45">
        <v>60000</v>
      </c>
      <c r="K494" s="45" t="s">
        <v>412</v>
      </c>
    </row>
    <row r="495" spans="1:13" ht="16.5" thickBot="1" x14ac:dyDescent="0.3">
      <c r="B495" s="322" t="s">
        <v>79</v>
      </c>
      <c r="C495" s="137" t="s">
        <v>80</v>
      </c>
      <c r="D495" s="137" t="s">
        <v>80</v>
      </c>
      <c r="E495" s="137" t="s">
        <v>82</v>
      </c>
      <c r="F495" s="137" t="s">
        <v>81</v>
      </c>
      <c r="G495" s="323" t="s">
        <v>83</v>
      </c>
      <c r="H495" s="324" t="s">
        <v>84</v>
      </c>
      <c r="J495" s="45">
        <v>15000</v>
      </c>
    </row>
    <row r="496" spans="1:13" s="329" customFormat="1" x14ac:dyDescent="0.25">
      <c r="A496" s="325"/>
      <c r="B496" s="412">
        <v>4111</v>
      </c>
      <c r="C496" s="410"/>
      <c r="D496" s="416"/>
      <c r="E496" s="328">
        <f t="shared" ref="E496:E506" si="0">SUMIF($F$7:$F$539,B496,$C$7:$C$539)</f>
        <v>0</v>
      </c>
      <c r="F496" s="328">
        <f t="shared" ref="F496:F506" si="1">SUMIF($F$7:$F$494,B496,$D$7:$D$494)</f>
        <v>0</v>
      </c>
      <c r="G496" s="328">
        <f>C496-E496*1000</f>
        <v>0</v>
      </c>
      <c r="H496" s="328">
        <f>+D496-F496</f>
        <v>0</v>
      </c>
      <c r="M496" s="45"/>
    </row>
    <row r="497" spans="2:10" x14ac:dyDescent="0.25">
      <c r="B497" s="412">
        <v>4113</v>
      </c>
      <c r="C497" s="410">
        <v>5947471.9100000001</v>
      </c>
      <c r="D497" s="416">
        <v>2804598.76</v>
      </c>
      <c r="E497" s="331">
        <f t="shared" si="0"/>
        <v>5947.4719100000011</v>
      </c>
      <c r="F497" s="328">
        <f t="shared" si="1"/>
        <v>2804598.7600000002</v>
      </c>
      <c r="G497" s="328">
        <f t="shared" ref="G497:G506" si="2">C497-E497*1000</f>
        <v>0</v>
      </c>
      <c r="H497" s="328">
        <f t="shared" ref="H497:H506" si="3">+D497-F497</f>
        <v>0</v>
      </c>
      <c r="I497" s="329"/>
      <c r="J497" s="45">
        <f>SUM(J488:J496)</f>
        <v>8745590.4199999999</v>
      </c>
    </row>
    <row r="498" spans="2:10" x14ac:dyDescent="0.25">
      <c r="B498" s="412">
        <v>4116</v>
      </c>
      <c r="C498" s="410">
        <v>135365027.53</v>
      </c>
      <c r="D498" s="416">
        <v>141060468.27000001</v>
      </c>
      <c r="E498" s="331">
        <f t="shared" si="0"/>
        <v>135365.02752999999</v>
      </c>
      <c r="F498" s="328">
        <f t="shared" si="1"/>
        <v>141060468.27000001</v>
      </c>
      <c r="G498" s="328">
        <f>C498-E498*1000</f>
        <v>0</v>
      </c>
      <c r="H498" s="328">
        <f t="shared" si="3"/>
        <v>0</v>
      </c>
      <c r="I498" s="329"/>
      <c r="J498" s="45">
        <f>+H494+J497</f>
        <v>-302848907.03000003</v>
      </c>
    </row>
    <row r="499" spans="2:10" x14ac:dyDescent="0.25">
      <c r="B499" s="412">
        <v>4122</v>
      </c>
      <c r="C499" s="410">
        <v>113137305.56</v>
      </c>
      <c r="D499" s="416">
        <v>113137305.56</v>
      </c>
      <c r="E499" s="331">
        <f t="shared" si="0"/>
        <v>113137.30556000001</v>
      </c>
      <c r="F499" s="328">
        <f t="shared" si="1"/>
        <v>113137305.56</v>
      </c>
      <c r="G499" s="328">
        <f t="shared" si="2"/>
        <v>0</v>
      </c>
      <c r="H499" s="328">
        <f t="shared" si="3"/>
        <v>0</v>
      </c>
      <c r="I499" s="329"/>
    </row>
    <row r="500" spans="2:10" x14ac:dyDescent="0.25">
      <c r="B500" s="412">
        <v>4123</v>
      </c>
      <c r="C500" s="410">
        <v>1808652.21</v>
      </c>
      <c r="D500" s="416">
        <v>1808652.21</v>
      </c>
      <c r="E500" s="331">
        <f t="shared" si="0"/>
        <v>1808.6522100000002</v>
      </c>
      <c r="F500" s="328">
        <f t="shared" si="1"/>
        <v>1808652.21</v>
      </c>
      <c r="G500" s="328">
        <f t="shared" si="2"/>
        <v>0</v>
      </c>
      <c r="H500" s="328">
        <f t="shared" si="3"/>
        <v>0</v>
      </c>
      <c r="I500" s="329"/>
    </row>
    <row r="501" spans="2:10" x14ac:dyDescent="0.25">
      <c r="B501" s="412">
        <v>4152</v>
      </c>
      <c r="C501" s="410">
        <v>582000</v>
      </c>
      <c r="D501" s="416">
        <v>2400018.1</v>
      </c>
      <c r="E501" s="331">
        <f t="shared" si="0"/>
        <v>582</v>
      </c>
      <c r="F501" s="328">
        <f t="shared" si="1"/>
        <v>2400018.1000000006</v>
      </c>
      <c r="G501" s="328">
        <f t="shared" si="2"/>
        <v>0</v>
      </c>
      <c r="H501" s="328">
        <f t="shared" si="3"/>
        <v>0</v>
      </c>
      <c r="I501" s="329"/>
    </row>
    <row r="502" spans="2:10" x14ac:dyDescent="0.25">
      <c r="B502" s="412">
        <v>4213</v>
      </c>
      <c r="C502" s="410">
        <v>1203845.69</v>
      </c>
      <c r="D502" s="416">
        <v>1636925.72</v>
      </c>
      <c r="E502" s="331">
        <f t="shared" si="0"/>
        <v>1203.8456900000001</v>
      </c>
      <c r="F502" s="328">
        <f t="shared" si="1"/>
        <v>1636925.7200000002</v>
      </c>
      <c r="G502" s="328">
        <f t="shared" si="2"/>
        <v>0</v>
      </c>
      <c r="H502" s="328">
        <f t="shared" si="3"/>
        <v>0</v>
      </c>
      <c r="I502" s="329"/>
    </row>
    <row r="503" spans="2:10" x14ac:dyDescent="0.25">
      <c r="B503" s="412">
        <v>4216</v>
      </c>
      <c r="C503" s="410">
        <v>39793483.189999998</v>
      </c>
      <c r="D503" s="416">
        <v>47255844.200000003</v>
      </c>
      <c r="E503" s="331">
        <f t="shared" si="0"/>
        <v>39793.483189999999</v>
      </c>
      <c r="F503" s="328">
        <f t="shared" si="1"/>
        <v>47255844.200000003</v>
      </c>
      <c r="G503" s="328">
        <f t="shared" si="2"/>
        <v>0</v>
      </c>
      <c r="H503" s="328">
        <f t="shared" si="3"/>
        <v>0</v>
      </c>
      <c r="I503" s="329"/>
    </row>
    <row r="504" spans="2:10" x14ac:dyDescent="0.25">
      <c r="B504" s="412">
        <v>4222</v>
      </c>
      <c r="C504" s="410">
        <v>1520000</v>
      </c>
      <c r="D504" s="416">
        <v>2720000</v>
      </c>
      <c r="E504" s="331">
        <f t="shared" si="0"/>
        <v>1520</v>
      </c>
      <c r="F504" s="328">
        <f t="shared" si="1"/>
        <v>2720000</v>
      </c>
      <c r="G504" s="328">
        <f t="shared" si="2"/>
        <v>0</v>
      </c>
      <c r="H504" s="328">
        <f t="shared" si="3"/>
        <v>0</v>
      </c>
      <c r="I504" s="329"/>
    </row>
    <row r="505" spans="2:10" x14ac:dyDescent="0.25">
      <c r="B505" s="412">
        <v>4223</v>
      </c>
      <c r="C505" s="410">
        <v>87703473.75</v>
      </c>
      <c r="D505" s="416">
        <v>97280792.209999993</v>
      </c>
      <c r="E505" s="331">
        <f t="shared" si="0"/>
        <v>87703.473750000005</v>
      </c>
      <c r="F505" s="328">
        <f t="shared" si="1"/>
        <v>97280792.209999993</v>
      </c>
      <c r="G505" s="328">
        <f t="shared" si="2"/>
        <v>0</v>
      </c>
      <c r="H505" s="328">
        <f t="shared" si="3"/>
        <v>0</v>
      </c>
      <c r="I505" s="329"/>
    </row>
    <row r="506" spans="2:10" x14ac:dyDescent="0.25">
      <c r="B506" s="412">
        <v>4232</v>
      </c>
      <c r="C506" s="410">
        <v>0</v>
      </c>
      <c r="D506" s="416">
        <v>876199.86</v>
      </c>
      <c r="E506" s="331">
        <f t="shared" si="0"/>
        <v>0</v>
      </c>
      <c r="F506" s="328">
        <f t="shared" si="1"/>
        <v>876199.86</v>
      </c>
      <c r="G506" s="328">
        <f t="shared" si="2"/>
        <v>0</v>
      </c>
      <c r="H506" s="328">
        <f t="shared" si="3"/>
        <v>0</v>
      </c>
      <c r="I506" s="329"/>
    </row>
    <row r="507" spans="2:10" x14ac:dyDescent="0.25">
      <c r="B507" s="332"/>
      <c r="C507" s="156">
        <f t="shared" ref="C507:H507" si="4">+SUM(C496:C506)</f>
        <v>387061259.84000003</v>
      </c>
      <c r="D507" s="156">
        <f t="shared" si="4"/>
        <v>410980804.88999999</v>
      </c>
      <c r="E507" s="156">
        <f t="shared" si="4"/>
        <v>387061.25983999996</v>
      </c>
      <c r="F507" s="156">
        <f t="shared" si="4"/>
        <v>410980804.88999999</v>
      </c>
      <c r="G507" s="328">
        <f t="shared" si="4"/>
        <v>0</v>
      </c>
      <c r="H507" s="328">
        <f t="shared" si="4"/>
        <v>0</v>
      </c>
      <c r="I507" s="329"/>
    </row>
    <row r="508" spans="2:10" ht="16.5" thickBot="1" x14ac:dyDescent="0.3">
      <c r="B508" s="333"/>
      <c r="C508" s="157"/>
      <c r="D508" s="157"/>
      <c r="E508" s="334"/>
      <c r="F508" s="334"/>
      <c r="G508" s="335"/>
      <c r="H508" s="336"/>
      <c r="I508" s="329"/>
    </row>
    <row r="510" spans="2:10" x14ac:dyDescent="0.25">
      <c r="B510" s="337"/>
      <c r="C510" s="337"/>
      <c r="D510" s="338"/>
      <c r="E510" s="338"/>
      <c r="F510" s="338"/>
      <c r="G510" s="338"/>
      <c r="H510" s="337"/>
    </row>
    <row r="511" spans="2:10" x14ac:dyDescent="0.25">
      <c r="B511" s="337"/>
      <c r="D511" s="338"/>
      <c r="E511" s="338"/>
      <c r="F511" s="338"/>
      <c r="G511" s="337"/>
      <c r="H511" s="338"/>
    </row>
    <row r="512" spans="2:10" x14ac:dyDescent="0.25">
      <c r="B512" s="337"/>
      <c r="C512" s="45" t="s">
        <v>352</v>
      </c>
      <c r="D512" s="338"/>
      <c r="E512" s="338"/>
      <c r="F512" s="338"/>
      <c r="G512" s="338"/>
    </row>
    <row r="513" spans="2:8" x14ac:dyDescent="0.25">
      <c r="B513" s="337"/>
      <c r="C513" s="337" t="s">
        <v>353</v>
      </c>
      <c r="D513" s="338"/>
      <c r="E513" s="338"/>
      <c r="F513" s="338"/>
      <c r="G513" s="338"/>
    </row>
    <row r="514" spans="2:8" x14ac:dyDescent="0.25">
      <c r="B514" s="337"/>
      <c r="C514" s="337" t="s">
        <v>354</v>
      </c>
      <c r="D514" s="338"/>
      <c r="E514" s="338"/>
      <c r="F514" s="338"/>
      <c r="G514" s="338"/>
      <c r="H514" s="337"/>
    </row>
    <row r="515" spans="2:8" x14ac:dyDescent="0.25">
      <c r="B515" s="337"/>
      <c r="C515" s="337" t="s">
        <v>356</v>
      </c>
      <c r="D515" s="338"/>
      <c r="E515" s="338"/>
      <c r="F515" s="338"/>
      <c r="G515" s="338"/>
      <c r="H515" s="337"/>
    </row>
    <row r="516" spans="2:8" x14ac:dyDescent="0.25">
      <c r="B516" s="337"/>
      <c r="C516" s="337"/>
      <c r="D516" s="338"/>
      <c r="E516" s="338"/>
      <c r="F516" s="338"/>
      <c r="G516" s="337"/>
      <c r="H516" s="337"/>
    </row>
    <row r="517" spans="2:8" x14ac:dyDescent="0.25">
      <c r="B517" s="337"/>
      <c r="C517" s="337"/>
      <c r="D517" s="338"/>
      <c r="E517" s="338"/>
      <c r="F517" s="338"/>
      <c r="G517" s="338"/>
      <c r="H517" s="337"/>
    </row>
    <row r="518" spans="2:8" x14ac:dyDescent="0.25">
      <c r="B518" s="337"/>
      <c r="C518" s="337" t="s">
        <v>357</v>
      </c>
      <c r="D518" s="338"/>
      <c r="E518" s="338"/>
      <c r="F518" s="338"/>
      <c r="G518" s="338"/>
      <c r="H518" s="337"/>
    </row>
    <row r="519" spans="2:8" x14ac:dyDescent="0.25">
      <c r="B519" s="337"/>
      <c r="C519" s="337"/>
      <c r="D519" s="338"/>
      <c r="E519" s="338"/>
      <c r="F519" s="338"/>
      <c r="G519" s="338"/>
      <c r="H519" s="337"/>
    </row>
    <row r="520" spans="2:8" x14ac:dyDescent="0.25">
      <c r="B520" s="337"/>
      <c r="C520" s="337"/>
      <c r="D520" s="337"/>
      <c r="E520" s="338"/>
      <c r="F520" s="338"/>
      <c r="G520" s="338"/>
      <c r="H520" s="337"/>
    </row>
    <row r="521" spans="2:8" x14ac:dyDescent="0.25">
      <c r="B521" s="337"/>
      <c r="C521" s="337"/>
      <c r="D521" s="337"/>
      <c r="E521" s="338"/>
      <c r="F521" s="338"/>
      <c r="G521" s="338"/>
      <c r="H521" s="337"/>
    </row>
    <row r="522" spans="2:8" x14ac:dyDescent="0.25">
      <c r="B522" s="337"/>
      <c r="C522" s="337"/>
      <c r="D522" s="337"/>
      <c r="E522" s="337"/>
      <c r="F522" s="337"/>
      <c r="G522" s="338"/>
      <c r="H522" s="337"/>
    </row>
    <row r="523" spans="2:8" x14ac:dyDescent="0.25">
      <c r="B523" s="337"/>
      <c r="C523" s="337"/>
      <c r="D523" s="337"/>
      <c r="E523" s="338"/>
      <c r="F523" s="338"/>
      <c r="G523" s="338"/>
      <c r="H523" s="337"/>
    </row>
    <row r="524" spans="2:8" x14ac:dyDescent="0.25">
      <c r="B524" s="337"/>
      <c r="C524" s="337"/>
      <c r="D524" s="337"/>
      <c r="E524" s="338"/>
      <c r="F524" s="338"/>
      <c r="G524" s="338"/>
      <c r="H524" s="337"/>
    </row>
    <row r="525" spans="2:8" x14ac:dyDescent="0.25">
      <c r="B525" s="337"/>
      <c r="C525" s="337"/>
      <c r="D525" s="337"/>
      <c r="E525" s="338"/>
      <c r="F525" s="338"/>
      <c r="G525" s="338"/>
      <c r="H525" s="337"/>
    </row>
    <row r="526" spans="2:8" x14ac:dyDescent="0.25">
      <c r="B526" s="337"/>
      <c r="C526" s="337"/>
      <c r="D526" s="337"/>
      <c r="E526" s="337"/>
      <c r="F526" s="337"/>
      <c r="G526" s="337"/>
      <c r="H526" s="337"/>
    </row>
    <row r="527" spans="2:8" x14ac:dyDescent="0.25">
      <c r="B527" s="337"/>
      <c r="C527" s="337"/>
      <c r="D527" s="337"/>
      <c r="E527" s="338"/>
      <c r="F527" s="338"/>
      <c r="G527" s="337"/>
      <c r="H527" s="337"/>
    </row>
    <row r="528" spans="2:8" x14ac:dyDescent="0.25">
      <c r="B528" s="337"/>
      <c r="C528" s="337"/>
      <c r="D528" s="337"/>
      <c r="E528" s="338"/>
      <c r="F528" s="338"/>
      <c r="G528" s="338"/>
      <c r="H528" s="337"/>
    </row>
    <row r="529" spans="2:8" x14ac:dyDescent="0.25">
      <c r="B529" s="337"/>
      <c r="C529" s="337"/>
      <c r="D529" s="337"/>
      <c r="E529" s="338"/>
      <c r="F529" s="338"/>
      <c r="G529" s="338"/>
      <c r="H529" s="337"/>
    </row>
    <row r="530" spans="2:8" x14ac:dyDescent="0.25">
      <c r="B530" s="337"/>
      <c r="C530" s="337"/>
      <c r="D530" s="337"/>
      <c r="E530" s="337"/>
      <c r="F530" s="337"/>
      <c r="G530" s="338"/>
      <c r="H530" s="337"/>
    </row>
    <row r="531" spans="2:8" x14ac:dyDescent="0.25">
      <c r="B531" s="337"/>
      <c r="C531" s="337"/>
      <c r="D531" s="337"/>
      <c r="E531" s="337"/>
      <c r="F531" s="337"/>
      <c r="G531" s="338"/>
      <c r="H531" s="337"/>
    </row>
    <row r="532" spans="2:8" x14ac:dyDescent="0.25">
      <c r="B532" s="337"/>
      <c r="C532" s="337"/>
      <c r="D532" s="337"/>
      <c r="E532" s="338"/>
      <c r="F532" s="338"/>
      <c r="G532" s="338"/>
      <c r="H532" s="337"/>
    </row>
    <row r="533" spans="2:8" x14ac:dyDescent="0.25">
      <c r="B533" s="337"/>
      <c r="C533" s="337"/>
      <c r="D533" s="337"/>
      <c r="E533" s="337"/>
      <c r="F533" s="337"/>
      <c r="G533" s="338"/>
      <c r="H533" s="337"/>
    </row>
    <row r="534" spans="2:8" x14ac:dyDescent="0.25">
      <c r="B534" s="337"/>
      <c r="C534" s="337"/>
      <c r="D534" s="337"/>
      <c r="E534" s="337"/>
      <c r="F534" s="337"/>
      <c r="G534" s="337"/>
      <c r="H534" s="337"/>
    </row>
    <row r="535" spans="2:8" x14ac:dyDescent="0.25">
      <c r="B535" s="337"/>
      <c r="C535" s="337"/>
      <c r="D535" s="337"/>
      <c r="E535" s="337"/>
      <c r="F535" s="337"/>
      <c r="G535" s="337"/>
      <c r="H535" s="337"/>
    </row>
    <row r="536" spans="2:8" x14ac:dyDescent="0.25">
      <c r="B536" s="337"/>
      <c r="C536" s="337"/>
      <c r="D536" s="337"/>
      <c r="E536" s="337"/>
      <c r="F536" s="337"/>
      <c r="G536" s="338"/>
      <c r="H536" s="337"/>
    </row>
    <row r="537" spans="2:8" x14ac:dyDescent="0.25">
      <c r="B537" s="337"/>
      <c r="C537" s="337"/>
      <c r="D537" s="337"/>
      <c r="E537" s="337"/>
      <c r="F537" s="337"/>
      <c r="G537" s="337"/>
      <c r="H537" s="337"/>
    </row>
    <row r="538" spans="2:8" x14ac:dyDescent="0.25">
      <c r="B538" s="337"/>
      <c r="C538" s="337"/>
      <c r="D538" s="337"/>
      <c r="E538" s="337"/>
      <c r="F538" s="337"/>
      <c r="G538" s="337"/>
      <c r="H538" s="337"/>
    </row>
    <row r="575" spans="1:8" x14ac:dyDescent="0.25">
      <c r="A575" s="339"/>
      <c r="B575" s="340"/>
      <c r="C575" s="340"/>
      <c r="D575" s="341"/>
      <c r="E575" s="342"/>
      <c r="F575" s="343"/>
      <c r="G575" s="341"/>
      <c r="H575" s="194"/>
    </row>
    <row r="576" spans="1:8" x14ac:dyDescent="0.25">
      <c r="A576" s="339"/>
      <c r="B576" s="340"/>
      <c r="C576" s="340"/>
      <c r="D576" s="341"/>
      <c r="E576" s="342"/>
      <c r="F576" s="343"/>
      <c r="G576" s="341"/>
      <c r="H576" s="194"/>
    </row>
    <row r="577" spans="1:8" x14ac:dyDescent="0.25">
      <c r="A577" s="339"/>
      <c r="B577" s="340"/>
      <c r="C577" s="340"/>
      <c r="D577" s="341"/>
      <c r="E577" s="342"/>
      <c r="F577" s="343"/>
      <c r="G577" s="341"/>
      <c r="H577" s="194"/>
    </row>
    <row r="578" spans="1:8" x14ac:dyDescent="0.25">
      <c r="A578" s="339"/>
      <c r="B578" s="340"/>
      <c r="C578" s="340"/>
      <c r="D578" s="341"/>
      <c r="E578" s="342"/>
      <c r="F578" s="343"/>
      <c r="G578" s="341"/>
      <c r="H578" s="194"/>
    </row>
    <row r="579" spans="1:8" x14ac:dyDescent="0.25">
      <c r="A579" s="339"/>
      <c r="B579" s="340"/>
      <c r="C579" s="340"/>
      <c r="D579" s="341"/>
      <c r="E579" s="342"/>
      <c r="F579" s="343"/>
      <c r="G579" s="341"/>
      <c r="H579" s="194"/>
    </row>
    <row r="580" spans="1:8" x14ac:dyDescent="0.25">
      <c r="A580" s="339"/>
      <c r="B580" s="340"/>
      <c r="C580" s="340"/>
      <c r="D580" s="341"/>
      <c r="E580" s="342"/>
      <c r="F580" s="343"/>
      <c r="G580" s="341"/>
      <c r="H580" s="194"/>
    </row>
    <row r="581" spans="1:8" x14ac:dyDescent="0.25">
      <c r="A581" s="339"/>
      <c r="B581" s="340"/>
      <c r="C581" s="340"/>
      <c r="D581" s="341"/>
      <c r="E581" s="342"/>
      <c r="F581" s="343"/>
      <c r="G581" s="341"/>
      <c r="H581" s="194"/>
    </row>
    <row r="582" spans="1:8" x14ac:dyDescent="0.25">
      <c r="A582" s="339"/>
      <c r="B582" s="340"/>
      <c r="C582" s="340"/>
      <c r="D582" s="341"/>
      <c r="E582" s="342"/>
      <c r="F582" s="343"/>
      <c r="G582" s="341"/>
      <c r="H582" s="194"/>
    </row>
    <row r="583" spans="1:8" x14ac:dyDescent="0.25">
      <c r="A583" s="339"/>
      <c r="B583" s="340"/>
      <c r="C583" s="340"/>
      <c r="D583" s="341"/>
      <c r="E583" s="342"/>
      <c r="F583" s="343"/>
      <c r="G583" s="341"/>
      <c r="H583" s="194"/>
    </row>
    <row r="584" spans="1:8" x14ac:dyDescent="0.25">
      <c r="A584" s="339"/>
      <c r="B584" s="340"/>
      <c r="C584" s="340"/>
      <c r="D584" s="341"/>
      <c r="E584" s="342"/>
      <c r="F584" s="343"/>
      <c r="G584" s="341"/>
      <c r="H584" s="194"/>
    </row>
    <row r="585" spans="1:8" x14ac:dyDescent="0.25">
      <c r="A585" s="339"/>
      <c r="B585" s="340"/>
      <c r="C585" s="340"/>
      <c r="D585" s="341"/>
      <c r="E585" s="342"/>
      <c r="F585" s="343"/>
      <c r="G585" s="341"/>
      <c r="H585" s="194"/>
    </row>
    <row r="586" spans="1:8" x14ac:dyDescent="0.25">
      <c r="A586" s="339"/>
      <c r="B586" s="340"/>
      <c r="C586" s="340"/>
      <c r="D586" s="341"/>
      <c r="E586" s="342"/>
      <c r="F586" s="343"/>
      <c r="G586" s="341"/>
      <c r="H586" s="194"/>
    </row>
    <row r="587" spans="1:8" x14ac:dyDescent="0.25">
      <c r="A587" s="339"/>
      <c r="B587" s="340"/>
      <c r="C587" s="340"/>
      <c r="D587" s="341"/>
      <c r="E587" s="342"/>
      <c r="F587" s="343"/>
      <c r="G587" s="341"/>
      <c r="H587" s="194"/>
    </row>
    <row r="588" spans="1:8" x14ac:dyDescent="0.25">
      <c r="A588" s="339"/>
      <c r="B588" s="340"/>
      <c r="C588" s="340"/>
      <c r="D588" s="341"/>
      <c r="E588" s="342"/>
      <c r="F588" s="343"/>
      <c r="G588" s="341"/>
      <c r="H588" s="194"/>
    </row>
    <row r="589" spans="1:8" x14ac:dyDescent="0.25">
      <c r="A589" s="339"/>
      <c r="B589" s="340"/>
      <c r="C589" s="340"/>
      <c r="D589" s="341"/>
      <c r="E589" s="342"/>
      <c r="F589" s="343"/>
      <c r="G589" s="341"/>
      <c r="H589" s="194"/>
    </row>
    <row r="590" spans="1:8" x14ac:dyDescent="0.25">
      <c r="A590" s="339"/>
      <c r="B590" s="340"/>
      <c r="C590" s="340"/>
      <c r="D590" s="341"/>
      <c r="E590" s="342"/>
      <c r="F590" s="343"/>
      <c r="G590" s="341"/>
      <c r="H590" s="194"/>
    </row>
    <row r="591" spans="1:8" x14ac:dyDescent="0.25">
      <c r="A591" s="339"/>
      <c r="B591" s="340"/>
      <c r="C591" s="340"/>
      <c r="D591" s="341"/>
      <c r="E591" s="342"/>
      <c r="F591" s="343"/>
      <c r="G591" s="341"/>
      <c r="H591" s="194"/>
    </row>
    <row r="592" spans="1:8" x14ac:dyDescent="0.25">
      <c r="A592" s="339"/>
      <c r="B592" s="340"/>
      <c r="C592" s="340"/>
      <c r="D592" s="341"/>
      <c r="E592" s="342"/>
      <c r="F592" s="343"/>
      <c r="G592" s="341"/>
      <c r="H592" s="194"/>
    </row>
    <row r="593" spans="1:8" x14ac:dyDescent="0.25">
      <c r="A593" s="339"/>
      <c r="B593" s="340"/>
      <c r="C593" s="340"/>
      <c r="D593" s="341"/>
      <c r="E593" s="342"/>
      <c r="F593" s="343"/>
      <c r="G593" s="341"/>
      <c r="H593" s="194"/>
    </row>
    <row r="594" spans="1:8" x14ac:dyDescent="0.25">
      <c r="A594" s="339"/>
      <c r="B594" s="340"/>
      <c r="C594" s="340"/>
      <c r="D594" s="341"/>
      <c r="E594" s="342"/>
      <c r="F594" s="343"/>
      <c r="G594" s="341"/>
      <c r="H594" s="194"/>
    </row>
    <row r="595" spans="1:8" x14ac:dyDescent="0.25">
      <c r="A595" s="339"/>
      <c r="B595" s="340"/>
      <c r="C595" s="340"/>
      <c r="D595" s="341"/>
      <c r="E595" s="342"/>
      <c r="F595" s="343"/>
      <c r="G595" s="341"/>
      <c r="H595" s="194"/>
    </row>
    <row r="596" spans="1:8" x14ac:dyDescent="0.25">
      <c r="A596" s="339"/>
      <c r="B596" s="340"/>
      <c r="C596" s="340"/>
      <c r="D596" s="341"/>
      <c r="E596" s="342"/>
      <c r="F596" s="343"/>
      <c r="G596" s="341"/>
      <c r="H596" s="194"/>
    </row>
    <row r="597" spans="1:8" x14ac:dyDescent="0.25">
      <c r="A597" s="339"/>
      <c r="B597" s="340"/>
      <c r="C597" s="340"/>
      <c r="D597" s="341"/>
      <c r="E597" s="342"/>
      <c r="F597" s="343"/>
      <c r="G597" s="341"/>
      <c r="H597" s="194"/>
    </row>
    <row r="598" spans="1:8" x14ac:dyDescent="0.25">
      <c r="A598" s="339"/>
      <c r="B598" s="340"/>
      <c r="C598" s="340"/>
      <c r="D598" s="341"/>
      <c r="E598" s="342"/>
      <c r="F598" s="343"/>
      <c r="G598" s="341"/>
      <c r="H598" s="194"/>
    </row>
    <row r="599" spans="1:8" x14ac:dyDescent="0.25">
      <c r="A599" s="339"/>
      <c r="B599" s="340"/>
      <c r="C599" s="340"/>
      <c r="D599" s="341"/>
      <c r="E599" s="342"/>
      <c r="F599" s="343"/>
      <c r="G599" s="341"/>
      <c r="H599" s="194"/>
    </row>
    <row r="600" spans="1:8" x14ac:dyDescent="0.25">
      <c r="A600" s="339"/>
      <c r="B600" s="340"/>
      <c r="C600" s="340"/>
      <c r="D600" s="341"/>
      <c r="E600" s="342"/>
      <c r="F600" s="343"/>
      <c r="G600" s="341"/>
      <c r="H600" s="194"/>
    </row>
    <row r="601" spans="1:8" x14ac:dyDescent="0.25">
      <c r="A601" s="339"/>
      <c r="B601" s="340"/>
      <c r="C601" s="340"/>
      <c r="D601" s="341"/>
      <c r="E601" s="342"/>
      <c r="F601" s="343"/>
      <c r="G601" s="341"/>
      <c r="H601" s="194"/>
    </row>
    <row r="602" spans="1:8" x14ac:dyDescent="0.25">
      <c r="A602" s="339"/>
      <c r="B602" s="340"/>
      <c r="C602" s="340"/>
      <c r="D602" s="341"/>
      <c r="E602" s="342"/>
      <c r="F602" s="343"/>
      <c r="G602" s="341"/>
      <c r="H602" s="194"/>
    </row>
    <row r="603" spans="1:8" x14ac:dyDescent="0.25">
      <c r="A603" s="339"/>
      <c r="B603" s="340"/>
      <c r="C603" s="340"/>
      <c r="D603" s="341"/>
      <c r="E603" s="342"/>
      <c r="F603" s="343"/>
      <c r="G603" s="341"/>
      <c r="H603" s="194"/>
    </row>
    <row r="604" spans="1:8" x14ac:dyDescent="0.25">
      <c r="A604" s="339"/>
      <c r="B604" s="340"/>
      <c r="C604" s="340"/>
      <c r="D604" s="341"/>
      <c r="E604" s="342"/>
      <c r="F604" s="343"/>
      <c r="G604" s="341"/>
      <c r="H604" s="194"/>
    </row>
    <row r="605" spans="1:8" x14ac:dyDescent="0.25">
      <c r="A605" s="339"/>
      <c r="B605" s="340"/>
      <c r="C605" s="340"/>
      <c r="D605" s="341"/>
      <c r="E605" s="342"/>
      <c r="F605" s="343"/>
      <c r="G605" s="341"/>
      <c r="H605" s="194"/>
    </row>
    <row r="606" spans="1:8" x14ac:dyDescent="0.25">
      <c r="A606" s="339"/>
      <c r="B606" s="340"/>
      <c r="C606" s="340"/>
      <c r="D606" s="341"/>
      <c r="E606" s="342"/>
      <c r="F606" s="343"/>
      <c r="G606" s="341"/>
      <c r="H606" s="194"/>
    </row>
    <row r="607" spans="1:8" x14ac:dyDescent="0.25">
      <c r="A607" s="339"/>
      <c r="B607" s="340"/>
      <c r="C607" s="340"/>
      <c r="D607" s="341"/>
      <c r="E607" s="342"/>
      <c r="F607" s="343"/>
      <c r="G607" s="341"/>
      <c r="H607" s="194"/>
    </row>
    <row r="608" spans="1:8" x14ac:dyDescent="0.25">
      <c r="A608" s="339"/>
      <c r="B608" s="340"/>
      <c r="C608" s="340"/>
      <c r="D608" s="341"/>
      <c r="E608" s="342"/>
      <c r="F608" s="343"/>
      <c r="G608" s="341"/>
      <c r="H608" s="194"/>
    </row>
    <row r="609" spans="1:8" x14ac:dyDescent="0.25">
      <c r="A609" s="339"/>
      <c r="B609" s="340"/>
      <c r="C609" s="340"/>
      <c r="D609" s="341"/>
      <c r="E609" s="342"/>
      <c r="F609" s="343"/>
      <c r="G609" s="341"/>
      <c r="H609" s="194"/>
    </row>
    <row r="610" spans="1:8" x14ac:dyDescent="0.25">
      <c r="A610" s="339"/>
      <c r="B610" s="340"/>
      <c r="C610" s="340"/>
      <c r="D610" s="341"/>
      <c r="E610" s="342"/>
      <c r="F610" s="343"/>
      <c r="G610" s="341"/>
      <c r="H610" s="194"/>
    </row>
    <row r="611" spans="1:8" x14ac:dyDescent="0.25">
      <c r="A611" s="339"/>
      <c r="B611" s="340"/>
      <c r="C611" s="340"/>
      <c r="D611" s="341"/>
      <c r="E611" s="342"/>
      <c r="F611" s="343"/>
      <c r="G611" s="341"/>
      <c r="H611" s="194"/>
    </row>
    <row r="612" spans="1:8" x14ac:dyDescent="0.25">
      <c r="A612" s="339"/>
      <c r="B612" s="340"/>
      <c r="C612" s="340"/>
      <c r="D612" s="341"/>
      <c r="E612" s="342"/>
      <c r="F612" s="343"/>
      <c r="G612" s="341"/>
      <c r="H612" s="194"/>
    </row>
    <row r="613" spans="1:8" x14ac:dyDescent="0.25">
      <c r="A613" s="339"/>
      <c r="B613" s="340"/>
      <c r="C613" s="340"/>
      <c r="D613" s="341"/>
      <c r="E613" s="342"/>
      <c r="F613" s="343"/>
      <c r="G613" s="341"/>
      <c r="H613" s="194"/>
    </row>
    <row r="614" spans="1:8" x14ac:dyDescent="0.25">
      <c r="A614" s="339"/>
      <c r="B614" s="340"/>
      <c r="C614" s="340"/>
      <c r="D614" s="341"/>
      <c r="E614" s="342"/>
      <c r="F614" s="343"/>
      <c r="G614" s="341"/>
      <c r="H614" s="194"/>
    </row>
    <row r="615" spans="1:8" x14ac:dyDescent="0.25">
      <c r="A615" s="339"/>
      <c r="B615" s="340"/>
      <c r="C615" s="340"/>
      <c r="D615" s="341"/>
      <c r="E615" s="342"/>
      <c r="F615" s="343"/>
      <c r="G615" s="341"/>
      <c r="H615" s="194"/>
    </row>
    <row r="616" spans="1:8" x14ac:dyDescent="0.25">
      <c r="A616" s="339"/>
      <c r="B616" s="340"/>
      <c r="C616" s="340"/>
      <c r="D616" s="341"/>
      <c r="E616" s="342"/>
      <c r="F616" s="343"/>
      <c r="G616" s="341"/>
      <c r="H616" s="194"/>
    </row>
    <row r="617" spans="1:8" x14ac:dyDescent="0.25">
      <c r="A617" s="339"/>
      <c r="B617" s="340"/>
      <c r="C617" s="340"/>
      <c r="D617" s="341"/>
      <c r="E617" s="342"/>
      <c r="F617" s="343"/>
      <c r="G617" s="341"/>
      <c r="H617" s="194"/>
    </row>
    <row r="618" spans="1:8" x14ac:dyDescent="0.25">
      <c r="A618" s="339"/>
      <c r="B618" s="340"/>
      <c r="C618" s="340"/>
      <c r="D618" s="341"/>
      <c r="E618" s="342"/>
      <c r="F618" s="343"/>
      <c r="G618" s="341"/>
      <c r="H618" s="194"/>
    </row>
    <row r="619" spans="1:8" x14ac:dyDescent="0.25">
      <c r="A619" s="339"/>
      <c r="B619" s="340"/>
      <c r="C619" s="340"/>
      <c r="D619" s="341"/>
      <c r="E619" s="342"/>
      <c r="F619" s="343"/>
      <c r="G619" s="341"/>
      <c r="H619" s="194"/>
    </row>
    <row r="620" spans="1:8" x14ac:dyDescent="0.25">
      <c r="A620" s="339"/>
      <c r="B620" s="340"/>
      <c r="C620" s="340"/>
      <c r="D620" s="341"/>
      <c r="E620" s="342"/>
      <c r="F620" s="343"/>
      <c r="G620" s="341"/>
      <c r="H620" s="194"/>
    </row>
    <row r="621" spans="1:8" x14ac:dyDescent="0.25">
      <c r="A621" s="339"/>
      <c r="B621" s="340"/>
      <c r="C621" s="340"/>
      <c r="D621" s="341"/>
      <c r="E621" s="342"/>
      <c r="F621" s="343"/>
      <c r="G621" s="341"/>
      <c r="H621" s="194"/>
    </row>
    <row r="622" spans="1:8" x14ac:dyDescent="0.25">
      <c r="A622" s="339"/>
      <c r="B622" s="340"/>
      <c r="C622" s="340"/>
      <c r="D622" s="341"/>
      <c r="E622" s="342"/>
      <c r="F622" s="343"/>
      <c r="G622" s="341"/>
      <c r="H622" s="194"/>
    </row>
    <row r="623" spans="1:8" x14ac:dyDescent="0.25">
      <c r="A623" s="339"/>
      <c r="B623" s="340"/>
      <c r="C623" s="340"/>
      <c r="D623" s="341"/>
      <c r="E623" s="342"/>
      <c r="F623" s="343"/>
      <c r="G623" s="341"/>
      <c r="H623" s="194"/>
    </row>
    <row r="624" spans="1:8" x14ac:dyDescent="0.25">
      <c r="A624" s="339"/>
      <c r="B624" s="340"/>
      <c r="C624" s="340"/>
      <c r="D624" s="341"/>
      <c r="E624" s="342"/>
      <c r="F624" s="343"/>
      <c r="G624" s="341"/>
      <c r="H624" s="194"/>
    </row>
    <row r="625" spans="1:8" x14ac:dyDescent="0.25">
      <c r="A625" s="339"/>
      <c r="B625" s="340"/>
      <c r="C625" s="340"/>
      <c r="D625" s="341"/>
      <c r="E625" s="342"/>
      <c r="F625" s="343"/>
      <c r="G625" s="341"/>
      <c r="H625" s="194"/>
    </row>
    <row r="626" spans="1:8" x14ac:dyDescent="0.25">
      <c r="A626" s="339"/>
      <c r="B626" s="340"/>
      <c r="C626" s="340"/>
      <c r="D626" s="341"/>
      <c r="E626" s="342"/>
      <c r="F626" s="343"/>
      <c r="G626" s="341"/>
      <c r="H626" s="194"/>
    </row>
    <row r="627" spans="1:8" x14ac:dyDescent="0.25">
      <c r="A627" s="339"/>
      <c r="B627" s="340"/>
      <c r="C627" s="340"/>
      <c r="D627" s="341"/>
      <c r="E627" s="342"/>
      <c r="F627" s="343"/>
      <c r="G627" s="341"/>
      <c r="H627" s="194"/>
    </row>
    <row r="628" spans="1:8" x14ac:dyDescent="0.25">
      <c r="A628" s="339"/>
      <c r="B628" s="340"/>
      <c r="C628" s="340"/>
      <c r="D628" s="341"/>
      <c r="E628" s="342"/>
      <c r="F628" s="343"/>
      <c r="G628" s="341"/>
      <c r="H628" s="194"/>
    </row>
    <row r="629" spans="1:8" x14ac:dyDescent="0.25">
      <c r="A629" s="339"/>
      <c r="B629" s="340"/>
      <c r="C629" s="340"/>
      <c r="D629" s="341"/>
      <c r="E629" s="342"/>
      <c r="F629" s="343"/>
      <c r="G629" s="341"/>
      <c r="H629" s="194"/>
    </row>
    <row r="630" spans="1:8" x14ac:dyDescent="0.25">
      <c r="A630" s="339"/>
      <c r="B630" s="340"/>
      <c r="C630" s="340"/>
      <c r="D630" s="341"/>
      <c r="E630" s="342"/>
      <c r="F630" s="343"/>
      <c r="G630" s="341"/>
      <c r="H630" s="194"/>
    </row>
    <row r="631" spans="1:8" x14ac:dyDescent="0.25">
      <c r="A631" s="339"/>
      <c r="B631" s="340"/>
      <c r="C631" s="340"/>
      <c r="D631" s="341"/>
      <c r="E631" s="342"/>
      <c r="F631" s="343"/>
      <c r="G631" s="341"/>
      <c r="H631" s="194"/>
    </row>
    <row r="632" spans="1:8" x14ac:dyDescent="0.25">
      <c r="A632" s="339"/>
      <c r="B632" s="340"/>
      <c r="C632" s="340"/>
      <c r="D632" s="341"/>
      <c r="E632" s="342"/>
      <c r="F632" s="343"/>
      <c r="G632" s="341"/>
      <c r="H632" s="194"/>
    </row>
    <row r="633" spans="1:8" x14ac:dyDescent="0.25">
      <c r="A633" s="339"/>
      <c r="B633" s="340"/>
      <c r="C633" s="340"/>
      <c r="D633" s="341"/>
      <c r="E633" s="342"/>
      <c r="F633" s="343"/>
      <c r="G633" s="341"/>
      <c r="H633" s="194"/>
    </row>
    <row r="634" spans="1:8" x14ac:dyDescent="0.25">
      <c r="A634" s="339"/>
      <c r="B634" s="340"/>
      <c r="C634" s="340"/>
      <c r="D634" s="341"/>
      <c r="E634" s="342"/>
      <c r="F634" s="343"/>
      <c r="G634" s="341"/>
      <c r="H634" s="194"/>
    </row>
    <row r="635" spans="1:8" x14ac:dyDescent="0.25">
      <c r="A635" s="339"/>
      <c r="B635" s="340"/>
      <c r="C635" s="340"/>
      <c r="D635" s="341"/>
      <c r="E635" s="342"/>
      <c r="F635" s="343"/>
      <c r="G635" s="341"/>
      <c r="H635" s="194"/>
    </row>
    <row r="636" spans="1:8" x14ac:dyDescent="0.25">
      <c r="A636" s="339"/>
      <c r="B636" s="340"/>
      <c r="C636" s="340"/>
      <c r="D636" s="341"/>
      <c r="E636" s="342"/>
      <c r="F636" s="343"/>
      <c r="G636" s="341"/>
      <c r="H636" s="194"/>
    </row>
    <row r="637" spans="1:8" x14ac:dyDescent="0.25">
      <c r="A637" s="339"/>
      <c r="B637" s="340"/>
      <c r="C637" s="340"/>
      <c r="D637" s="341"/>
      <c r="E637" s="342"/>
      <c r="F637" s="343"/>
      <c r="G637" s="341"/>
      <c r="H637" s="194"/>
    </row>
    <row r="638" spans="1:8" x14ac:dyDescent="0.25">
      <c r="A638" s="339"/>
      <c r="B638" s="340"/>
      <c r="C638" s="340"/>
      <c r="D638" s="341"/>
      <c r="E638" s="342"/>
      <c r="F638" s="343"/>
      <c r="G638" s="341"/>
      <c r="H638" s="194"/>
    </row>
    <row r="639" spans="1:8" x14ac:dyDescent="0.25">
      <c r="A639" s="339"/>
      <c r="B639" s="340"/>
      <c r="C639" s="340"/>
      <c r="D639" s="341"/>
      <c r="E639" s="342"/>
      <c r="F639" s="343"/>
      <c r="G639" s="341"/>
      <c r="H639" s="194"/>
    </row>
    <row r="640" spans="1:8" x14ac:dyDescent="0.25">
      <c r="A640" s="339"/>
      <c r="B640" s="340"/>
      <c r="C640" s="340"/>
      <c r="D640" s="341"/>
      <c r="E640" s="342"/>
      <c r="F640" s="343"/>
      <c r="G640" s="341"/>
      <c r="H640" s="194"/>
    </row>
    <row r="641" spans="1:8" x14ac:dyDescent="0.25">
      <c r="A641" s="339"/>
      <c r="B641" s="340"/>
      <c r="C641" s="340"/>
      <c r="D641" s="341"/>
      <c r="E641" s="342"/>
      <c r="F641" s="343"/>
      <c r="G641" s="341"/>
      <c r="H641" s="194"/>
    </row>
    <row r="642" spans="1:8" x14ac:dyDescent="0.25">
      <c r="A642" s="339"/>
      <c r="B642" s="340"/>
      <c r="C642" s="340"/>
      <c r="D642" s="341"/>
      <c r="E642" s="342"/>
      <c r="F642" s="343"/>
      <c r="G642" s="341"/>
      <c r="H642" s="194"/>
    </row>
    <row r="643" spans="1:8" x14ac:dyDescent="0.25">
      <c r="A643" s="339"/>
      <c r="B643" s="340"/>
      <c r="C643" s="340"/>
      <c r="D643" s="341"/>
      <c r="E643" s="342"/>
      <c r="F643" s="343"/>
      <c r="G643" s="341"/>
      <c r="H643" s="194"/>
    </row>
    <row r="644" spans="1:8" x14ac:dyDescent="0.25">
      <c r="A644" s="339"/>
      <c r="B644" s="340"/>
      <c r="C644" s="340"/>
      <c r="D644" s="341"/>
      <c r="E644" s="342"/>
      <c r="F644" s="343"/>
      <c r="G644" s="341"/>
      <c r="H644" s="194"/>
    </row>
    <row r="645" spans="1:8" x14ac:dyDescent="0.25">
      <c r="A645" s="339"/>
      <c r="B645" s="340"/>
      <c r="C645" s="340"/>
      <c r="D645" s="341"/>
      <c r="E645" s="342"/>
      <c r="F645" s="343"/>
      <c r="G645" s="341"/>
      <c r="H645" s="194"/>
    </row>
    <row r="646" spans="1:8" x14ac:dyDescent="0.25">
      <c r="A646" s="339"/>
      <c r="B646" s="340"/>
      <c r="C646" s="340"/>
      <c r="D646" s="341"/>
      <c r="E646" s="342"/>
      <c r="F646" s="343"/>
      <c r="G646" s="341"/>
      <c r="H646" s="194"/>
    </row>
    <row r="647" spans="1:8" x14ac:dyDescent="0.25">
      <c r="A647" s="339"/>
      <c r="B647" s="340"/>
      <c r="C647" s="340"/>
      <c r="D647" s="341"/>
      <c r="E647" s="342"/>
      <c r="F647" s="343"/>
      <c r="G647" s="341"/>
      <c r="H647" s="194"/>
    </row>
    <row r="648" spans="1:8" x14ac:dyDescent="0.25">
      <c r="A648" s="339"/>
      <c r="B648" s="340"/>
      <c r="C648" s="340"/>
      <c r="D648" s="341"/>
      <c r="E648" s="342"/>
      <c r="F648" s="343"/>
      <c r="G648" s="341"/>
      <c r="H648" s="194"/>
    </row>
    <row r="649" spans="1:8" x14ac:dyDescent="0.25">
      <c r="A649" s="339"/>
      <c r="B649" s="340"/>
      <c r="C649" s="340"/>
      <c r="D649" s="341"/>
      <c r="E649" s="342"/>
      <c r="F649" s="343"/>
      <c r="G649" s="341"/>
      <c r="H649" s="194"/>
    </row>
    <row r="650" spans="1:8" x14ac:dyDescent="0.25">
      <c r="A650" s="339"/>
      <c r="B650" s="340"/>
      <c r="C650" s="340"/>
      <c r="D650" s="341"/>
      <c r="E650" s="342"/>
      <c r="F650" s="343"/>
      <c r="G650" s="341"/>
      <c r="H650" s="194"/>
    </row>
    <row r="651" spans="1:8" x14ac:dyDescent="0.25">
      <c r="A651" s="339"/>
      <c r="B651" s="340"/>
      <c r="C651" s="340"/>
      <c r="D651" s="341"/>
      <c r="E651" s="342"/>
      <c r="F651" s="343"/>
      <c r="G651" s="341"/>
      <c r="H651" s="194"/>
    </row>
    <row r="652" spans="1:8" x14ac:dyDescent="0.25">
      <c r="A652" s="339"/>
      <c r="B652" s="340"/>
      <c r="C652" s="340"/>
      <c r="D652" s="341"/>
      <c r="E652" s="342"/>
      <c r="F652" s="343"/>
      <c r="G652" s="341"/>
      <c r="H652" s="194"/>
    </row>
    <row r="653" spans="1:8" x14ac:dyDescent="0.25">
      <c r="A653" s="339"/>
      <c r="B653" s="340"/>
      <c r="C653" s="340"/>
      <c r="D653" s="341"/>
      <c r="E653" s="342"/>
      <c r="F653" s="343"/>
      <c r="G653" s="341"/>
      <c r="H653" s="194"/>
    </row>
    <row r="654" spans="1:8" x14ac:dyDescent="0.25">
      <c r="A654" s="339"/>
      <c r="B654" s="340"/>
      <c r="C654" s="340"/>
      <c r="D654" s="341"/>
      <c r="E654" s="342"/>
      <c r="F654" s="343"/>
      <c r="G654" s="341"/>
      <c r="H654" s="194"/>
    </row>
    <row r="655" spans="1:8" x14ac:dyDescent="0.25">
      <c r="A655" s="339"/>
      <c r="B655" s="340"/>
      <c r="C655" s="340"/>
      <c r="D655" s="341"/>
      <c r="E655" s="342"/>
      <c r="F655" s="343"/>
      <c r="G655" s="341"/>
      <c r="H655" s="194"/>
    </row>
    <row r="656" spans="1:8" x14ac:dyDescent="0.25">
      <c r="A656" s="339"/>
      <c r="B656" s="340"/>
      <c r="C656" s="340"/>
      <c r="D656" s="341"/>
      <c r="E656" s="342"/>
      <c r="F656" s="343"/>
      <c r="G656" s="341"/>
      <c r="H656" s="194"/>
    </row>
    <row r="657" spans="1:8" x14ac:dyDescent="0.25">
      <c r="A657" s="339"/>
      <c r="B657" s="340"/>
      <c r="C657" s="340"/>
      <c r="D657" s="341"/>
      <c r="E657" s="342"/>
      <c r="F657" s="343"/>
      <c r="G657" s="341"/>
      <c r="H657" s="194"/>
    </row>
    <row r="658" spans="1:8" x14ac:dyDescent="0.25">
      <c r="A658" s="339"/>
      <c r="B658" s="340"/>
      <c r="C658" s="340"/>
      <c r="D658" s="341"/>
      <c r="E658" s="342"/>
      <c r="F658" s="343"/>
      <c r="G658" s="341"/>
      <c r="H658" s="194"/>
    </row>
    <row r="659" spans="1:8" x14ac:dyDescent="0.25">
      <c r="A659" s="339"/>
      <c r="B659" s="340"/>
      <c r="C659" s="340"/>
      <c r="D659" s="341"/>
      <c r="E659" s="342"/>
      <c r="F659" s="343"/>
      <c r="G659" s="341"/>
      <c r="H659" s="194"/>
    </row>
    <row r="660" spans="1:8" x14ac:dyDescent="0.25">
      <c r="A660" s="339"/>
      <c r="B660" s="340"/>
      <c r="C660" s="340"/>
      <c r="D660" s="341"/>
      <c r="E660" s="342"/>
      <c r="F660" s="343"/>
      <c r="G660" s="341"/>
      <c r="H660" s="194"/>
    </row>
    <row r="661" spans="1:8" x14ac:dyDescent="0.25">
      <c r="A661" s="339"/>
      <c r="B661" s="340"/>
      <c r="C661" s="340"/>
      <c r="D661" s="341"/>
      <c r="E661" s="342"/>
      <c r="F661" s="343"/>
      <c r="G661" s="341"/>
      <c r="H661" s="194"/>
    </row>
    <row r="662" spans="1:8" x14ac:dyDescent="0.25">
      <c r="A662" s="339"/>
      <c r="B662" s="340"/>
      <c r="C662" s="340"/>
      <c r="D662" s="341"/>
      <c r="E662" s="342"/>
      <c r="F662" s="343"/>
      <c r="G662" s="341"/>
      <c r="H662" s="194"/>
    </row>
    <row r="663" spans="1:8" x14ac:dyDescent="0.25">
      <c r="A663" s="339"/>
      <c r="B663" s="340"/>
      <c r="C663" s="340"/>
      <c r="D663" s="341"/>
      <c r="E663" s="342"/>
      <c r="F663" s="343"/>
      <c r="G663" s="341"/>
      <c r="H663" s="194"/>
    </row>
    <row r="664" spans="1:8" x14ac:dyDescent="0.25">
      <c r="A664" s="339"/>
      <c r="B664" s="340"/>
      <c r="C664" s="340"/>
      <c r="D664" s="341"/>
      <c r="E664" s="342"/>
      <c r="F664" s="343"/>
      <c r="G664" s="341"/>
      <c r="H664" s="194"/>
    </row>
    <row r="665" spans="1:8" x14ac:dyDescent="0.25">
      <c r="A665" s="339"/>
      <c r="B665" s="340"/>
      <c r="C665" s="340"/>
      <c r="D665" s="341"/>
      <c r="E665" s="342"/>
      <c r="F665" s="343"/>
      <c r="G665" s="341"/>
      <c r="H665" s="194"/>
    </row>
    <row r="666" spans="1:8" x14ac:dyDescent="0.25">
      <c r="A666" s="339"/>
      <c r="B666" s="340"/>
      <c r="C666" s="340"/>
      <c r="D666" s="341"/>
      <c r="E666" s="342"/>
      <c r="F666" s="343"/>
      <c r="G666" s="341"/>
      <c r="H666" s="194"/>
    </row>
    <row r="667" spans="1:8" x14ac:dyDescent="0.25">
      <c r="A667" s="339"/>
      <c r="B667" s="340"/>
      <c r="C667" s="340"/>
      <c r="D667" s="341"/>
      <c r="E667" s="342"/>
      <c r="F667" s="343"/>
      <c r="G667" s="341"/>
      <c r="H667" s="194"/>
    </row>
    <row r="668" spans="1:8" x14ac:dyDescent="0.25">
      <c r="A668" s="339"/>
      <c r="B668" s="340"/>
      <c r="C668" s="340"/>
      <c r="D668" s="341"/>
      <c r="E668" s="342"/>
      <c r="F668" s="343"/>
      <c r="G668" s="341"/>
      <c r="H668" s="194"/>
    </row>
    <row r="669" spans="1:8" x14ac:dyDescent="0.25">
      <c r="A669" s="339"/>
      <c r="B669" s="340"/>
      <c r="C669" s="340"/>
      <c r="D669" s="341"/>
      <c r="E669" s="342"/>
      <c r="F669" s="343"/>
      <c r="G669" s="341"/>
      <c r="H669" s="194"/>
    </row>
    <row r="670" spans="1:8" x14ac:dyDescent="0.25">
      <c r="A670" s="339"/>
      <c r="B670" s="340"/>
      <c r="C670" s="340"/>
      <c r="D670" s="341"/>
      <c r="E670" s="342"/>
      <c r="F670" s="343"/>
      <c r="G670" s="341"/>
      <c r="H670" s="194"/>
    </row>
    <row r="671" spans="1:8" x14ac:dyDescent="0.25">
      <c r="A671" s="339"/>
      <c r="B671" s="340"/>
      <c r="C671" s="340"/>
      <c r="D671" s="341"/>
      <c r="E671" s="342"/>
      <c r="F671" s="343"/>
      <c r="G671" s="341"/>
      <c r="H671" s="194"/>
    </row>
    <row r="672" spans="1:8" x14ac:dyDescent="0.25">
      <c r="A672" s="339"/>
      <c r="B672" s="340"/>
      <c r="C672" s="340"/>
      <c r="D672" s="341"/>
      <c r="E672" s="342"/>
      <c r="F672" s="343"/>
      <c r="G672" s="341"/>
      <c r="H672" s="194"/>
    </row>
    <row r="673" spans="1:8" x14ac:dyDescent="0.25">
      <c r="A673" s="339"/>
      <c r="B673" s="340"/>
      <c r="C673" s="340"/>
      <c r="D673" s="341"/>
      <c r="E673" s="342"/>
      <c r="F673" s="343"/>
      <c r="G673" s="341"/>
      <c r="H673" s="194"/>
    </row>
    <row r="674" spans="1:8" x14ac:dyDescent="0.25">
      <c r="A674" s="339"/>
      <c r="B674" s="340"/>
      <c r="C674" s="340"/>
      <c r="D674" s="341"/>
      <c r="E674" s="342"/>
      <c r="F674" s="343"/>
      <c r="G674" s="341"/>
      <c r="H674" s="194"/>
    </row>
    <row r="675" spans="1:8" x14ac:dyDescent="0.25">
      <c r="A675" s="339"/>
      <c r="B675" s="340"/>
      <c r="C675" s="340"/>
      <c r="D675" s="341"/>
      <c r="E675" s="342"/>
      <c r="F675" s="343"/>
      <c r="G675" s="341"/>
      <c r="H675" s="194"/>
    </row>
    <row r="676" spans="1:8" x14ac:dyDescent="0.25">
      <c r="A676" s="339"/>
      <c r="B676" s="340"/>
      <c r="C676" s="340"/>
      <c r="D676" s="341"/>
      <c r="E676" s="342"/>
      <c r="F676" s="343"/>
      <c r="G676" s="341"/>
      <c r="H676" s="194"/>
    </row>
    <row r="677" spans="1:8" x14ac:dyDescent="0.25">
      <c r="A677" s="339"/>
      <c r="B677" s="340"/>
      <c r="C677" s="340"/>
      <c r="D677" s="341"/>
      <c r="E677" s="342"/>
      <c r="F677" s="343"/>
      <c r="G677" s="341"/>
      <c r="H677" s="194"/>
    </row>
    <row r="678" spans="1:8" x14ac:dyDescent="0.25">
      <c r="A678" s="339"/>
      <c r="B678" s="340"/>
      <c r="C678" s="340"/>
      <c r="D678" s="341"/>
      <c r="E678" s="342"/>
      <c r="F678" s="343"/>
      <c r="G678" s="341"/>
      <c r="H678" s="194"/>
    </row>
    <row r="679" spans="1:8" x14ac:dyDescent="0.25">
      <c r="A679" s="339"/>
      <c r="B679" s="340"/>
      <c r="C679" s="340"/>
      <c r="D679" s="341"/>
      <c r="E679" s="342"/>
      <c r="F679" s="343"/>
      <c r="G679" s="341"/>
      <c r="H679" s="194"/>
    </row>
    <row r="680" spans="1:8" x14ac:dyDescent="0.25">
      <c r="A680" s="339"/>
      <c r="B680" s="340"/>
      <c r="C680" s="340"/>
      <c r="D680" s="341"/>
      <c r="E680" s="342"/>
      <c r="F680" s="343"/>
      <c r="G680" s="341"/>
      <c r="H680" s="194"/>
    </row>
    <row r="681" spans="1:8" x14ac:dyDescent="0.25">
      <c r="A681" s="339"/>
      <c r="B681" s="340"/>
      <c r="C681" s="340"/>
      <c r="D681" s="341"/>
      <c r="E681" s="342"/>
      <c r="F681" s="343"/>
      <c r="G681" s="341"/>
      <c r="H681" s="194"/>
    </row>
    <row r="682" spans="1:8" x14ac:dyDescent="0.25">
      <c r="A682" s="339"/>
      <c r="B682" s="340"/>
      <c r="C682" s="340"/>
      <c r="D682" s="341"/>
      <c r="E682" s="342"/>
      <c r="F682" s="343"/>
      <c r="G682" s="341"/>
      <c r="H682" s="194"/>
    </row>
    <row r="683" spans="1:8" x14ac:dyDescent="0.25">
      <c r="A683" s="339"/>
      <c r="B683" s="340"/>
      <c r="C683" s="340"/>
      <c r="D683" s="341"/>
      <c r="E683" s="342"/>
      <c r="F683" s="343"/>
      <c r="G683" s="341"/>
      <c r="H683" s="194"/>
    </row>
    <row r="684" spans="1:8" x14ac:dyDescent="0.25">
      <c r="A684" s="339"/>
      <c r="B684" s="340"/>
      <c r="C684" s="340"/>
      <c r="D684" s="341"/>
      <c r="E684" s="342"/>
      <c r="F684" s="343"/>
      <c r="G684" s="341"/>
      <c r="H684" s="194"/>
    </row>
    <row r="685" spans="1:8" x14ac:dyDescent="0.25">
      <c r="A685" s="339"/>
      <c r="B685" s="340"/>
      <c r="C685" s="340"/>
      <c r="D685" s="341"/>
      <c r="E685" s="342"/>
      <c r="F685" s="343"/>
      <c r="G685" s="341"/>
      <c r="H685" s="194"/>
    </row>
    <row r="686" spans="1:8" x14ac:dyDescent="0.25">
      <c r="A686" s="339"/>
      <c r="B686" s="340"/>
      <c r="C686" s="340"/>
      <c r="D686" s="341"/>
      <c r="E686" s="342"/>
      <c r="F686" s="343"/>
      <c r="G686" s="341"/>
      <c r="H686" s="194"/>
    </row>
    <row r="687" spans="1:8" x14ac:dyDescent="0.25">
      <c r="A687" s="339"/>
      <c r="B687" s="340"/>
      <c r="C687" s="340"/>
      <c r="D687" s="341"/>
      <c r="E687" s="342"/>
      <c r="F687" s="343"/>
      <c r="G687" s="341"/>
      <c r="H687" s="194"/>
    </row>
    <row r="688" spans="1:8" x14ac:dyDescent="0.25">
      <c r="A688" s="339"/>
      <c r="B688" s="340"/>
      <c r="C688" s="340"/>
      <c r="D688" s="341"/>
      <c r="E688" s="342"/>
      <c r="F688" s="343"/>
      <c r="G688" s="341"/>
      <c r="H688" s="194"/>
    </row>
    <row r="689" spans="1:8" x14ac:dyDescent="0.25">
      <c r="A689" s="339"/>
      <c r="B689" s="340"/>
      <c r="C689" s="340"/>
      <c r="D689" s="341"/>
      <c r="E689" s="342"/>
      <c r="F689" s="343"/>
      <c r="G689" s="341"/>
      <c r="H689" s="194"/>
    </row>
    <row r="690" spans="1:8" x14ac:dyDescent="0.25">
      <c r="A690" s="339"/>
      <c r="B690" s="340"/>
      <c r="C690" s="340"/>
      <c r="D690" s="341"/>
      <c r="E690" s="342"/>
      <c r="F690" s="343"/>
      <c r="G690" s="341"/>
      <c r="H690" s="194"/>
    </row>
    <row r="691" spans="1:8" x14ac:dyDescent="0.25">
      <c r="A691" s="339"/>
      <c r="B691" s="340"/>
      <c r="C691" s="340"/>
      <c r="D691" s="341"/>
      <c r="E691" s="342"/>
      <c r="F691" s="343"/>
      <c r="G691" s="341"/>
      <c r="H691" s="194"/>
    </row>
    <row r="692" spans="1:8" x14ac:dyDescent="0.25">
      <c r="A692" s="339"/>
      <c r="B692" s="340"/>
      <c r="C692" s="340"/>
      <c r="D692" s="341"/>
      <c r="E692" s="342"/>
      <c r="F692" s="343"/>
      <c r="G692" s="341"/>
      <c r="H692" s="194"/>
    </row>
    <row r="693" spans="1:8" x14ac:dyDescent="0.25">
      <c r="A693" s="339"/>
      <c r="B693" s="340"/>
      <c r="C693" s="340"/>
      <c r="D693" s="341"/>
      <c r="E693" s="342"/>
      <c r="F693" s="343"/>
      <c r="G693" s="341"/>
      <c r="H693" s="194"/>
    </row>
    <row r="694" spans="1:8" x14ac:dyDescent="0.25">
      <c r="A694" s="339"/>
      <c r="B694" s="340"/>
      <c r="C694" s="340"/>
      <c r="D694" s="341"/>
      <c r="E694" s="342"/>
      <c r="F694" s="343"/>
      <c r="G694" s="341"/>
      <c r="H694" s="194"/>
    </row>
    <row r="695" spans="1:8" x14ac:dyDescent="0.25">
      <c r="A695" s="339"/>
      <c r="B695" s="340"/>
      <c r="C695" s="340"/>
      <c r="D695" s="341"/>
      <c r="E695" s="342"/>
      <c r="F695" s="343"/>
      <c r="G695" s="341"/>
      <c r="H695" s="194"/>
    </row>
    <row r="696" spans="1:8" x14ac:dyDescent="0.25">
      <c r="A696" s="339"/>
      <c r="B696" s="340"/>
      <c r="C696" s="340"/>
      <c r="D696" s="341"/>
      <c r="E696" s="342"/>
      <c r="F696" s="343"/>
      <c r="G696" s="341"/>
      <c r="H696" s="194"/>
    </row>
    <row r="697" spans="1:8" x14ac:dyDescent="0.25">
      <c r="A697" s="339"/>
      <c r="B697" s="340"/>
      <c r="C697" s="340"/>
      <c r="D697" s="341"/>
      <c r="E697" s="342"/>
      <c r="F697" s="343"/>
      <c r="G697" s="341"/>
      <c r="H697" s="194"/>
    </row>
    <row r="698" spans="1:8" x14ac:dyDescent="0.25">
      <c r="A698" s="339"/>
      <c r="B698" s="340"/>
      <c r="C698" s="340"/>
      <c r="D698" s="341"/>
      <c r="E698" s="342"/>
      <c r="F698" s="343"/>
      <c r="G698" s="341"/>
      <c r="H698" s="194"/>
    </row>
    <row r="699" spans="1:8" x14ac:dyDescent="0.25">
      <c r="A699" s="339"/>
      <c r="B699" s="340"/>
      <c r="C699" s="340"/>
      <c r="D699" s="341"/>
      <c r="E699" s="342"/>
      <c r="F699" s="343"/>
      <c r="G699" s="341"/>
      <c r="H699" s="194"/>
    </row>
    <row r="700" spans="1:8" x14ac:dyDescent="0.25">
      <c r="A700" s="339"/>
      <c r="B700" s="340"/>
      <c r="C700" s="340"/>
      <c r="D700" s="341"/>
      <c r="E700" s="342"/>
      <c r="F700" s="343"/>
      <c r="G700" s="341"/>
      <c r="H700" s="194"/>
    </row>
    <row r="701" spans="1:8" x14ac:dyDescent="0.25">
      <c r="A701" s="339"/>
      <c r="B701" s="340"/>
      <c r="C701" s="340"/>
      <c r="D701" s="341"/>
      <c r="E701" s="342"/>
      <c r="F701" s="343"/>
      <c r="G701" s="341"/>
      <c r="H701" s="194"/>
    </row>
    <row r="702" spans="1:8" x14ac:dyDescent="0.25">
      <c r="A702" s="339"/>
      <c r="B702" s="340"/>
      <c r="C702" s="340"/>
      <c r="D702" s="341"/>
      <c r="E702" s="342"/>
      <c r="F702" s="343"/>
      <c r="G702" s="341"/>
      <c r="H702" s="194"/>
    </row>
    <row r="703" spans="1:8" x14ac:dyDescent="0.25">
      <c r="A703" s="339"/>
      <c r="B703" s="340"/>
      <c r="C703" s="340"/>
      <c r="D703" s="341"/>
      <c r="E703" s="342"/>
      <c r="F703" s="343"/>
      <c r="G703" s="341"/>
      <c r="H703" s="194"/>
    </row>
    <row r="704" spans="1:8" x14ac:dyDescent="0.25">
      <c r="A704" s="339"/>
      <c r="B704" s="340"/>
      <c r="C704" s="340"/>
      <c r="D704" s="341"/>
      <c r="E704" s="342"/>
      <c r="F704" s="343"/>
      <c r="G704" s="341"/>
      <c r="H704" s="194"/>
    </row>
    <row r="705" spans="1:8" x14ac:dyDescent="0.25">
      <c r="A705" s="339"/>
      <c r="B705" s="340"/>
      <c r="C705" s="340"/>
      <c r="D705" s="341"/>
      <c r="E705" s="342"/>
      <c r="F705" s="343"/>
      <c r="G705" s="341"/>
      <c r="H705" s="194"/>
    </row>
    <row r="706" spans="1:8" x14ac:dyDescent="0.25">
      <c r="A706" s="339"/>
      <c r="B706" s="340"/>
      <c r="C706" s="340"/>
      <c r="D706" s="341"/>
      <c r="E706" s="342"/>
      <c r="F706" s="343"/>
      <c r="G706" s="341"/>
      <c r="H706" s="194"/>
    </row>
    <row r="707" spans="1:8" x14ac:dyDescent="0.25">
      <c r="A707" s="339"/>
      <c r="B707" s="340"/>
      <c r="C707" s="340"/>
      <c r="D707" s="341"/>
      <c r="E707" s="342"/>
      <c r="F707" s="343"/>
      <c r="G707" s="341"/>
      <c r="H707" s="194"/>
    </row>
    <row r="708" spans="1:8" x14ac:dyDescent="0.25">
      <c r="A708" s="339"/>
      <c r="B708" s="340"/>
      <c r="C708" s="340"/>
      <c r="D708" s="341"/>
      <c r="E708" s="342"/>
      <c r="F708" s="343"/>
      <c r="G708" s="341"/>
      <c r="H708" s="194"/>
    </row>
    <row r="709" spans="1:8" x14ac:dyDescent="0.25">
      <c r="A709" s="339"/>
      <c r="B709" s="340"/>
      <c r="C709" s="340"/>
      <c r="D709" s="341"/>
      <c r="E709" s="342"/>
      <c r="F709" s="343"/>
      <c r="G709" s="341"/>
      <c r="H709" s="194"/>
    </row>
    <row r="710" spans="1:8" x14ac:dyDescent="0.25">
      <c r="A710" s="339"/>
      <c r="B710" s="340"/>
      <c r="C710" s="340"/>
      <c r="D710" s="341"/>
      <c r="E710" s="342"/>
      <c r="F710" s="343"/>
      <c r="G710" s="341"/>
      <c r="H710" s="194"/>
    </row>
    <row r="711" spans="1:8" x14ac:dyDescent="0.25">
      <c r="A711" s="339"/>
      <c r="B711" s="340"/>
      <c r="C711" s="340"/>
      <c r="D711" s="341"/>
      <c r="E711" s="342"/>
      <c r="F711" s="343"/>
      <c r="G711" s="341"/>
      <c r="H711" s="194"/>
    </row>
    <row r="712" spans="1:8" x14ac:dyDescent="0.25">
      <c r="A712" s="339"/>
      <c r="B712" s="340"/>
      <c r="C712" s="340"/>
      <c r="D712" s="341"/>
      <c r="E712" s="342"/>
      <c r="F712" s="343"/>
      <c r="G712" s="341"/>
      <c r="H712" s="194"/>
    </row>
    <row r="713" spans="1:8" x14ac:dyDescent="0.25">
      <c r="A713" s="339"/>
      <c r="B713" s="340"/>
      <c r="C713" s="340"/>
      <c r="D713" s="341"/>
      <c r="E713" s="342"/>
      <c r="F713" s="343"/>
      <c r="G713" s="341"/>
      <c r="H713" s="194"/>
    </row>
    <row r="714" spans="1:8" x14ac:dyDescent="0.25">
      <c r="A714" s="339"/>
      <c r="B714" s="340"/>
      <c r="C714" s="340"/>
      <c r="D714" s="341"/>
      <c r="E714" s="342"/>
      <c r="F714" s="343"/>
      <c r="G714" s="341"/>
      <c r="H714" s="194"/>
    </row>
    <row r="715" spans="1:8" x14ac:dyDescent="0.25">
      <c r="A715" s="339"/>
      <c r="B715" s="340"/>
      <c r="C715" s="340"/>
      <c r="D715" s="341"/>
      <c r="E715" s="342"/>
      <c r="F715" s="343"/>
      <c r="G715" s="341"/>
      <c r="H715" s="194"/>
    </row>
    <row r="716" spans="1:8" x14ac:dyDescent="0.25">
      <c r="A716" s="339"/>
      <c r="B716" s="340"/>
      <c r="C716" s="340"/>
      <c r="D716" s="341"/>
      <c r="E716" s="342"/>
      <c r="F716" s="343"/>
      <c r="G716" s="341"/>
      <c r="H716" s="194"/>
    </row>
    <row r="717" spans="1:8" x14ac:dyDescent="0.25">
      <c r="A717" s="339"/>
      <c r="B717" s="340"/>
      <c r="C717" s="340"/>
      <c r="D717" s="341"/>
      <c r="E717" s="342"/>
      <c r="F717" s="343"/>
      <c r="G717" s="341"/>
      <c r="H717" s="194"/>
    </row>
    <row r="718" spans="1:8" x14ac:dyDescent="0.25">
      <c r="A718" s="339"/>
      <c r="B718" s="340"/>
      <c r="C718" s="340"/>
      <c r="D718" s="341"/>
      <c r="E718" s="342"/>
      <c r="F718" s="343"/>
      <c r="G718" s="341"/>
      <c r="H718" s="194"/>
    </row>
    <row r="719" spans="1:8" x14ac:dyDescent="0.25">
      <c r="A719" s="339"/>
      <c r="B719" s="340"/>
      <c r="C719" s="340"/>
      <c r="D719" s="341"/>
      <c r="E719" s="342"/>
      <c r="F719" s="343"/>
      <c r="G719" s="341"/>
      <c r="H719" s="194"/>
    </row>
    <row r="720" spans="1:8" x14ac:dyDescent="0.25">
      <c r="A720" s="339"/>
      <c r="B720" s="340"/>
      <c r="C720" s="340"/>
      <c r="D720" s="341"/>
      <c r="E720" s="342"/>
      <c r="F720" s="343"/>
      <c r="G720" s="341"/>
      <c r="H720" s="194"/>
    </row>
    <row r="721" spans="1:8" x14ac:dyDescent="0.25">
      <c r="A721" s="339"/>
      <c r="B721" s="340"/>
      <c r="C721" s="340"/>
      <c r="D721" s="341"/>
      <c r="E721" s="342"/>
      <c r="F721" s="343"/>
      <c r="G721" s="341"/>
      <c r="H721" s="194"/>
    </row>
    <row r="722" spans="1:8" x14ac:dyDescent="0.25">
      <c r="A722" s="339"/>
      <c r="B722" s="340"/>
      <c r="C722" s="340"/>
      <c r="D722" s="341"/>
      <c r="E722" s="342"/>
      <c r="F722" s="343"/>
      <c r="G722" s="341"/>
      <c r="H722" s="194"/>
    </row>
    <row r="723" spans="1:8" x14ac:dyDescent="0.25">
      <c r="A723" s="339"/>
      <c r="B723" s="340"/>
      <c r="C723" s="340"/>
      <c r="D723" s="341"/>
      <c r="E723" s="342"/>
      <c r="F723" s="343"/>
      <c r="G723" s="341"/>
      <c r="H723" s="194"/>
    </row>
    <row r="724" spans="1:8" x14ac:dyDescent="0.25">
      <c r="A724" s="339"/>
      <c r="B724" s="340"/>
      <c r="C724" s="340"/>
      <c r="D724" s="341"/>
      <c r="E724" s="342"/>
      <c r="F724" s="343"/>
      <c r="G724" s="341"/>
      <c r="H724" s="194"/>
    </row>
    <row r="725" spans="1:8" x14ac:dyDescent="0.25">
      <c r="A725" s="339"/>
      <c r="B725" s="340"/>
      <c r="C725" s="340"/>
      <c r="D725" s="341"/>
      <c r="E725" s="342"/>
      <c r="F725" s="343"/>
      <c r="G725" s="341"/>
      <c r="H725" s="194"/>
    </row>
    <row r="726" spans="1:8" x14ac:dyDescent="0.25">
      <c r="A726" s="339"/>
      <c r="B726" s="340"/>
      <c r="C726" s="340"/>
      <c r="D726" s="341"/>
      <c r="E726" s="342"/>
      <c r="F726" s="343"/>
      <c r="G726" s="341"/>
      <c r="H726" s="194"/>
    </row>
    <row r="727" spans="1:8" x14ac:dyDescent="0.25">
      <c r="A727" s="339"/>
      <c r="B727" s="340"/>
      <c r="C727" s="340"/>
      <c r="D727" s="341"/>
      <c r="E727" s="342"/>
      <c r="F727" s="343"/>
      <c r="G727" s="341"/>
      <c r="H727" s="194"/>
    </row>
    <row r="728" spans="1:8" x14ac:dyDescent="0.25">
      <c r="A728" s="339"/>
      <c r="B728" s="340"/>
      <c r="C728" s="340"/>
      <c r="D728" s="341"/>
      <c r="E728" s="342"/>
      <c r="F728" s="343"/>
      <c r="G728" s="341"/>
      <c r="H728" s="194"/>
    </row>
    <row r="729" spans="1:8" x14ac:dyDescent="0.25">
      <c r="A729" s="339"/>
      <c r="B729" s="340"/>
      <c r="C729" s="340"/>
      <c r="D729" s="341"/>
      <c r="E729" s="342"/>
      <c r="F729" s="343"/>
      <c r="G729" s="341"/>
      <c r="H729" s="194"/>
    </row>
    <row r="730" spans="1:8" x14ac:dyDescent="0.25">
      <c r="A730" s="339"/>
      <c r="B730" s="340"/>
      <c r="C730" s="340"/>
      <c r="D730" s="341"/>
      <c r="E730" s="342"/>
      <c r="F730" s="343"/>
      <c r="G730" s="341"/>
      <c r="H730" s="194"/>
    </row>
    <row r="731" spans="1:8" x14ac:dyDescent="0.25">
      <c r="A731" s="339"/>
      <c r="B731" s="340"/>
      <c r="C731" s="340"/>
      <c r="D731" s="341"/>
      <c r="E731" s="342"/>
      <c r="F731" s="343"/>
      <c r="G731" s="341"/>
      <c r="H731" s="194"/>
    </row>
    <row r="732" spans="1:8" x14ac:dyDescent="0.25">
      <c r="A732" s="339"/>
      <c r="B732" s="340"/>
      <c r="C732" s="340"/>
      <c r="D732" s="341"/>
      <c r="E732" s="342"/>
      <c r="F732" s="343"/>
      <c r="G732" s="341"/>
      <c r="H732" s="194"/>
    </row>
    <row r="733" spans="1:8" x14ac:dyDescent="0.25">
      <c r="A733" s="339"/>
      <c r="B733" s="340"/>
      <c r="C733" s="340"/>
      <c r="D733" s="341"/>
      <c r="E733" s="342"/>
      <c r="F733" s="343"/>
      <c r="G733" s="341"/>
      <c r="H733" s="194"/>
    </row>
    <row r="734" spans="1:8" x14ac:dyDescent="0.25">
      <c r="A734" s="339"/>
      <c r="B734" s="340"/>
      <c r="C734" s="340"/>
      <c r="D734" s="341"/>
      <c r="E734" s="342"/>
      <c r="F734" s="343"/>
      <c r="G734" s="341"/>
      <c r="H734" s="194"/>
    </row>
    <row r="735" spans="1:8" x14ac:dyDescent="0.25">
      <c r="A735" s="339"/>
      <c r="B735" s="340"/>
      <c r="C735" s="340"/>
      <c r="D735" s="341"/>
      <c r="E735" s="342"/>
      <c r="F735" s="343"/>
      <c r="G735" s="341"/>
      <c r="H735" s="194"/>
    </row>
    <row r="736" spans="1:8" x14ac:dyDescent="0.25">
      <c r="A736" s="339"/>
      <c r="B736" s="340"/>
      <c r="C736" s="340"/>
      <c r="D736" s="341"/>
      <c r="E736" s="342"/>
      <c r="F736" s="343"/>
      <c r="G736" s="341"/>
      <c r="H736" s="194"/>
    </row>
    <row r="737" spans="1:8" x14ac:dyDescent="0.25">
      <c r="A737" s="339"/>
      <c r="B737" s="340"/>
      <c r="C737" s="340"/>
      <c r="D737" s="341"/>
      <c r="E737" s="342"/>
      <c r="F737" s="343"/>
      <c r="G737" s="341"/>
      <c r="H737" s="194"/>
    </row>
    <row r="738" spans="1:8" x14ac:dyDescent="0.25">
      <c r="A738" s="339"/>
      <c r="B738" s="340"/>
      <c r="C738" s="340"/>
      <c r="D738" s="341"/>
      <c r="E738" s="342"/>
      <c r="F738" s="343"/>
      <c r="G738" s="341"/>
      <c r="H738" s="194"/>
    </row>
    <row r="739" spans="1:8" x14ac:dyDescent="0.25">
      <c r="A739" s="339"/>
      <c r="B739" s="340"/>
      <c r="C739" s="340"/>
      <c r="D739" s="341"/>
      <c r="E739" s="342"/>
      <c r="F739" s="343"/>
      <c r="G739" s="341"/>
      <c r="H739" s="194"/>
    </row>
    <row r="740" spans="1:8" x14ac:dyDescent="0.25">
      <c r="A740" s="339"/>
      <c r="B740" s="340"/>
      <c r="C740" s="340"/>
      <c r="D740" s="341"/>
      <c r="E740" s="342"/>
      <c r="F740" s="343"/>
      <c r="G740" s="341"/>
      <c r="H740" s="194"/>
    </row>
    <row r="741" spans="1:8" x14ac:dyDescent="0.25">
      <c r="A741" s="339"/>
      <c r="B741" s="340"/>
      <c r="C741" s="340"/>
      <c r="D741" s="341"/>
      <c r="E741" s="342"/>
      <c r="F741" s="343"/>
      <c r="G741" s="341"/>
      <c r="H741" s="194"/>
    </row>
    <row r="742" spans="1:8" x14ac:dyDescent="0.25">
      <c r="A742" s="339"/>
      <c r="B742" s="340"/>
      <c r="C742" s="340"/>
      <c r="D742" s="341"/>
      <c r="E742" s="342"/>
      <c r="F742" s="343"/>
      <c r="G742" s="341"/>
      <c r="H742" s="194"/>
    </row>
    <row r="743" spans="1:8" x14ac:dyDescent="0.25">
      <c r="A743" s="339"/>
      <c r="B743" s="340"/>
      <c r="C743" s="340"/>
      <c r="D743" s="341"/>
      <c r="E743" s="342"/>
      <c r="F743" s="343"/>
      <c r="G743" s="341"/>
      <c r="H743" s="194"/>
    </row>
    <row r="744" spans="1:8" x14ac:dyDescent="0.25">
      <c r="A744" s="339"/>
      <c r="B744" s="340"/>
      <c r="C744" s="340"/>
      <c r="D744" s="341"/>
      <c r="E744" s="342"/>
      <c r="F744" s="343"/>
      <c r="G744" s="341"/>
      <c r="H744" s="194"/>
    </row>
    <row r="745" spans="1:8" x14ac:dyDescent="0.25">
      <c r="A745" s="339"/>
      <c r="B745" s="340"/>
      <c r="C745" s="340"/>
      <c r="D745" s="341"/>
      <c r="E745" s="342"/>
      <c r="F745" s="343"/>
      <c r="G745" s="341"/>
      <c r="H745" s="194"/>
    </row>
    <row r="746" spans="1:8" x14ac:dyDescent="0.25">
      <c r="A746" s="339"/>
      <c r="B746" s="340"/>
      <c r="C746" s="340"/>
      <c r="D746" s="341"/>
      <c r="E746" s="342"/>
      <c r="F746" s="343"/>
      <c r="G746" s="341"/>
      <c r="H746" s="194"/>
    </row>
    <row r="747" spans="1:8" x14ac:dyDescent="0.25">
      <c r="A747" s="339"/>
      <c r="B747" s="340"/>
      <c r="C747" s="340"/>
      <c r="D747" s="341"/>
      <c r="E747" s="342"/>
      <c r="F747" s="343"/>
      <c r="G747" s="341"/>
      <c r="H747" s="194"/>
    </row>
    <row r="748" spans="1:8" x14ac:dyDescent="0.25">
      <c r="A748" s="339"/>
      <c r="B748" s="340"/>
      <c r="C748" s="340"/>
      <c r="D748" s="341"/>
      <c r="E748" s="342"/>
      <c r="F748" s="343"/>
      <c r="G748" s="341"/>
      <c r="H748" s="194"/>
    </row>
    <row r="749" spans="1:8" x14ac:dyDescent="0.25">
      <c r="A749" s="339"/>
      <c r="B749" s="340"/>
      <c r="C749" s="340"/>
      <c r="D749" s="341"/>
      <c r="E749" s="342"/>
      <c r="F749" s="343"/>
      <c r="G749" s="341"/>
      <c r="H749" s="194"/>
    </row>
    <row r="750" spans="1:8" x14ac:dyDescent="0.25">
      <c r="A750" s="339"/>
      <c r="B750" s="340"/>
      <c r="C750" s="340"/>
      <c r="D750" s="341"/>
      <c r="E750" s="342"/>
      <c r="F750" s="343"/>
      <c r="G750" s="341"/>
      <c r="H750" s="194"/>
    </row>
    <row r="751" spans="1:8" x14ac:dyDescent="0.25">
      <c r="A751" s="339"/>
      <c r="B751" s="340"/>
      <c r="C751" s="340"/>
      <c r="D751" s="341"/>
      <c r="E751" s="342"/>
      <c r="F751" s="343"/>
      <c r="G751" s="341"/>
      <c r="H751" s="194"/>
    </row>
    <row r="752" spans="1:8" x14ac:dyDescent="0.25">
      <c r="A752" s="339"/>
      <c r="B752" s="340"/>
      <c r="C752" s="340"/>
      <c r="D752" s="341"/>
      <c r="E752" s="342"/>
      <c r="F752" s="343"/>
      <c r="G752" s="341"/>
      <c r="H752" s="194"/>
    </row>
    <row r="753" spans="1:8" x14ac:dyDescent="0.25">
      <c r="A753" s="339"/>
      <c r="B753" s="340"/>
      <c r="C753" s="340"/>
      <c r="D753" s="341"/>
      <c r="E753" s="342"/>
      <c r="F753" s="343"/>
      <c r="G753" s="341"/>
      <c r="H753" s="194"/>
    </row>
    <row r="754" spans="1:8" x14ac:dyDescent="0.25">
      <c r="A754" s="339"/>
      <c r="B754" s="340"/>
      <c r="C754" s="340"/>
      <c r="D754" s="341"/>
      <c r="E754" s="342"/>
      <c r="F754" s="343"/>
      <c r="G754" s="341"/>
      <c r="H754" s="194"/>
    </row>
    <row r="755" spans="1:8" x14ac:dyDescent="0.25">
      <c r="A755" s="339"/>
      <c r="B755" s="340"/>
      <c r="C755" s="340"/>
      <c r="D755" s="341"/>
      <c r="E755" s="342"/>
      <c r="F755" s="343"/>
      <c r="G755" s="341"/>
      <c r="H755" s="194"/>
    </row>
    <row r="756" spans="1:8" x14ac:dyDescent="0.25">
      <c r="A756" s="339"/>
      <c r="B756" s="340"/>
      <c r="C756" s="340"/>
      <c r="D756" s="341"/>
      <c r="E756" s="342"/>
      <c r="F756" s="343"/>
      <c r="G756" s="341"/>
      <c r="H756" s="194"/>
    </row>
    <row r="757" spans="1:8" x14ac:dyDescent="0.25">
      <c r="A757" s="339"/>
      <c r="B757" s="340"/>
      <c r="C757" s="340"/>
      <c r="D757" s="341"/>
      <c r="E757" s="342"/>
      <c r="F757" s="343"/>
      <c r="G757" s="341"/>
      <c r="H757" s="194"/>
    </row>
    <row r="758" spans="1:8" x14ac:dyDescent="0.25">
      <c r="A758" s="339"/>
      <c r="B758" s="340"/>
      <c r="C758" s="340"/>
      <c r="D758" s="341"/>
      <c r="E758" s="342"/>
      <c r="F758" s="343"/>
      <c r="G758" s="341"/>
      <c r="H758" s="194"/>
    </row>
    <row r="759" spans="1:8" x14ac:dyDescent="0.25">
      <c r="A759" s="339"/>
      <c r="B759" s="340"/>
      <c r="C759" s="340"/>
      <c r="D759" s="341"/>
      <c r="E759" s="342"/>
      <c r="F759" s="343"/>
      <c r="G759" s="341"/>
      <c r="H759" s="194"/>
    </row>
    <row r="760" spans="1:8" x14ac:dyDescent="0.25">
      <c r="A760" s="339"/>
      <c r="B760" s="340"/>
      <c r="C760" s="340"/>
      <c r="D760" s="341"/>
      <c r="E760" s="342"/>
      <c r="F760" s="343"/>
      <c r="G760" s="341"/>
      <c r="H760" s="194"/>
    </row>
    <row r="761" spans="1:8" x14ac:dyDescent="0.25">
      <c r="A761" s="339"/>
      <c r="B761" s="340"/>
      <c r="C761" s="340"/>
      <c r="D761" s="341"/>
      <c r="E761" s="342"/>
      <c r="F761" s="343"/>
      <c r="G761" s="341"/>
      <c r="H761" s="194"/>
    </row>
    <row r="762" spans="1:8" x14ac:dyDescent="0.25">
      <c r="A762" s="339"/>
      <c r="B762" s="340"/>
      <c r="C762" s="340"/>
      <c r="D762" s="341"/>
      <c r="E762" s="342"/>
      <c r="F762" s="343"/>
      <c r="G762" s="341"/>
      <c r="H762" s="194"/>
    </row>
    <row r="763" spans="1:8" x14ac:dyDescent="0.25">
      <c r="A763" s="339"/>
      <c r="B763" s="340"/>
      <c r="C763" s="340"/>
      <c r="D763" s="341"/>
      <c r="E763" s="342"/>
      <c r="F763" s="343"/>
      <c r="G763" s="341"/>
      <c r="H763" s="194"/>
    </row>
    <row r="764" spans="1:8" x14ac:dyDescent="0.25">
      <c r="A764" s="339"/>
      <c r="B764" s="340"/>
      <c r="C764" s="340"/>
      <c r="D764" s="341"/>
      <c r="E764" s="342"/>
      <c r="F764" s="343"/>
      <c r="G764" s="341"/>
      <c r="H764" s="194"/>
    </row>
    <row r="765" spans="1:8" x14ac:dyDescent="0.25">
      <c r="A765" s="339"/>
      <c r="B765" s="340"/>
      <c r="C765" s="340"/>
      <c r="D765" s="341"/>
      <c r="E765" s="342"/>
      <c r="F765" s="343"/>
      <c r="G765" s="341"/>
      <c r="H765" s="194"/>
    </row>
    <row r="766" spans="1:8" x14ac:dyDescent="0.25">
      <c r="A766" s="339"/>
      <c r="B766" s="340"/>
      <c r="C766" s="340"/>
      <c r="D766" s="341"/>
      <c r="E766" s="342"/>
      <c r="F766" s="343"/>
      <c r="G766" s="341"/>
      <c r="H766" s="194"/>
    </row>
    <row r="767" spans="1:8" x14ac:dyDescent="0.25">
      <c r="A767" s="339"/>
      <c r="B767" s="340"/>
      <c r="C767" s="340"/>
      <c r="D767" s="341"/>
      <c r="E767" s="342"/>
      <c r="F767" s="343"/>
      <c r="G767" s="341"/>
      <c r="H767" s="194"/>
    </row>
    <row r="768" spans="1:8" x14ac:dyDescent="0.25">
      <c r="A768" s="339"/>
      <c r="B768" s="340"/>
      <c r="C768" s="340"/>
      <c r="D768" s="341"/>
      <c r="E768" s="342"/>
      <c r="F768" s="343"/>
      <c r="G768" s="341"/>
      <c r="H768" s="194"/>
    </row>
    <row r="769" spans="1:8" x14ac:dyDescent="0.25">
      <c r="A769" s="339"/>
      <c r="B769" s="340"/>
      <c r="C769" s="340"/>
      <c r="D769" s="341"/>
      <c r="E769" s="342"/>
      <c r="F769" s="343"/>
      <c r="G769" s="341"/>
      <c r="H769" s="194"/>
    </row>
    <row r="770" spans="1:8" x14ac:dyDescent="0.25">
      <c r="A770" s="339"/>
      <c r="B770" s="340"/>
      <c r="C770" s="340"/>
      <c r="D770" s="341"/>
      <c r="E770" s="342"/>
      <c r="F770" s="343"/>
      <c r="G770" s="341"/>
      <c r="H770" s="194"/>
    </row>
    <row r="771" spans="1:8" x14ac:dyDescent="0.25">
      <c r="A771" s="339"/>
      <c r="B771" s="340"/>
      <c r="C771" s="340"/>
      <c r="D771" s="341"/>
      <c r="E771" s="342"/>
      <c r="F771" s="343"/>
      <c r="G771" s="341"/>
      <c r="H771" s="194"/>
    </row>
    <row r="772" spans="1:8" x14ac:dyDescent="0.25">
      <c r="A772" s="339"/>
      <c r="B772" s="340"/>
      <c r="C772" s="340"/>
      <c r="D772" s="341"/>
      <c r="E772" s="342"/>
      <c r="F772" s="343"/>
      <c r="G772" s="341"/>
      <c r="H772" s="194"/>
    </row>
    <row r="773" spans="1:8" x14ac:dyDescent="0.25">
      <c r="A773" s="339"/>
      <c r="B773" s="340"/>
      <c r="C773" s="340"/>
      <c r="D773" s="341"/>
      <c r="E773" s="342"/>
      <c r="F773" s="343"/>
      <c r="G773" s="341"/>
      <c r="H773" s="194"/>
    </row>
    <row r="774" spans="1:8" x14ac:dyDescent="0.25">
      <c r="A774" s="339"/>
      <c r="B774" s="340"/>
      <c r="C774" s="340"/>
      <c r="D774" s="341"/>
      <c r="E774" s="342"/>
      <c r="F774" s="343"/>
      <c r="G774" s="341"/>
      <c r="H774" s="194"/>
    </row>
    <row r="775" spans="1:8" x14ac:dyDescent="0.25">
      <c r="A775" s="339"/>
      <c r="B775" s="340"/>
      <c r="C775" s="340"/>
      <c r="D775" s="341"/>
      <c r="E775" s="342"/>
      <c r="F775" s="343"/>
      <c r="G775" s="341"/>
      <c r="H775" s="194"/>
    </row>
    <row r="776" spans="1:8" x14ac:dyDescent="0.25">
      <c r="A776" s="339"/>
      <c r="B776" s="340"/>
      <c r="C776" s="340"/>
      <c r="D776" s="341"/>
      <c r="E776" s="342"/>
      <c r="F776" s="343"/>
      <c r="G776" s="341"/>
      <c r="H776" s="194"/>
    </row>
    <row r="777" spans="1:8" x14ac:dyDescent="0.25">
      <c r="A777" s="339"/>
      <c r="B777" s="340"/>
      <c r="C777" s="340"/>
      <c r="D777" s="341"/>
      <c r="E777" s="342"/>
      <c r="F777" s="343"/>
      <c r="G777" s="341"/>
      <c r="H777" s="194"/>
    </row>
    <row r="778" spans="1:8" x14ac:dyDescent="0.25">
      <c r="A778" s="339"/>
      <c r="B778" s="340"/>
      <c r="C778" s="340"/>
      <c r="D778" s="341"/>
      <c r="E778" s="342"/>
      <c r="F778" s="343"/>
      <c r="G778" s="341"/>
      <c r="H778" s="194"/>
    </row>
    <row r="779" spans="1:8" x14ac:dyDescent="0.25">
      <c r="A779" s="339"/>
      <c r="B779" s="340"/>
      <c r="C779" s="340"/>
      <c r="D779" s="341"/>
      <c r="E779" s="342"/>
      <c r="F779" s="343"/>
      <c r="G779" s="341"/>
      <c r="H779" s="194"/>
    </row>
    <row r="780" spans="1:8" x14ac:dyDescent="0.25">
      <c r="A780" s="339"/>
      <c r="B780" s="340"/>
      <c r="C780" s="340"/>
      <c r="D780" s="341"/>
      <c r="E780" s="342"/>
      <c r="F780" s="343"/>
      <c r="G780" s="341"/>
      <c r="H780" s="194"/>
    </row>
    <row r="781" spans="1:8" x14ac:dyDescent="0.25">
      <c r="A781" s="339"/>
      <c r="B781" s="340"/>
      <c r="C781" s="340"/>
      <c r="D781" s="341"/>
      <c r="E781" s="342"/>
      <c r="F781" s="343"/>
      <c r="G781" s="341"/>
      <c r="H781" s="194"/>
    </row>
    <row r="782" spans="1:8" x14ac:dyDescent="0.25">
      <c r="A782" s="339"/>
      <c r="B782" s="340"/>
      <c r="C782" s="340"/>
      <c r="D782" s="341"/>
      <c r="E782" s="342"/>
      <c r="F782" s="343"/>
      <c r="G782" s="341"/>
      <c r="H782" s="194"/>
    </row>
    <row r="783" spans="1:8" x14ac:dyDescent="0.25">
      <c r="A783" s="339"/>
      <c r="B783" s="340"/>
      <c r="C783" s="340"/>
      <c r="D783" s="341"/>
      <c r="E783" s="342"/>
      <c r="F783" s="343"/>
      <c r="G783" s="341"/>
      <c r="H783" s="194"/>
    </row>
    <row r="784" spans="1:8" x14ac:dyDescent="0.25">
      <c r="A784" s="339"/>
      <c r="B784" s="340"/>
      <c r="C784" s="340"/>
      <c r="D784" s="341"/>
      <c r="E784" s="342"/>
      <c r="F784" s="343"/>
      <c r="G784" s="341"/>
      <c r="H784" s="194"/>
    </row>
    <row r="785" spans="1:8" x14ac:dyDescent="0.25">
      <c r="A785" s="339"/>
      <c r="B785" s="340"/>
      <c r="C785" s="340"/>
      <c r="D785" s="341"/>
      <c r="E785" s="342"/>
      <c r="F785" s="343"/>
      <c r="G785" s="341"/>
      <c r="H785" s="194"/>
    </row>
    <row r="786" spans="1:8" x14ac:dyDescent="0.25">
      <c r="A786" s="339"/>
      <c r="B786" s="340"/>
      <c r="C786" s="340"/>
      <c r="D786" s="341"/>
      <c r="E786" s="342"/>
      <c r="F786" s="343"/>
      <c r="G786" s="341"/>
      <c r="H786" s="194"/>
    </row>
    <row r="787" spans="1:8" x14ac:dyDescent="0.25">
      <c r="A787" s="339"/>
      <c r="B787" s="340"/>
      <c r="C787" s="340"/>
      <c r="D787" s="341"/>
      <c r="E787" s="342"/>
      <c r="F787" s="343"/>
      <c r="G787" s="341"/>
      <c r="H787" s="194"/>
    </row>
    <row r="788" spans="1:8" x14ac:dyDescent="0.25">
      <c r="A788" s="339"/>
      <c r="B788" s="340"/>
      <c r="C788" s="340"/>
      <c r="D788" s="341"/>
      <c r="E788" s="342"/>
      <c r="F788" s="343"/>
      <c r="G788" s="341"/>
      <c r="H788" s="194"/>
    </row>
  </sheetData>
  <sortState ref="O112:Q173">
    <sortCondition ref="Q112:Q173"/>
  </sortState>
  <mergeCells count="4">
    <mergeCell ref="A1:F1"/>
    <mergeCell ref="A2:F2"/>
    <mergeCell ref="A5:A6"/>
    <mergeCell ref="A361:A362"/>
  </mergeCells>
  <conditionalFormatting sqref="A496">
    <cfRule type="cellIs" dxfId="425" priority="56" operator="equal">
      <formula>"x"</formula>
    </cfRule>
  </conditionalFormatting>
  <conditionalFormatting sqref="D166:D167 D65:D66 D169:D171 D68:D90 D103 D92:D100">
    <cfRule type="cellIs" dxfId="424" priority="55" operator="notEqual">
      <formula>#REF!</formula>
    </cfRule>
  </conditionalFormatting>
  <conditionalFormatting sqref="A496">
    <cfRule type="iconSet" priority="54">
      <iconSet iconSet="3Flags" showValue="0">
        <cfvo type="percent" val="0"/>
        <cfvo type="num" val="0"/>
        <cfvo type="num" val="1"/>
      </iconSet>
    </cfRule>
  </conditionalFormatting>
  <conditionalFormatting sqref="D183:D187 D189:D220">
    <cfRule type="cellIs" dxfId="423" priority="53" operator="notEqual">
      <formula>#REF!</formula>
    </cfRule>
  </conditionalFormatting>
  <conditionalFormatting sqref="H337">
    <cfRule type="cellIs" dxfId="422" priority="52" operator="notEqual">
      <formula>A337</formula>
    </cfRule>
  </conditionalFormatting>
  <conditionalFormatting sqref="D174:D175">
    <cfRule type="cellIs" dxfId="421" priority="51" operator="notEqual">
      <formula>#REF!</formula>
    </cfRule>
  </conditionalFormatting>
  <conditionalFormatting sqref="D177">
    <cfRule type="cellIs" dxfId="420" priority="50" operator="notEqual">
      <formula>#REF!</formula>
    </cfRule>
  </conditionalFormatting>
  <conditionalFormatting sqref="D168">
    <cfRule type="cellIs" dxfId="419" priority="49" operator="notEqual">
      <formula>#REF!</formula>
    </cfRule>
  </conditionalFormatting>
  <conditionalFormatting sqref="D188">
    <cfRule type="cellIs" dxfId="418" priority="48" operator="notEqual">
      <formula>#REF!</formula>
    </cfRule>
  </conditionalFormatting>
  <conditionalFormatting sqref="D178">
    <cfRule type="cellIs" dxfId="417" priority="47" operator="notEqual">
      <formula>#REF!</formula>
    </cfRule>
  </conditionalFormatting>
  <conditionalFormatting sqref="D180">
    <cfRule type="cellIs" dxfId="416" priority="46" operator="notEqual">
      <formula>#REF!</formula>
    </cfRule>
  </conditionalFormatting>
  <conditionalFormatting sqref="D179">
    <cfRule type="cellIs" dxfId="415" priority="45" operator="notEqual">
      <formula>#REF!</formula>
    </cfRule>
  </conditionalFormatting>
  <conditionalFormatting sqref="D199:D201">
    <cfRule type="cellIs" dxfId="414" priority="44" operator="notEqual">
      <formula>#REF!</formula>
    </cfRule>
  </conditionalFormatting>
  <conditionalFormatting sqref="D178:D179 D181:D183">
    <cfRule type="cellIs" dxfId="413" priority="43" operator="notEqual">
      <formula>#REF!</formula>
    </cfRule>
  </conditionalFormatting>
  <conditionalFormatting sqref="D184:D186">
    <cfRule type="cellIs" dxfId="412" priority="42" operator="notEqual">
      <formula>#REF!</formula>
    </cfRule>
  </conditionalFormatting>
  <conditionalFormatting sqref="D187">
    <cfRule type="cellIs" dxfId="411" priority="41" operator="notEqual">
      <formula>#REF!</formula>
    </cfRule>
  </conditionalFormatting>
  <conditionalFormatting sqref="D180">
    <cfRule type="cellIs" dxfId="410" priority="40" operator="notEqual">
      <formula>#REF!</formula>
    </cfRule>
  </conditionalFormatting>
  <conditionalFormatting sqref="D188">
    <cfRule type="cellIs" dxfId="409" priority="39" operator="notEqual">
      <formula>#REF!</formula>
    </cfRule>
  </conditionalFormatting>
  <conditionalFormatting sqref="D190">
    <cfRule type="cellIs" dxfId="408" priority="38" operator="notEqual">
      <formula>#REF!</formula>
    </cfRule>
  </conditionalFormatting>
  <conditionalFormatting sqref="D189">
    <cfRule type="cellIs" dxfId="407" priority="37" operator="notEqual">
      <formula>#REF!</formula>
    </cfRule>
  </conditionalFormatting>
  <conditionalFormatting sqref="D191:D192">
    <cfRule type="cellIs" dxfId="406" priority="36" operator="notEqual">
      <formula>#REF!</formula>
    </cfRule>
  </conditionalFormatting>
  <conditionalFormatting sqref="D190">
    <cfRule type="cellIs" dxfId="405" priority="35" operator="notEqual">
      <formula>#REF!</formula>
    </cfRule>
  </conditionalFormatting>
  <conditionalFormatting sqref="D91">
    <cfRule type="cellIs" dxfId="404" priority="34" operator="notEqual">
      <formula>#REF!</formula>
    </cfRule>
  </conditionalFormatting>
  <conditionalFormatting sqref="J168">
    <cfRule type="cellIs" dxfId="403" priority="33" operator="notEqual">
      <formula>#REF!</formula>
    </cfRule>
  </conditionalFormatting>
  <conditionalFormatting sqref="J167">
    <cfRule type="cellIs" dxfId="402" priority="32" operator="notEqual">
      <formula>#REF!</formula>
    </cfRule>
  </conditionalFormatting>
  <conditionalFormatting sqref="J189:J190">
    <cfRule type="cellIs" dxfId="401" priority="31" operator="notEqual">
      <formula>#REF!</formula>
    </cfRule>
  </conditionalFormatting>
  <conditionalFormatting sqref="J189">
    <cfRule type="cellIs" dxfId="400" priority="30" operator="notEqual">
      <formula>#REF!</formula>
    </cfRule>
  </conditionalFormatting>
  <conditionalFormatting sqref="J190">
    <cfRule type="cellIs" dxfId="399" priority="29" operator="notEqual">
      <formula>#REF!</formula>
    </cfRule>
  </conditionalFormatting>
  <conditionalFormatting sqref="J189">
    <cfRule type="cellIs" dxfId="398" priority="28" operator="notEqual">
      <formula>#REF!</formula>
    </cfRule>
  </conditionalFormatting>
  <conditionalFormatting sqref="D178:D179 D181:D183">
    <cfRule type="cellIs" dxfId="397" priority="27" operator="notEqual">
      <formula>#REF!</formula>
    </cfRule>
  </conditionalFormatting>
  <conditionalFormatting sqref="D184:D185">
    <cfRule type="cellIs" dxfId="396" priority="26" operator="notEqual">
      <formula>#REF!</formula>
    </cfRule>
  </conditionalFormatting>
  <conditionalFormatting sqref="D187">
    <cfRule type="cellIs" dxfId="395" priority="25" operator="notEqual">
      <formula>#REF!</formula>
    </cfRule>
  </conditionalFormatting>
  <conditionalFormatting sqref="D180">
    <cfRule type="cellIs" dxfId="394" priority="24" operator="notEqual">
      <formula>#REF!</formula>
    </cfRule>
  </conditionalFormatting>
  <conditionalFormatting sqref="D198">
    <cfRule type="cellIs" dxfId="393" priority="23" operator="notEqual">
      <formula>#REF!</formula>
    </cfRule>
  </conditionalFormatting>
  <conditionalFormatting sqref="D188">
    <cfRule type="cellIs" dxfId="392" priority="22" operator="notEqual">
      <formula>#REF!</formula>
    </cfRule>
  </conditionalFormatting>
  <conditionalFormatting sqref="D190">
    <cfRule type="cellIs" dxfId="391" priority="21" operator="notEqual">
      <formula>#REF!</formula>
    </cfRule>
  </conditionalFormatting>
  <conditionalFormatting sqref="D189">
    <cfRule type="cellIs" dxfId="390" priority="20" operator="notEqual">
      <formula>#REF!</formula>
    </cfRule>
  </conditionalFormatting>
  <conditionalFormatting sqref="D211">
    <cfRule type="cellIs" dxfId="389" priority="19" operator="notEqual">
      <formula>#REF!</formula>
    </cfRule>
  </conditionalFormatting>
  <conditionalFormatting sqref="D188:D189 D191:D193">
    <cfRule type="cellIs" dxfId="388" priority="18" operator="notEqual">
      <formula>#REF!</formula>
    </cfRule>
  </conditionalFormatting>
  <conditionalFormatting sqref="D194:D196">
    <cfRule type="cellIs" dxfId="387" priority="17" operator="notEqual">
      <formula>#REF!</formula>
    </cfRule>
  </conditionalFormatting>
  <conditionalFormatting sqref="D197">
    <cfRule type="cellIs" dxfId="386" priority="16" operator="notEqual">
      <formula>#REF!</formula>
    </cfRule>
  </conditionalFormatting>
  <conditionalFormatting sqref="D190">
    <cfRule type="cellIs" dxfId="385" priority="15" operator="notEqual">
      <formula>#REF!</formula>
    </cfRule>
  </conditionalFormatting>
  <conditionalFormatting sqref="D198">
    <cfRule type="cellIs" dxfId="384" priority="14" operator="notEqual">
      <formula>#REF!</formula>
    </cfRule>
  </conditionalFormatting>
  <conditionalFormatting sqref="D202">
    <cfRule type="cellIs" dxfId="383" priority="13" operator="notEqual">
      <formula>#REF!</formula>
    </cfRule>
  </conditionalFormatting>
  <conditionalFormatting sqref="D199:D201">
    <cfRule type="cellIs" dxfId="382" priority="12" operator="notEqual">
      <formula>#REF!</formula>
    </cfRule>
  </conditionalFormatting>
  <conditionalFormatting sqref="D203:D204">
    <cfRule type="cellIs" dxfId="381" priority="11" operator="notEqual">
      <formula>#REF!</formula>
    </cfRule>
  </conditionalFormatting>
  <conditionalFormatting sqref="D202">
    <cfRule type="cellIs" dxfId="380" priority="10" operator="notEqual">
      <formula>#REF!</formula>
    </cfRule>
  </conditionalFormatting>
  <conditionalFormatting sqref="J180">
    <cfRule type="cellIs" dxfId="379" priority="9" operator="notEqual">
      <formula>#REF!</formula>
    </cfRule>
  </conditionalFormatting>
  <conditionalFormatting sqref="J179">
    <cfRule type="cellIs" dxfId="378" priority="8" operator="notEqual">
      <formula>#REF!</formula>
    </cfRule>
  </conditionalFormatting>
  <conditionalFormatting sqref="J199:J202">
    <cfRule type="cellIs" dxfId="377" priority="7" operator="notEqual">
      <formula>#REF!</formula>
    </cfRule>
  </conditionalFormatting>
  <conditionalFormatting sqref="J199:J201">
    <cfRule type="cellIs" dxfId="376" priority="6" operator="notEqual">
      <formula>#REF!</formula>
    </cfRule>
  </conditionalFormatting>
  <conditionalFormatting sqref="J202">
    <cfRule type="cellIs" dxfId="375" priority="5" operator="notEqual">
      <formula>#REF!</formula>
    </cfRule>
  </conditionalFormatting>
  <conditionalFormatting sqref="J199:J201">
    <cfRule type="cellIs" dxfId="374" priority="4" operator="notEqual">
      <formula>#REF!</formula>
    </cfRule>
  </conditionalFormatting>
  <conditionalFormatting sqref="D172:D173">
    <cfRule type="cellIs" dxfId="373" priority="2" operator="notEqual">
      <formula>#REF!</formula>
    </cfRule>
  </conditionalFormatting>
  <conditionalFormatting sqref="D101:D102">
    <cfRule type="cellIs" dxfId="372" priority="1" operator="notEqual">
      <formula>#REF!</formula>
    </cfRule>
  </conditionalFormatting>
  <pageMargins left="0.70866141732283472" right="0.70866141732283472" top="0.78740157480314965" bottom="0.78740157480314965" header="0.31496062992125984" footer="0.31496062992125984"/>
  <pageSetup paperSize="9" scale="78" fitToHeight="10" orientation="landscape"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589"/>
  <sheetViews>
    <sheetView topLeftCell="B278" workbookViewId="0">
      <selection activeCell="K495" sqref="K495"/>
    </sheetView>
  </sheetViews>
  <sheetFormatPr defaultColWidth="9.140625" defaultRowHeight="15.75" x14ac:dyDescent="0.25"/>
  <cols>
    <col min="1" max="1" width="11.28515625" style="305" customWidth="1"/>
    <col min="2" max="2" width="93.42578125" style="45" customWidth="1"/>
    <col min="3" max="3" width="17.5703125" style="45" customWidth="1"/>
    <col min="4" max="4" width="16.7109375" style="45" customWidth="1"/>
    <col min="5" max="5" width="16.140625" style="306" bestFit="1" customWidth="1"/>
    <col min="6" max="6" width="17.140625" style="306" customWidth="1"/>
    <col min="7" max="7" width="19.7109375" style="269" bestFit="1" customWidth="1"/>
    <col min="8" max="8" width="20.28515625" style="45" bestFit="1" customWidth="1"/>
    <col min="9" max="9" width="25" style="45" bestFit="1" customWidth="1"/>
    <col min="10" max="10" width="18.5703125" style="45" bestFit="1" customWidth="1"/>
    <col min="11" max="11" width="19.42578125" style="45" bestFit="1" customWidth="1"/>
    <col min="12" max="12" width="18.7109375" style="45" bestFit="1" customWidth="1"/>
    <col min="13" max="13" width="14.7109375" style="45" customWidth="1"/>
    <col min="14" max="14" width="9.140625" style="45"/>
    <col min="15" max="15" width="92.140625" style="45" bestFit="1" customWidth="1"/>
    <col min="16" max="16" width="9.140625" style="45"/>
    <col min="17" max="17" width="11" style="45" bestFit="1" customWidth="1"/>
    <col min="18" max="16384" width="9.140625" style="45"/>
  </cols>
  <sheetData>
    <row r="1" spans="1:11" ht="22.5" x14ac:dyDescent="0.3">
      <c r="A1" s="689" t="s">
        <v>0</v>
      </c>
      <c r="B1" s="689"/>
      <c r="C1" s="689"/>
      <c r="D1" s="689"/>
      <c r="E1" s="689"/>
      <c r="F1" s="689"/>
    </row>
    <row r="2" spans="1:11" ht="22.5" x14ac:dyDescent="0.3">
      <c r="A2" s="689" t="s">
        <v>410</v>
      </c>
      <c r="B2" s="689"/>
      <c r="C2" s="689"/>
      <c r="D2" s="689"/>
      <c r="E2" s="689"/>
      <c r="F2" s="689"/>
    </row>
    <row r="3" spans="1:11" ht="22.5" x14ac:dyDescent="0.3">
      <c r="A3" s="413"/>
      <c r="B3" s="270"/>
      <c r="C3" s="271"/>
      <c r="D3" s="413"/>
      <c r="E3" s="413"/>
      <c r="F3" s="413"/>
    </row>
    <row r="4" spans="1:11" ht="23.25" thickBot="1" x14ac:dyDescent="0.35">
      <c r="A4" s="413"/>
      <c r="B4" s="413"/>
      <c r="C4" s="413"/>
      <c r="D4" s="413"/>
      <c r="E4" s="413"/>
      <c r="F4" s="269"/>
    </row>
    <row r="5" spans="1:11" x14ac:dyDescent="0.25">
      <c r="A5" s="690" t="s">
        <v>193</v>
      </c>
      <c r="B5" s="5"/>
      <c r="C5" s="5"/>
      <c r="D5" s="117"/>
      <c r="E5" s="266"/>
      <c r="F5" s="266"/>
      <c r="G5" s="79"/>
    </row>
    <row r="6" spans="1:11" ht="16.5" thickBot="1" x14ac:dyDescent="0.3">
      <c r="A6" s="691"/>
      <c r="B6" s="10" t="s">
        <v>2</v>
      </c>
      <c r="C6" s="10" t="s">
        <v>3</v>
      </c>
      <c r="D6" s="118" t="s">
        <v>4</v>
      </c>
      <c r="E6" s="267" t="s">
        <v>5</v>
      </c>
      <c r="F6" s="267" t="s">
        <v>6</v>
      </c>
    </row>
    <row r="7" spans="1:11" x14ac:dyDescent="0.25">
      <c r="A7" s="43"/>
      <c r="B7" s="273" t="s">
        <v>8</v>
      </c>
      <c r="C7" s="27">
        <f>+SUM(C8:C8)</f>
        <v>0</v>
      </c>
      <c r="D7" s="27">
        <f>+SUM(D8:D8)</f>
        <v>12241</v>
      </c>
      <c r="E7" s="67"/>
      <c r="F7" s="277"/>
      <c r="G7" s="45"/>
      <c r="I7" s="390"/>
      <c r="J7" s="387"/>
      <c r="K7" s="391"/>
    </row>
    <row r="8" spans="1:11" x14ac:dyDescent="0.25">
      <c r="A8" s="43"/>
      <c r="B8" s="107" t="s">
        <v>11</v>
      </c>
      <c r="C8" s="347">
        <v>0</v>
      </c>
      <c r="D8" s="21">
        <v>12241</v>
      </c>
      <c r="E8" s="268">
        <v>92241</v>
      </c>
      <c r="F8" s="277" t="s">
        <v>10</v>
      </c>
      <c r="G8" s="384" t="s">
        <v>404</v>
      </c>
      <c r="H8" s="384">
        <v>12241</v>
      </c>
      <c r="I8" s="390"/>
      <c r="J8" s="389">
        <f>1219870</f>
        <v>1219870</v>
      </c>
      <c r="K8" s="391">
        <v>12241</v>
      </c>
    </row>
    <row r="9" spans="1:11" x14ac:dyDescent="0.25">
      <c r="A9" s="272"/>
      <c r="B9" s="107"/>
      <c r="C9" s="21"/>
      <c r="D9" s="21"/>
      <c r="E9" s="268"/>
      <c r="F9" s="277"/>
      <c r="G9" s="45"/>
      <c r="I9" s="390"/>
      <c r="J9" s="387"/>
      <c r="K9" s="391"/>
    </row>
    <row r="10" spans="1:11" x14ac:dyDescent="0.25">
      <c r="A10" s="272"/>
      <c r="B10" s="273" t="s">
        <v>14</v>
      </c>
      <c r="C10" s="31">
        <f>+SUM(C11:C12)</f>
        <v>38.852850000000004</v>
      </c>
      <c r="D10" s="31">
        <f>+SUM(D11:D12)</f>
        <v>38852.85</v>
      </c>
      <c r="E10" s="268"/>
      <c r="F10" s="277"/>
      <c r="G10" s="45"/>
      <c r="I10" s="390"/>
      <c r="J10" s="387"/>
      <c r="K10" s="391"/>
    </row>
    <row r="11" spans="1:11" x14ac:dyDescent="0.25">
      <c r="A11" s="272">
        <v>42117</v>
      </c>
      <c r="B11" s="276" t="s">
        <v>146</v>
      </c>
      <c r="C11" s="21">
        <v>33.306150000000002</v>
      </c>
      <c r="D11" s="21">
        <v>33306.15</v>
      </c>
      <c r="E11" s="268">
        <v>90001</v>
      </c>
      <c r="F11" s="277">
        <v>4113</v>
      </c>
      <c r="G11" s="45"/>
      <c r="I11" s="390"/>
      <c r="J11" s="387"/>
      <c r="K11" s="391"/>
    </row>
    <row r="12" spans="1:11" x14ac:dyDescent="0.25">
      <c r="A12" s="272">
        <v>42194</v>
      </c>
      <c r="B12" s="276" t="s">
        <v>279</v>
      </c>
      <c r="C12" s="21">
        <v>5.5467000000000004</v>
      </c>
      <c r="D12" s="21">
        <v>5546.7</v>
      </c>
      <c r="E12" s="268">
        <v>90001</v>
      </c>
      <c r="F12" s="277">
        <v>4113</v>
      </c>
      <c r="G12" s="45"/>
      <c r="I12" s="390"/>
      <c r="J12" s="387"/>
      <c r="K12" s="391"/>
    </row>
    <row r="13" spans="1:11" x14ac:dyDescent="0.25">
      <c r="A13" s="272"/>
      <c r="B13" s="107"/>
      <c r="C13" s="21"/>
      <c r="D13" s="21"/>
      <c r="E13" s="268"/>
      <c r="F13" s="277"/>
      <c r="G13" s="45"/>
      <c r="I13" s="390"/>
      <c r="J13" s="387"/>
      <c r="K13" s="391"/>
    </row>
    <row r="14" spans="1:11" x14ac:dyDescent="0.25">
      <c r="A14" s="272"/>
      <c r="B14" s="273" t="s">
        <v>15</v>
      </c>
      <c r="C14" s="31">
        <f>+C15</f>
        <v>0</v>
      </c>
      <c r="D14" s="31">
        <f>+D15</f>
        <v>2355.85</v>
      </c>
      <c r="E14" s="268"/>
      <c r="F14" s="277"/>
      <c r="G14" s="45"/>
      <c r="I14" s="390"/>
      <c r="J14" s="387"/>
      <c r="K14" s="391"/>
    </row>
    <row r="15" spans="1:11" x14ac:dyDescent="0.25">
      <c r="A15" s="272"/>
      <c r="B15" s="107" t="s">
        <v>394</v>
      </c>
      <c r="C15" s="21">
        <v>0</v>
      </c>
      <c r="D15" s="21">
        <v>2355.85</v>
      </c>
      <c r="E15" s="268">
        <v>89023</v>
      </c>
      <c r="F15" s="277">
        <v>4113</v>
      </c>
      <c r="G15" s="384" t="s">
        <v>404</v>
      </c>
      <c r="H15" s="384">
        <v>2355.85</v>
      </c>
      <c r="I15" s="390"/>
      <c r="J15" s="387"/>
      <c r="K15" s="391">
        <v>2355.85</v>
      </c>
    </row>
    <row r="16" spans="1:11" x14ac:dyDescent="0.25">
      <c r="A16" s="272"/>
      <c r="B16" s="278"/>
      <c r="C16" s="21"/>
      <c r="D16" s="163"/>
      <c r="E16" s="279"/>
      <c r="F16" s="268"/>
      <c r="G16" s="45"/>
      <c r="I16" s="390"/>
      <c r="J16" s="387"/>
      <c r="K16" s="391"/>
    </row>
    <row r="17" spans="1:11" s="275" customFormat="1" x14ac:dyDescent="0.25">
      <c r="A17" s="272"/>
      <c r="B17" s="273" t="s">
        <v>17</v>
      </c>
      <c r="C17" s="273">
        <f>SUM(C18:C22)</f>
        <v>3840</v>
      </c>
      <c r="D17" s="31">
        <f>SUM(D18:D22)</f>
        <v>3840000</v>
      </c>
      <c r="E17" s="280"/>
      <c r="F17" s="281"/>
      <c r="G17" s="45"/>
      <c r="H17" s="45"/>
      <c r="I17" s="390"/>
      <c r="J17" s="388"/>
      <c r="K17" s="393"/>
    </row>
    <row r="18" spans="1:11" x14ac:dyDescent="0.25">
      <c r="A18" s="43">
        <v>42053</v>
      </c>
      <c r="B18" s="107" t="s">
        <v>37</v>
      </c>
      <c r="C18" s="282">
        <v>3744</v>
      </c>
      <c r="D18" s="21">
        <v>3744000</v>
      </c>
      <c r="E18" s="108">
        <v>13010</v>
      </c>
      <c r="F18" s="277">
        <v>4116</v>
      </c>
      <c r="G18" s="45"/>
      <c r="I18" s="390"/>
      <c r="J18" s="387"/>
      <c r="K18" s="391"/>
    </row>
    <row r="19" spans="1:11" x14ac:dyDescent="0.25">
      <c r="A19" s="272">
        <v>42123</v>
      </c>
      <c r="B19" s="107" t="s">
        <v>37</v>
      </c>
      <c r="C19" s="21">
        <v>8</v>
      </c>
      <c r="D19" s="21">
        <v>8000</v>
      </c>
      <c r="E19" s="108">
        <v>13010</v>
      </c>
      <c r="F19" s="277">
        <v>4116</v>
      </c>
      <c r="G19" s="45"/>
      <c r="I19" s="390"/>
      <c r="J19" s="387"/>
      <c r="K19" s="391"/>
    </row>
    <row r="20" spans="1:11" x14ac:dyDescent="0.25">
      <c r="A20" s="272">
        <v>42152</v>
      </c>
      <c r="B20" s="107" t="s">
        <v>37</v>
      </c>
      <c r="C20" s="21">
        <v>12</v>
      </c>
      <c r="D20" s="21">
        <v>12000</v>
      </c>
      <c r="E20" s="108">
        <v>13010</v>
      </c>
      <c r="F20" s="277">
        <v>4116</v>
      </c>
      <c r="G20" s="45"/>
      <c r="I20" s="390"/>
      <c r="J20" s="387"/>
      <c r="K20" s="391"/>
    </row>
    <row r="21" spans="1:11" s="275" customFormat="1" x14ac:dyDescent="0.25">
      <c r="A21" s="272">
        <v>42184</v>
      </c>
      <c r="B21" s="107" t="s">
        <v>37</v>
      </c>
      <c r="C21" s="21">
        <v>44</v>
      </c>
      <c r="D21" s="21">
        <v>44000</v>
      </c>
      <c r="E21" s="108">
        <v>13010</v>
      </c>
      <c r="F21" s="277">
        <v>4116</v>
      </c>
      <c r="G21" s="45"/>
      <c r="H21" s="45"/>
      <c r="I21" s="390"/>
      <c r="J21" s="388"/>
      <c r="K21" s="393"/>
    </row>
    <row r="22" spans="1:11" x14ac:dyDescent="0.25">
      <c r="A22" s="43">
        <v>42201</v>
      </c>
      <c r="B22" s="107" t="s">
        <v>37</v>
      </c>
      <c r="C22" s="21">
        <v>32</v>
      </c>
      <c r="D22" s="21">
        <v>32000</v>
      </c>
      <c r="E22" s="108">
        <v>13010</v>
      </c>
      <c r="F22" s="277">
        <v>4116</v>
      </c>
      <c r="G22" s="45"/>
      <c r="I22" s="390"/>
      <c r="J22" s="387"/>
      <c r="K22" s="391"/>
    </row>
    <row r="23" spans="1:11" x14ac:dyDescent="0.25">
      <c r="A23" s="43"/>
      <c r="B23" s="44"/>
      <c r="C23" s="282"/>
      <c r="D23" s="21"/>
      <c r="E23" s="283"/>
      <c r="F23" s="284"/>
      <c r="G23" s="45"/>
      <c r="I23" s="390"/>
      <c r="J23" s="387"/>
      <c r="K23" s="391"/>
    </row>
    <row r="24" spans="1:11" x14ac:dyDescent="0.25">
      <c r="A24" s="43"/>
      <c r="B24" s="285" t="s">
        <v>116</v>
      </c>
      <c r="C24" s="40">
        <f>+SUM(C25:C26)</f>
        <v>36.299999999999997</v>
      </c>
      <c r="D24" s="40">
        <f>+SUM(D25:D26)</f>
        <v>36300</v>
      </c>
      <c r="E24" s="277"/>
      <c r="F24" s="284"/>
      <c r="G24" s="45"/>
      <c r="I24" s="390"/>
      <c r="J24" s="387"/>
      <c r="K24" s="391"/>
    </row>
    <row r="25" spans="1:11" x14ac:dyDescent="0.25">
      <c r="A25" s="43">
        <v>42066</v>
      </c>
      <c r="B25" s="107" t="s">
        <v>115</v>
      </c>
      <c r="C25" s="21">
        <v>36.299999999999997</v>
      </c>
      <c r="D25" s="21">
        <v>36300</v>
      </c>
      <c r="E25" s="286">
        <v>27003</v>
      </c>
      <c r="F25" s="284">
        <v>4116</v>
      </c>
      <c r="G25" s="45"/>
      <c r="I25" s="390"/>
      <c r="J25" s="387"/>
      <c r="K25" s="391"/>
    </row>
    <row r="26" spans="1:11" x14ac:dyDescent="0.25">
      <c r="A26" s="287"/>
      <c r="B26" s="107"/>
      <c r="C26" s="21"/>
      <c r="D26" s="21"/>
      <c r="E26" s="284"/>
      <c r="F26" s="284"/>
      <c r="G26" s="45"/>
      <c r="I26" s="390"/>
      <c r="J26" s="387"/>
      <c r="K26" s="391"/>
    </row>
    <row r="27" spans="1:11" x14ac:dyDescent="0.25">
      <c r="A27" s="43"/>
      <c r="B27" s="285" t="s">
        <v>33</v>
      </c>
      <c r="C27" s="40">
        <f>+SUM(C28:C56)</f>
        <v>19184</v>
      </c>
      <c r="D27" s="40">
        <f>+SUM(D28:D56)</f>
        <v>22178000</v>
      </c>
      <c r="E27" s="277"/>
      <c r="F27" s="284"/>
      <c r="G27" s="45"/>
      <c r="I27" s="390"/>
      <c r="J27" s="387"/>
      <c r="K27" s="391"/>
    </row>
    <row r="28" spans="1:11" x14ac:dyDescent="0.25">
      <c r="A28" s="43">
        <v>42086</v>
      </c>
      <c r="B28" s="107" t="s">
        <v>122</v>
      </c>
      <c r="C28" s="21">
        <v>80</v>
      </c>
      <c r="D28" s="21">
        <v>80000</v>
      </c>
      <c r="E28" s="277">
        <v>34070</v>
      </c>
      <c r="F28" s="277">
        <v>4116</v>
      </c>
      <c r="G28" s="45"/>
      <c r="I28" s="390"/>
      <c r="J28" s="387"/>
      <c r="K28" s="391"/>
    </row>
    <row r="29" spans="1:11" x14ac:dyDescent="0.25">
      <c r="A29" s="43">
        <v>42116</v>
      </c>
      <c r="B29" s="107" t="s">
        <v>266</v>
      </c>
      <c r="C29" s="21">
        <v>25</v>
      </c>
      <c r="D29" s="21">
        <v>25000</v>
      </c>
      <c r="E29" s="277">
        <v>34070</v>
      </c>
      <c r="F29" s="277">
        <v>4116</v>
      </c>
      <c r="G29" s="45"/>
      <c r="I29" s="390"/>
      <c r="J29" s="387"/>
      <c r="K29" s="391"/>
    </row>
    <row r="30" spans="1:11" x14ac:dyDescent="0.25">
      <c r="A30" s="43">
        <v>42116</v>
      </c>
      <c r="B30" s="107" t="s">
        <v>143</v>
      </c>
      <c r="C30" s="21">
        <v>18</v>
      </c>
      <c r="D30" s="21">
        <v>18000</v>
      </c>
      <c r="E30" s="277">
        <v>34070</v>
      </c>
      <c r="F30" s="277">
        <v>4116</v>
      </c>
      <c r="G30" s="45"/>
      <c r="I30" s="390"/>
      <c r="J30" s="387"/>
      <c r="K30" s="391"/>
    </row>
    <row r="31" spans="1:11" x14ac:dyDescent="0.25">
      <c r="A31" s="43">
        <v>42116</v>
      </c>
      <c r="B31" s="107" t="s">
        <v>173</v>
      </c>
      <c r="C31" s="21">
        <v>20</v>
      </c>
      <c r="D31" s="21">
        <v>20000</v>
      </c>
      <c r="E31" s="277">
        <v>34070</v>
      </c>
      <c r="F31" s="277">
        <v>4116</v>
      </c>
      <c r="G31" s="45"/>
      <c r="I31" s="390"/>
      <c r="J31" s="387"/>
      <c r="K31" s="391"/>
    </row>
    <row r="32" spans="1:11" x14ac:dyDescent="0.25">
      <c r="A32" s="43">
        <v>42128</v>
      </c>
      <c r="B32" s="107" t="s">
        <v>172</v>
      </c>
      <c r="C32" s="21">
        <v>45</v>
      </c>
      <c r="D32" s="21">
        <v>45000</v>
      </c>
      <c r="E32" s="277">
        <v>34053</v>
      </c>
      <c r="F32" s="277">
        <v>4116</v>
      </c>
      <c r="G32" s="45"/>
      <c r="I32" s="390"/>
      <c r="J32" s="387"/>
      <c r="K32" s="391"/>
    </row>
    <row r="33" spans="1:11" x14ac:dyDescent="0.25">
      <c r="A33" s="43">
        <v>42135</v>
      </c>
      <c r="B33" s="107" t="s">
        <v>175</v>
      </c>
      <c r="C33" s="21">
        <v>600</v>
      </c>
      <c r="D33" s="21">
        <v>600000</v>
      </c>
      <c r="E33" s="277">
        <v>34070</v>
      </c>
      <c r="F33" s="277">
        <v>4116</v>
      </c>
      <c r="G33" s="45"/>
      <c r="I33" s="390"/>
      <c r="J33" s="387"/>
      <c r="K33" s="391"/>
    </row>
    <row r="34" spans="1:11" x14ac:dyDescent="0.25">
      <c r="A34" s="43">
        <v>42135</v>
      </c>
      <c r="B34" s="107" t="s">
        <v>176</v>
      </c>
      <c r="C34" s="21">
        <v>70</v>
      </c>
      <c r="D34" s="21">
        <v>70000</v>
      </c>
      <c r="E34" s="277">
        <v>34070</v>
      </c>
      <c r="F34" s="277">
        <v>4116</v>
      </c>
      <c r="G34" s="45"/>
      <c r="I34" s="390"/>
      <c r="J34" s="387"/>
      <c r="K34" s="391"/>
    </row>
    <row r="35" spans="1:11" x14ac:dyDescent="0.25">
      <c r="A35" s="43">
        <v>42136</v>
      </c>
      <c r="B35" s="107" t="s">
        <v>177</v>
      </c>
      <c r="C35" s="21">
        <v>120</v>
      </c>
      <c r="D35" s="21">
        <v>120000</v>
      </c>
      <c r="E35" s="277">
        <v>34070</v>
      </c>
      <c r="F35" s="277">
        <v>4116</v>
      </c>
      <c r="G35" s="45"/>
      <c r="I35" s="390"/>
      <c r="J35" s="387"/>
      <c r="K35" s="391"/>
    </row>
    <row r="36" spans="1:11" x14ac:dyDescent="0.25">
      <c r="A36" s="43">
        <v>42136</v>
      </c>
      <c r="B36" s="107" t="s">
        <v>178</v>
      </c>
      <c r="C36" s="21">
        <v>340</v>
      </c>
      <c r="D36" s="21">
        <v>340000</v>
      </c>
      <c r="E36" s="277">
        <v>34070</v>
      </c>
      <c r="F36" s="277">
        <v>4116</v>
      </c>
      <c r="G36" s="45"/>
      <c r="I36" s="390"/>
      <c r="J36" s="387"/>
      <c r="K36" s="391"/>
    </row>
    <row r="37" spans="1:11" x14ac:dyDescent="0.25">
      <c r="A37" s="43">
        <v>42136</v>
      </c>
      <c r="B37" s="107" t="s">
        <v>179</v>
      </c>
      <c r="C37" s="21">
        <v>320</v>
      </c>
      <c r="D37" s="21">
        <v>320000</v>
      </c>
      <c r="E37" s="277">
        <v>34070</v>
      </c>
      <c r="F37" s="277">
        <v>4116</v>
      </c>
      <c r="G37" s="45"/>
      <c r="I37" s="390"/>
      <c r="J37" s="387"/>
      <c r="K37" s="391"/>
    </row>
    <row r="38" spans="1:11" x14ac:dyDescent="0.25">
      <c r="A38" s="43">
        <v>42143</v>
      </c>
      <c r="B38" s="107" t="s">
        <v>194</v>
      </c>
      <c r="C38" s="21">
        <v>95</v>
      </c>
      <c r="D38" s="21">
        <v>95000</v>
      </c>
      <c r="E38" s="277">
        <v>34070</v>
      </c>
      <c r="F38" s="277">
        <v>4116</v>
      </c>
      <c r="G38" s="45"/>
      <c r="I38" s="390"/>
      <c r="J38" s="387"/>
      <c r="K38" s="391"/>
    </row>
    <row r="39" spans="1:11" x14ac:dyDescent="0.25">
      <c r="A39" s="43">
        <v>42143</v>
      </c>
      <c r="B39" s="107" t="s">
        <v>195</v>
      </c>
      <c r="C39" s="21">
        <v>30</v>
      </c>
      <c r="D39" s="21">
        <v>30000</v>
      </c>
      <c r="E39" s="277">
        <v>34194</v>
      </c>
      <c r="F39" s="277">
        <v>4116</v>
      </c>
      <c r="G39" s="45"/>
      <c r="I39" s="390"/>
      <c r="J39" s="387"/>
      <c r="K39" s="391"/>
    </row>
    <row r="40" spans="1:11" x14ac:dyDescent="0.25">
      <c r="A40" s="43">
        <v>42143</v>
      </c>
      <c r="B40" s="107" t="s">
        <v>197</v>
      </c>
      <c r="C40" s="21">
        <v>750</v>
      </c>
      <c r="D40" s="21">
        <v>750000</v>
      </c>
      <c r="E40" s="277">
        <v>34070</v>
      </c>
      <c r="F40" s="277">
        <v>4116</v>
      </c>
      <c r="G40" s="45"/>
      <c r="I40" s="390"/>
      <c r="J40" s="387"/>
      <c r="K40" s="391"/>
    </row>
    <row r="41" spans="1:11" x14ac:dyDescent="0.25">
      <c r="A41" s="43">
        <v>42144</v>
      </c>
      <c r="B41" s="107" t="s">
        <v>199</v>
      </c>
      <c r="C41" s="21">
        <v>64</v>
      </c>
      <c r="D41" s="21">
        <v>64000</v>
      </c>
      <c r="E41" s="277">
        <v>34053</v>
      </c>
      <c r="F41" s="277">
        <v>4116</v>
      </c>
      <c r="G41" s="45"/>
      <c r="I41" s="390"/>
      <c r="J41" s="387"/>
      <c r="K41" s="391"/>
    </row>
    <row r="42" spans="1:11" x14ac:dyDescent="0.25">
      <c r="A42" s="43">
        <v>42144</v>
      </c>
      <c r="B42" s="107" t="s">
        <v>198</v>
      </c>
      <c r="C42" s="21">
        <v>45</v>
      </c>
      <c r="D42" s="21">
        <v>45000</v>
      </c>
      <c r="E42" s="277">
        <v>34053</v>
      </c>
      <c r="F42" s="277">
        <v>4116</v>
      </c>
      <c r="G42" s="45"/>
      <c r="I42" s="390"/>
      <c r="J42" s="387"/>
      <c r="K42" s="391"/>
    </row>
    <row r="43" spans="1:11" x14ac:dyDescent="0.25">
      <c r="A43" s="43">
        <v>42164</v>
      </c>
      <c r="B43" s="107" t="s">
        <v>241</v>
      </c>
      <c r="C43" s="21">
        <v>1200</v>
      </c>
      <c r="D43" s="21">
        <v>1200000</v>
      </c>
      <c r="E43" s="277">
        <v>34352</v>
      </c>
      <c r="F43" s="277">
        <v>4116</v>
      </c>
      <c r="G43" s="45"/>
      <c r="I43" s="390"/>
      <c r="J43" s="387"/>
      <c r="K43" s="391"/>
    </row>
    <row r="44" spans="1:11" x14ac:dyDescent="0.25">
      <c r="A44" s="43">
        <v>42172</v>
      </c>
      <c r="B44" s="107" t="s">
        <v>233</v>
      </c>
      <c r="C44" s="21">
        <v>740</v>
      </c>
      <c r="D44" s="21">
        <v>740000</v>
      </c>
      <c r="E44" s="277">
        <v>34352</v>
      </c>
      <c r="F44" s="277">
        <v>4116</v>
      </c>
      <c r="G44" s="45"/>
      <c r="I44" s="390"/>
      <c r="J44" s="387"/>
      <c r="K44" s="391"/>
    </row>
    <row r="45" spans="1:11" x14ac:dyDescent="0.25">
      <c r="A45" s="43">
        <v>42172</v>
      </c>
      <c r="B45" s="107" t="s">
        <v>234</v>
      </c>
      <c r="C45" s="21">
        <v>2745</v>
      </c>
      <c r="D45" s="21">
        <v>2745000</v>
      </c>
      <c r="E45" s="277">
        <v>34352</v>
      </c>
      <c r="F45" s="277">
        <v>4116</v>
      </c>
      <c r="G45" s="45"/>
      <c r="I45" s="390"/>
      <c r="J45" s="387"/>
      <c r="K45" s="391"/>
    </row>
    <row r="46" spans="1:11" x14ac:dyDescent="0.25">
      <c r="A46" s="43">
        <v>42172</v>
      </c>
      <c r="B46" s="107" t="s">
        <v>235</v>
      </c>
      <c r="C46" s="21">
        <v>2580</v>
      </c>
      <c r="D46" s="21">
        <v>2580000</v>
      </c>
      <c r="E46" s="277">
        <v>34352</v>
      </c>
      <c r="F46" s="277">
        <v>4116</v>
      </c>
      <c r="G46" s="45"/>
      <c r="I46" s="390"/>
      <c r="J46" s="387"/>
      <c r="K46" s="391"/>
    </row>
    <row r="47" spans="1:11" x14ac:dyDescent="0.25">
      <c r="A47" s="43">
        <v>42178</v>
      </c>
      <c r="B47" s="107" t="s">
        <v>242</v>
      </c>
      <c r="C47" s="21">
        <v>7135</v>
      </c>
      <c r="D47" s="21">
        <v>7135000</v>
      </c>
      <c r="E47" s="277">
        <v>34352</v>
      </c>
      <c r="F47" s="277">
        <v>4116</v>
      </c>
      <c r="G47" s="45"/>
      <c r="I47" s="390"/>
      <c r="J47" s="387"/>
      <c r="K47" s="391"/>
    </row>
    <row r="48" spans="1:11" x14ac:dyDescent="0.25">
      <c r="A48" s="43">
        <v>42188</v>
      </c>
      <c r="B48" s="107" t="s">
        <v>278</v>
      </c>
      <c r="C48" s="21">
        <v>112</v>
      </c>
      <c r="D48" s="21">
        <v>112000</v>
      </c>
      <c r="E48" s="277">
        <v>34001</v>
      </c>
      <c r="F48" s="277">
        <v>4116</v>
      </c>
      <c r="G48" s="45"/>
      <c r="I48" s="390"/>
      <c r="J48" s="387"/>
      <c r="K48" s="391"/>
    </row>
    <row r="49" spans="1:11" x14ac:dyDescent="0.25">
      <c r="A49" s="43">
        <v>42198</v>
      </c>
      <c r="B49" s="107" t="s">
        <v>295</v>
      </c>
      <c r="C49" s="21">
        <v>80</v>
      </c>
      <c r="D49" s="21">
        <v>80000</v>
      </c>
      <c r="E49" s="277">
        <v>34070</v>
      </c>
      <c r="F49" s="277">
        <v>4116</v>
      </c>
      <c r="G49" s="45"/>
      <c r="I49" s="390"/>
      <c r="J49" s="387"/>
      <c r="K49" s="391"/>
    </row>
    <row r="50" spans="1:11" x14ac:dyDescent="0.25">
      <c r="A50" s="43">
        <v>42212</v>
      </c>
      <c r="B50" s="107" t="s">
        <v>341</v>
      </c>
      <c r="C50" s="21">
        <v>1900</v>
      </c>
      <c r="D50" s="21">
        <v>1900000</v>
      </c>
      <c r="E50" s="277">
        <v>34054</v>
      </c>
      <c r="F50" s="277">
        <v>4116</v>
      </c>
      <c r="G50" s="45"/>
      <c r="I50" s="390"/>
      <c r="J50" s="387"/>
      <c r="K50" s="391"/>
    </row>
    <row r="51" spans="1:11" x14ac:dyDescent="0.25">
      <c r="A51" s="43">
        <v>42214</v>
      </c>
      <c r="B51" s="107" t="s">
        <v>340</v>
      </c>
      <c r="C51" s="21">
        <v>70</v>
      </c>
      <c r="D51" s="21">
        <v>70000</v>
      </c>
      <c r="E51" s="277">
        <v>34070</v>
      </c>
      <c r="F51" s="277">
        <v>4116</v>
      </c>
      <c r="G51" s="384"/>
      <c r="I51" s="390"/>
      <c r="J51" s="387"/>
      <c r="K51" s="391"/>
    </row>
    <row r="52" spans="1:11" x14ac:dyDescent="0.25">
      <c r="A52" s="43">
        <v>42227</v>
      </c>
      <c r="B52" s="107" t="s">
        <v>367</v>
      </c>
      <c r="C52" s="21">
        <v>0</v>
      </c>
      <c r="D52" s="21">
        <v>180000</v>
      </c>
      <c r="E52" s="277">
        <v>34070</v>
      </c>
      <c r="F52" s="277">
        <v>4116</v>
      </c>
      <c r="G52" s="160"/>
      <c r="I52" s="390"/>
      <c r="J52" s="387"/>
      <c r="K52" s="391"/>
    </row>
    <row r="53" spans="1:11" x14ac:dyDescent="0.25">
      <c r="A53" s="43">
        <v>42241</v>
      </c>
      <c r="B53" s="107" t="s">
        <v>381</v>
      </c>
      <c r="C53" s="21">
        <v>0</v>
      </c>
      <c r="D53" s="21">
        <v>2654000</v>
      </c>
      <c r="E53" s="277">
        <v>34002</v>
      </c>
      <c r="F53" s="277">
        <v>4116</v>
      </c>
      <c r="G53" s="45"/>
      <c r="I53" s="390"/>
      <c r="J53" s="387"/>
      <c r="K53" s="391"/>
    </row>
    <row r="54" spans="1:11" x14ac:dyDescent="0.25">
      <c r="A54" s="43"/>
      <c r="B54" s="107" t="s">
        <v>382</v>
      </c>
      <c r="C54" s="21">
        <v>0</v>
      </c>
      <c r="D54" s="21">
        <v>70000</v>
      </c>
      <c r="E54" s="277">
        <v>34002</v>
      </c>
      <c r="F54" s="277">
        <v>4116</v>
      </c>
      <c r="G54" s="384" t="s">
        <v>349</v>
      </c>
      <c r="H54" s="384">
        <v>70000</v>
      </c>
      <c r="I54" s="390"/>
      <c r="J54" s="387"/>
      <c r="K54" s="391">
        <v>70000</v>
      </c>
    </row>
    <row r="55" spans="1:11" x14ac:dyDescent="0.25">
      <c r="A55" s="43"/>
      <c r="B55" s="107" t="s">
        <v>383</v>
      </c>
      <c r="C55" s="21">
        <v>0</v>
      </c>
      <c r="D55" s="21">
        <v>90000</v>
      </c>
      <c r="E55" s="277">
        <v>34002</v>
      </c>
      <c r="F55" s="277">
        <v>4116</v>
      </c>
      <c r="G55" s="384" t="s">
        <v>349</v>
      </c>
      <c r="H55" s="384">
        <v>90000</v>
      </c>
      <c r="I55" s="390"/>
      <c r="J55" s="387"/>
      <c r="K55" s="391">
        <v>90000</v>
      </c>
    </row>
    <row r="56" spans="1:11" x14ac:dyDescent="0.25">
      <c r="A56" s="43"/>
      <c r="B56" s="107"/>
      <c r="C56" s="21"/>
      <c r="D56" s="21"/>
      <c r="E56" s="277"/>
      <c r="F56" s="277"/>
      <c r="G56" s="45"/>
      <c r="I56" s="390"/>
      <c r="J56" s="387"/>
      <c r="K56" s="391"/>
    </row>
    <row r="57" spans="1:11" x14ac:dyDescent="0.25">
      <c r="A57" s="43"/>
      <c r="B57" s="285" t="s">
        <v>34</v>
      </c>
      <c r="C57" s="40">
        <f>SUM(C58:C119)</f>
        <v>40901.646079999991</v>
      </c>
      <c r="D57" s="40">
        <f>SUM(D58:D119)</f>
        <v>51231160.82</v>
      </c>
      <c r="E57" s="277"/>
      <c r="F57" s="284"/>
      <c r="G57" s="45"/>
      <c r="I57" s="390"/>
      <c r="J57" s="387"/>
      <c r="K57" s="391"/>
    </row>
    <row r="58" spans="1:11" x14ac:dyDescent="0.25">
      <c r="A58" s="43">
        <v>42054</v>
      </c>
      <c r="B58" s="107" t="s">
        <v>68</v>
      </c>
      <c r="C58" s="53">
        <v>972.54641000000004</v>
      </c>
      <c r="D58" s="176">
        <v>972546.41</v>
      </c>
      <c r="E58" s="277">
        <v>33019</v>
      </c>
      <c r="F58" s="284" t="s">
        <v>18</v>
      </c>
      <c r="G58" s="45"/>
      <c r="I58" s="390"/>
      <c r="J58" s="387"/>
      <c r="K58" s="391"/>
    </row>
    <row r="59" spans="1:11" x14ac:dyDescent="0.25">
      <c r="A59" s="43">
        <v>42081</v>
      </c>
      <c r="B59" s="107" t="s">
        <v>117</v>
      </c>
      <c r="C59" s="53">
        <v>192</v>
      </c>
      <c r="D59" s="55">
        <v>192000</v>
      </c>
      <c r="E59" s="277">
        <v>33339</v>
      </c>
      <c r="F59" s="284">
        <v>4116</v>
      </c>
      <c r="G59" s="45"/>
      <c r="I59" s="390"/>
      <c r="J59" s="387"/>
      <c r="K59" s="391"/>
    </row>
    <row r="60" spans="1:11" x14ac:dyDescent="0.25">
      <c r="A60" s="43">
        <v>42116</v>
      </c>
      <c r="B60" s="107" t="s">
        <v>145</v>
      </c>
      <c r="C60" s="53">
        <v>417.25607000000002</v>
      </c>
      <c r="D60" s="197">
        <f>354667.65+62588.42</f>
        <v>417256.07</v>
      </c>
      <c r="E60" s="277">
        <v>33019</v>
      </c>
      <c r="F60" s="284">
        <v>4116</v>
      </c>
      <c r="G60" s="45"/>
      <c r="I60" s="390"/>
      <c r="J60" s="387"/>
      <c r="K60" s="391"/>
    </row>
    <row r="61" spans="1:11" x14ac:dyDescent="0.25">
      <c r="A61" s="43">
        <v>42117</v>
      </c>
      <c r="B61" s="107" t="s">
        <v>148</v>
      </c>
      <c r="C61" s="53">
        <v>6858.8674300000002</v>
      </c>
      <c r="D61" s="415">
        <v>6858867.4299999997</v>
      </c>
      <c r="E61" s="277">
        <v>33019</v>
      </c>
      <c r="F61" s="284">
        <v>4116</v>
      </c>
      <c r="G61" s="45"/>
      <c r="I61" s="390"/>
      <c r="J61" s="387"/>
      <c r="K61" s="391"/>
    </row>
    <row r="62" spans="1:11" x14ac:dyDescent="0.25">
      <c r="A62" s="43">
        <v>42131</v>
      </c>
      <c r="B62" s="107" t="s">
        <v>174</v>
      </c>
      <c r="C62" s="53">
        <v>592.21028999999999</v>
      </c>
      <c r="D62" s="197">
        <v>592210.29</v>
      </c>
      <c r="E62" s="67">
        <v>33019</v>
      </c>
      <c r="F62" s="284">
        <v>4116</v>
      </c>
      <c r="G62" s="45"/>
      <c r="I62" s="390"/>
      <c r="J62" s="387"/>
      <c r="K62" s="391"/>
    </row>
    <row r="63" spans="1:11" x14ac:dyDescent="0.25">
      <c r="A63" s="43">
        <v>42138</v>
      </c>
      <c r="B63" s="107" t="s">
        <v>148</v>
      </c>
      <c r="C63" s="53">
        <v>4904.7020000000002</v>
      </c>
      <c r="D63" s="197">
        <v>4904702</v>
      </c>
      <c r="E63" s="67">
        <v>33019</v>
      </c>
      <c r="F63" s="284">
        <v>4116</v>
      </c>
      <c r="G63" s="45"/>
      <c r="I63" s="390"/>
      <c r="J63" s="387"/>
      <c r="K63" s="391"/>
    </row>
    <row r="64" spans="1:11" x14ac:dyDescent="0.25">
      <c r="A64" s="43">
        <v>42184</v>
      </c>
      <c r="B64" s="107" t="s">
        <v>145</v>
      </c>
      <c r="C64" s="53">
        <v>681.93142</v>
      </c>
      <c r="D64" s="197">
        <v>681931.42</v>
      </c>
      <c r="E64" s="67">
        <v>33019</v>
      </c>
      <c r="F64" s="284">
        <v>4116</v>
      </c>
      <c r="G64" s="45"/>
      <c r="I64" s="390"/>
      <c r="J64" s="387"/>
      <c r="K64" s="391"/>
    </row>
    <row r="65" spans="1:11" x14ac:dyDescent="0.25">
      <c r="A65" s="43">
        <v>42188</v>
      </c>
      <c r="B65" s="276" t="s">
        <v>174</v>
      </c>
      <c r="C65" s="53">
        <v>800.06946000000005</v>
      </c>
      <c r="D65" s="197">
        <v>800069.46</v>
      </c>
      <c r="E65" s="67">
        <v>33019</v>
      </c>
      <c r="F65" s="284">
        <v>4116</v>
      </c>
      <c r="G65" s="45"/>
      <c r="I65" s="390"/>
      <c r="J65" s="387"/>
      <c r="K65" s="391"/>
    </row>
    <row r="66" spans="1:11" x14ac:dyDescent="0.25">
      <c r="A66" s="43">
        <v>42198</v>
      </c>
      <c r="B66" s="276" t="s">
        <v>275</v>
      </c>
      <c r="C66" s="53">
        <f>841.97005+148.58295</f>
        <v>990.553</v>
      </c>
      <c r="D66" s="55">
        <f>841970.05+148582.95</f>
        <v>990553</v>
      </c>
      <c r="E66" s="67">
        <v>33058</v>
      </c>
      <c r="F66" s="284">
        <v>4116</v>
      </c>
      <c r="G66" s="45"/>
      <c r="I66" s="390"/>
      <c r="J66" s="387"/>
      <c r="K66" s="391"/>
    </row>
    <row r="67" spans="1:11" x14ac:dyDescent="0.25">
      <c r="A67" s="43">
        <v>42198</v>
      </c>
      <c r="B67" s="276" t="s">
        <v>276</v>
      </c>
      <c r="C67" s="53">
        <f>846.78615+149.43285</f>
        <v>996.21900000000005</v>
      </c>
      <c r="D67" s="55">
        <f>846786.15+149432.85</f>
        <v>996219</v>
      </c>
      <c r="E67" s="67">
        <v>33058</v>
      </c>
      <c r="F67" s="284">
        <v>4116</v>
      </c>
      <c r="G67" s="45"/>
      <c r="I67" s="390"/>
      <c r="J67" s="387"/>
      <c r="K67" s="391"/>
    </row>
    <row r="68" spans="1:11" x14ac:dyDescent="0.25">
      <c r="A68" s="43">
        <v>42198</v>
      </c>
      <c r="B68" s="276" t="s">
        <v>277</v>
      </c>
      <c r="C68" s="53">
        <f>689.90845+121.74855</f>
        <v>811.65700000000004</v>
      </c>
      <c r="D68" s="55">
        <f>689908.45+121748.55</f>
        <v>811657</v>
      </c>
      <c r="E68" s="67">
        <v>33058</v>
      </c>
      <c r="F68" s="284">
        <v>4116</v>
      </c>
      <c r="G68" s="45"/>
      <c r="I68" s="390"/>
      <c r="J68" s="387"/>
      <c r="K68" s="391"/>
    </row>
    <row r="69" spans="1:11" x14ac:dyDescent="0.25">
      <c r="A69" s="43">
        <v>42200</v>
      </c>
      <c r="B69" s="276" t="s">
        <v>296</v>
      </c>
      <c r="C69" s="53">
        <v>978.06399999999996</v>
      </c>
      <c r="D69" s="55">
        <v>978064</v>
      </c>
      <c r="E69" s="67">
        <v>33058</v>
      </c>
      <c r="F69" s="284">
        <v>4116</v>
      </c>
      <c r="G69" s="45"/>
      <c r="I69" s="390"/>
      <c r="J69" s="387"/>
      <c r="K69" s="391"/>
    </row>
    <row r="70" spans="1:11" x14ac:dyDescent="0.25">
      <c r="A70" s="43">
        <v>42200</v>
      </c>
      <c r="B70" s="276" t="s">
        <v>297</v>
      </c>
      <c r="C70" s="53">
        <v>914.54499999999996</v>
      </c>
      <c r="D70" s="55">
        <v>914545</v>
      </c>
      <c r="E70" s="67">
        <v>33058</v>
      </c>
      <c r="F70" s="284">
        <v>4116</v>
      </c>
      <c r="G70" s="45"/>
      <c r="I70" s="390"/>
      <c r="J70" s="387"/>
      <c r="K70" s="391"/>
    </row>
    <row r="71" spans="1:11" x14ac:dyDescent="0.25">
      <c r="A71" s="43">
        <v>42200</v>
      </c>
      <c r="B71" s="276" t="s">
        <v>298</v>
      </c>
      <c r="C71" s="53">
        <v>797.56700000000001</v>
      </c>
      <c r="D71" s="55">
        <v>797567</v>
      </c>
      <c r="E71" s="67">
        <v>33058</v>
      </c>
      <c r="F71" s="284">
        <v>4116</v>
      </c>
      <c r="G71" s="45"/>
      <c r="I71" s="390"/>
      <c r="J71" s="387"/>
      <c r="K71" s="391"/>
    </row>
    <row r="72" spans="1:11" x14ac:dyDescent="0.25">
      <c r="A72" s="43">
        <v>42200</v>
      </c>
      <c r="B72" s="276" t="s">
        <v>299</v>
      </c>
      <c r="C72" s="53">
        <v>991.53399999999999</v>
      </c>
      <c r="D72" s="55">
        <v>991534</v>
      </c>
      <c r="E72" s="67">
        <v>33058</v>
      </c>
      <c r="F72" s="284">
        <v>4116</v>
      </c>
      <c r="G72" s="45"/>
      <c r="I72" s="390"/>
      <c r="J72" s="387"/>
      <c r="K72" s="391"/>
    </row>
    <row r="73" spans="1:11" x14ac:dyDescent="0.25">
      <c r="A73" s="43">
        <v>42200</v>
      </c>
      <c r="B73" s="276" t="s">
        <v>300</v>
      </c>
      <c r="C73" s="53">
        <v>959.90899999999999</v>
      </c>
      <c r="D73" s="55">
        <v>959909</v>
      </c>
      <c r="E73" s="67">
        <v>33058</v>
      </c>
      <c r="F73" s="284">
        <v>4116</v>
      </c>
      <c r="G73" s="45"/>
      <c r="I73" s="390"/>
      <c r="J73" s="387"/>
      <c r="K73" s="391"/>
    </row>
    <row r="74" spans="1:11" x14ac:dyDescent="0.25">
      <c r="A74" s="43">
        <v>42206</v>
      </c>
      <c r="B74" s="276" t="s">
        <v>314</v>
      </c>
      <c r="C74" s="53">
        <v>415.29</v>
      </c>
      <c r="D74" s="55">
        <v>415290</v>
      </c>
      <c r="E74" s="67">
        <v>33058</v>
      </c>
      <c r="F74" s="284">
        <v>4116</v>
      </c>
      <c r="G74" s="45"/>
      <c r="I74" s="390"/>
      <c r="J74" s="387"/>
      <c r="K74" s="391"/>
    </row>
    <row r="75" spans="1:11" x14ac:dyDescent="0.25">
      <c r="A75" s="43">
        <v>42206</v>
      </c>
      <c r="B75" s="276" t="s">
        <v>315</v>
      </c>
      <c r="C75" s="53">
        <v>578.94200000000001</v>
      </c>
      <c r="D75" s="55">
        <v>578942</v>
      </c>
      <c r="E75" s="67">
        <v>33058</v>
      </c>
      <c r="F75" s="284">
        <v>4116</v>
      </c>
      <c r="G75" s="45"/>
      <c r="I75" s="390"/>
      <c r="J75" s="387"/>
      <c r="K75" s="391"/>
    </row>
    <row r="76" spans="1:11" x14ac:dyDescent="0.25">
      <c r="A76" s="43">
        <v>42206</v>
      </c>
      <c r="B76" s="276" t="s">
        <v>316</v>
      </c>
      <c r="C76" s="53">
        <v>528.80200000000002</v>
      </c>
      <c r="D76" s="55">
        <v>528802</v>
      </c>
      <c r="E76" s="67">
        <v>33058</v>
      </c>
      <c r="F76" s="284">
        <v>4116</v>
      </c>
      <c r="G76" s="45"/>
      <c r="I76" s="390"/>
      <c r="J76" s="387"/>
      <c r="K76" s="391"/>
    </row>
    <row r="77" spans="1:11" x14ac:dyDescent="0.25">
      <c r="A77" s="43">
        <v>42206</v>
      </c>
      <c r="B77" s="276" t="s">
        <v>317</v>
      </c>
      <c r="C77" s="53">
        <v>672.51599999999996</v>
      </c>
      <c r="D77" s="55">
        <v>672516</v>
      </c>
      <c r="E77" s="67">
        <v>33058</v>
      </c>
      <c r="F77" s="284">
        <v>4116</v>
      </c>
      <c r="G77" s="45"/>
      <c r="I77" s="390"/>
      <c r="J77" s="387"/>
      <c r="K77" s="391"/>
    </row>
    <row r="78" spans="1:11" x14ac:dyDescent="0.25">
      <c r="A78" s="43">
        <v>42206</v>
      </c>
      <c r="B78" s="276" t="s">
        <v>318</v>
      </c>
      <c r="C78" s="53">
        <v>424.34399999999999</v>
      </c>
      <c r="D78" s="55">
        <v>424344</v>
      </c>
      <c r="E78" s="67">
        <v>33058</v>
      </c>
      <c r="F78" s="284">
        <v>4116</v>
      </c>
      <c r="G78" s="45"/>
      <c r="I78" s="390"/>
      <c r="J78" s="387"/>
      <c r="K78" s="391"/>
    </row>
    <row r="79" spans="1:11" x14ac:dyDescent="0.25">
      <c r="A79" s="43">
        <v>42206</v>
      </c>
      <c r="B79" s="276" t="s">
        <v>319</v>
      </c>
      <c r="C79" s="47">
        <v>315.46100000000001</v>
      </c>
      <c r="D79" s="55">
        <v>315461</v>
      </c>
      <c r="E79" s="67">
        <v>33058</v>
      </c>
      <c r="F79" s="284">
        <v>4116</v>
      </c>
      <c r="G79" s="45"/>
      <c r="I79" s="390"/>
      <c r="J79" s="387"/>
      <c r="K79" s="391"/>
    </row>
    <row r="80" spans="1:11" x14ac:dyDescent="0.25">
      <c r="A80" s="43">
        <v>42206</v>
      </c>
      <c r="B80" s="276" t="s">
        <v>320</v>
      </c>
      <c r="C80" s="47">
        <v>537.85599999999999</v>
      </c>
      <c r="D80" s="55">
        <v>537856</v>
      </c>
      <c r="E80" s="67">
        <v>33058</v>
      </c>
      <c r="F80" s="284">
        <v>4116</v>
      </c>
      <c r="G80" s="45"/>
      <c r="I80" s="390"/>
      <c r="J80" s="387"/>
      <c r="K80" s="391"/>
    </row>
    <row r="81" spans="1:11" x14ac:dyDescent="0.25">
      <c r="A81" s="43">
        <v>42206</v>
      </c>
      <c r="B81" s="276" t="s">
        <v>321</v>
      </c>
      <c r="C81" s="47">
        <v>980.19799999999998</v>
      </c>
      <c r="D81" s="55">
        <v>980198</v>
      </c>
      <c r="E81" s="67">
        <v>33058</v>
      </c>
      <c r="F81" s="284">
        <v>4116</v>
      </c>
      <c r="G81" s="45"/>
      <c r="I81" s="390"/>
      <c r="J81" s="387"/>
      <c r="K81" s="391"/>
    </row>
    <row r="82" spans="1:11" x14ac:dyDescent="0.25">
      <c r="A82" s="43">
        <v>42209</v>
      </c>
      <c r="B82" s="276" t="s">
        <v>323</v>
      </c>
      <c r="C82" s="47">
        <v>715.23800000000006</v>
      </c>
      <c r="D82" s="55">
        <v>715238</v>
      </c>
      <c r="E82" s="67">
        <v>33058</v>
      </c>
      <c r="F82" s="284">
        <v>4116</v>
      </c>
      <c r="G82" s="45"/>
      <c r="I82" s="390"/>
      <c r="J82" s="387"/>
      <c r="K82" s="391"/>
    </row>
    <row r="83" spans="1:11" x14ac:dyDescent="0.25">
      <c r="A83" s="43">
        <v>42209</v>
      </c>
      <c r="B83" s="276" t="s">
        <v>324</v>
      </c>
      <c r="C83" s="47">
        <v>692.15</v>
      </c>
      <c r="D83" s="55">
        <v>692150</v>
      </c>
      <c r="E83" s="67">
        <v>33058</v>
      </c>
      <c r="F83" s="284">
        <v>4116</v>
      </c>
      <c r="G83" s="45"/>
      <c r="I83" s="390"/>
      <c r="J83" s="387"/>
      <c r="K83" s="391"/>
    </row>
    <row r="84" spans="1:11" x14ac:dyDescent="0.25">
      <c r="A84" s="43">
        <v>42209</v>
      </c>
      <c r="B84" s="276" t="s">
        <v>325</v>
      </c>
      <c r="C84" s="47">
        <v>903.15300000000002</v>
      </c>
      <c r="D84" s="55">
        <v>903153</v>
      </c>
      <c r="E84" s="67">
        <v>33058</v>
      </c>
      <c r="F84" s="284">
        <v>4116</v>
      </c>
      <c r="G84" s="45"/>
      <c r="I84" s="390"/>
      <c r="J84" s="387"/>
      <c r="K84" s="391"/>
    </row>
    <row r="85" spans="1:11" x14ac:dyDescent="0.25">
      <c r="A85" s="43">
        <v>42209</v>
      </c>
      <c r="B85" s="276" t="s">
        <v>326</v>
      </c>
      <c r="C85" s="47">
        <v>328.98700000000002</v>
      </c>
      <c r="D85" s="55">
        <v>328987</v>
      </c>
      <c r="E85" s="67">
        <v>33058</v>
      </c>
      <c r="F85" s="284">
        <v>4116</v>
      </c>
      <c r="G85" s="45"/>
      <c r="I85" s="390"/>
      <c r="J85" s="387"/>
      <c r="K85" s="391"/>
    </row>
    <row r="86" spans="1:11" x14ac:dyDescent="0.25">
      <c r="A86" s="43">
        <v>42209</v>
      </c>
      <c r="B86" s="276" t="s">
        <v>327</v>
      </c>
      <c r="C86" s="47">
        <v>989.45600000000002</v>
      </c>
      <c r="D86" s="55">
        <v>989456</v>
      </c>
      <c r="E86" s="67">
        <v>33058</v>
      </c>
      <c r="F86" s="284">
        <v>4116</v>
      </c>
      <c r="G86" s="45"/>
      <c r="I86" s="390"/>
      <c r="J86" s="387"/>
      <c r="K86" s="391"/>
    </row>
    <row r="87" spans="1:11" x14ac:dyDescent="0.25">
      <c r="A87" s="43">
        <v>42209</v>
      </c>
      <c r="B87" s="276" t="s">
        <v>328</v>
      </c>
      <c r="C87" s="47">
        <v>990.11099999999999</v>
      </c>
      <c r="D87" s="55">
        <v>990111</v>
      </c>
      <c r="E87" s="67">
        <v>33058</v>
      </c>
      <c r="F87" s="284">
        <v>4116</v>
      </c>
      <c r="G87" s="45"/>
      <c r="I87" s="390"/>
      <c r="J87" s="387"/>
      <c r="K87" s="391"/>
    </row>
    <row r="88" spans="1:11" x14ac:dyDescent="0.25">
      <c r="A88" s="43">
        <v>42214</v>
      </c>
      <c r="B88" s="276" t="s">
        <v>335</v>
      </c>
      <c r="C88" s="47">
        <v>973.43499999999995</v>
      </c>
      <c r="D88" s="55">
        <f>827419.75+146015.25</f>
        <v>973435</v>
      </c>
      <c r="E88" s="67">
        <v>33058</v>
      </c>
      <c r="F88" s="277">
        <v>4116</v>
      </c>
      <c r="G88" s="45"/>
      <c r="I88" s="390"/>
      <c r="J88" s="387"/>
      <c r="K88" s="391"/>
    </row>
    <row r="89" spans="1:11" x14ac:dyDescent="0.25">
      <c r="A89" s="43">
        <v>42214</v>
      </c>
      <c r="B89" s="276" t="s">
        <v>336</v>
      </c>
      <c r="C89" s="47">
        <v>600.303</v>
      </c>
      <c r="D89" s="55">
        <f>510257.55+90045.45</f>
        <v>600303</v>
      </c>
      <c r="E89" s="67">
        <v>33058</v>
      </c>
      <c r="F89" s="277">
        <v>4116</v>
      </c>
      <c r="G89" s="45"/>
      <c r="I89" s="390"/>
      <c r="J89" s="387"/>
      <c r="K89" s="391"/>
    </row>
    <row r="90" spans="1:11" x14ac:dyDescent="0.25">
      <c r="A90" s="43">
        <v>42214</v>
      </c>
      <c r="B90" s="276" t="s">
        <v>337</v>
      </c>
      <c r="C90" s="47">
        <v>87.683000000000007</v>
      </c>
      <c r="D90" s="55">
        <v>87683</v>
      </c>
      <c r="E90" s="67">
        <v>33060</v>
      </c>
      <c r="F90" s="277">
        <v>4116</v>
      </c>
      <c r="G90" s="45"/>
      <c r="I90" s="390"/>
      <c r="J90" s="387"/>
      <c r="K90" s="391"/>
    </row>
    <row r="91" spans="1:11" x14ac:dyDescent="0.25">
      <c r="A91" s="43">
        <v>42214</v>
      </c>
      <c r="B91" s="276" t="s">
        <v>338</v>
      </c>
      <c r="C91" s="47">
        <v>40</v>
      </c>
      <c r="D91" s="55">
        <v>40000</v>
      </c>
      <c r="E91" s="67">
        <v>33060</v>
      </c>
      <c r="F91" s="277">
        <v>4116</v>
      </c>
      <c r="G91" s="45"/>
      <c r="I91" s="390"/>
      <c r="J91" s="387"/>
      <c r="K91" s="391"/>
    </row>
    <row r="92" spans="1:11" x14ac:dyDescent="0.25">
      <c r="A92" s="43">
        <v>42214</v>
      </c>
      <c r="B92" s="276" t="s">
        <v>339</v>
      </c>
      <c r="C92" s="47">
        <v>100.455</v>
      </c>
      <c r="D92" s="55">
        <v>100455</v>
      </c>
      <c r="E92" s="67">
        <v>33060</v>
      </c>
      <c r="F92" s="277">
        <v>4116</v>
      </c>
      <c r="G92" s="45"/>
      <c r="I92" s="390"/>
      <c r="J92" s="387"/>
      <c r="K92" s="391"/>
    </row>
    <row r="93" spans="1:11" x14ac:dyDescent="0.25">
      <c r="A93" s="43">
        <v>42222</v>
      </c>
      <c r="B93" s="276" t="s">
        <v>361</v>
      </c>
      <c r="C93" s="21">
        <v>568.97299999999996</v>
      </c>
      <c r="D93" s="55">
        <v>568973</v>
      </c>
      <c r="E93" s="67">
        <v>33058</v>
      </c>
      <c r="F93" s="277">
        <v>4116</v>
      </c>
      <c r="G93" s="45"/>
      <c r="I93" s="390"/>
      <c r="J93" s="387"/>
      <c r="K93" s="391"/>
    </row>
    <row r="94" spans="1:11" x14ac:dyDescent="0.25">
      <c r="A94" s="43">
        <v>42227</v>
      </c>
      <c r="B94" s="276" t="s">
        <v>362</v>
      </c>
      <c r="C94" s="21">
        <v>417.58100000000002</v>
      </c>
      <c r="D94" s="55">
        <v>417581</v>
      </c>
      <c r="E94" s="67">
        <v>33058</v>
      </c>
      <c r="F94" s="277">
        <v>4116</v>
      </c>
      <c r="G94" s="45"/>
      <c r="I94" s="390"/>
      <c r="J94" s="387"/>
      <c r="K94" s="391"/>
    </row>
    <row r="95" spans="1:11" x14ac:dyDescent="0.25">
      <c r="A95" s="43">
        <v>42227</v>
      </c>
      <c r="B95" s="276" t="s">
        <v>363</v>
      </c>
      <c r="C95" s="21">
        <v>707.96699999999998</v>
      </c>
      <c r="D95" s="55">
        <v>707967</v>
      </c>
      <c r="E95" s="67">
        <v>33058</v>
      </c>
      <c r="F95" s="277">
        <v>4116</v>
      </c>
      <c r="G95" s="45"/>
      <c r="I95" s="390"/>
      <c r="J95" s="387"/>
      <c r="K95" s="391"/>
    </row>
    <row r="96" spans="1:11" x14ac:dyDescent="0.25">
      <c r="A96" s="43">
        <v>42227</v>
      </c>
      <c r="B96" s="276" t="s">
        <v>364</v>
      </c>
      <c r="C96" s="21">
        <v>542.32799999999997</v>
      </c>
      <c r="D96" s="55">
        <v>542328</v>
      </c>
      <c r="E96" s="67">
        <v>33058</v>
      </c>
      <c r="F96" s="277">
        <v>4116</v>
      </c>
      <c r="G96" s="45"/>
      <c r="I96" s="390"/>
      <c r="J96" s="387"/>
      <c r="K96" s="391"/>
    </row>
    <row r="97" spans="1:11" x14ac:dyDescent="0.25">
      <c r="A97" s="43">
        <v>42227</v>
      </c>
      <c r="B97" s="276" t="s">
        <v>365</v>
      </c>
      <c r="C97" s="21">
        <v>605.84699999999998</v>
      </c>
      <c r="D97" s="55">
        <v>605847</v>
      </c>
      <c r="E97" s="67">
        <v>33058</v>
      </c>
      <c r="F97" s="277">
        <v>4116</v>
      </c>
      <c r="G97" s="45"/>
      <c r="I97" s="390"/>
      <c r="J97" s="387"/>
      <c r="K97" s="391"/>
    </row>
    <row r="98" spans="1:11" x14ac:dyDescent="0.25">
      <c r="A98" s="43">
        <v>42227</v>
      </c>
      <c r="B98" s="276" t="s">
        <v>366</v>
      </c>
      <c r="C98" s="21">
        <v>914.54499999999996</v>
      </c>
      <c r="D98" s="55">
        <v>914545</v>
      </c>
      <c r="E98" s="67">
        <v>33058</v>
      </c>
      <c r="F98" s="277">
        <v>4116</v>
      </c>
      <c r="G98" s="45"/>
      <c r="I98" s="390"/>
      <c r="J98" s="387"/>
      <c r="K98" s="391"/>
    </row>
    <row r="99" spans="1:11" x14ac:dyDescent="0.25">
      <c r="A99" s="43">
        <v>42229</v>
      </c>
      <c r="B99" s="276" t="s">
        <v>369</v>
      </c>
      <c r="C99" s="21">
        <v>614.12400000000002</v>
      </c>
      <c r="D99" s="55">
        <v>614124</v>
      </c>
      <c r="E99" s="67">
        <v>33058</v>
      </c>
      <c r="F99" s="277">
        <v>4116</v>
      </c>
      <c r="G99" s="45"/>
      <c r="I99" s="390"/>
      <c r="J99" s="387"/>
      <c r="K99" s="391"/>
    </row>
    <row r="100" spans="1:11" x14ac:dyDescent="0.25">
      <c r="A100" s="43">
        <v>42229</v>
      </c>
      <c r="B100" s="276" t="s">
        <v>370</v>
      </c>
      <c r="C100" s="21">
        <v>492.49200000000002</v>
      </c>
      <c r="D100" s="55">
        <v>492492</v>
      </c>
      <c r="E100" s="67">
        <v>33058</v>
      </c>
      <c r="F100" s="277">
        <v>4116</v>
      </c>
      <c r="G100" s="45"/>
      <c r="I100" s="390"/>
      <c r="J100" s="387"/>
      <c r="K100" s="391"/>
    </row>
    <row r="101" spans="1:11" x14ac:dyDescent="0.25">
      <c r="A101" s="43">
        <v>42233</v>
      </c>
      <c r="B101" s="276" t="s">
        <v>371</v>
      </c>
      <c r="C101" s="21">
        <v>378.98</v>
      </c>
      <c r="D101" s="55">
        <v>378980</v>
      </c>
      <c r="E101" s="67">
        <v>33058</v>
      </c>
      <c r="F101" s="277">
        <v>4116</v>
      </c>
      <c r="G101" s="45"/>
      <c r="I101" s="390"/>
      <c r="J101" s="387"/>
      <c r="K101" s="391"/>
    </row>
    <row r="102" spans="1:11" x14ac:dyDescent="0.25">
      <c r="A102" s="43">
        <v>42233</v>
      </c>
      <c r="B102" s="276" t="s">
        <v>372</v>
      </c>
      <c r="C102" s="21">
        <v>785.52</v>
      </c>
      <c r="D102" s="55">
        <v>785520</v>
      </c>
      <c r="E102" s="67">
        <v>33058</v>
      </c>
      <c r="F102" s="277">
        <v>4116</v>
      </c>
      <c r="G102" s="45"/>
      <c r="I102" s="390"/>
      <c r="J102" s="387"/>
      <c r="K102" s="391"/>
    </row>
    <row r="103" spans="1:11" x14ac:dyDescent="0.25">
      <c r="A103" s="43">
        <v>42233</v>
      </c>
      <c r="B103" s="276" t="s">
        <v>373</v>
      </c>
      <c r="C103" s="21">
        <v>447.12799999999999</v>
      </c>
      <c r="D103" s="55">
        <v>447128</v>
      </c>
      <c r="E103" s="67">
        <v>33058</v>
      </c>
      <c r="F103" s="277">
        <v>4116</v>
      </c>
      <c r="G103" s="45"/>
      <c r="I103" s="390"/>
      <c r="J103" s="387"/>
      <c r="K103" s="391"/>
    </row>
    <row r="104" spans="1:11" x14ac:dyDescent="0.25">
      <c r="A104" s="43">
        <v>42233</v>
      </c>
      <c r="B104" s="276" t="s">
        <v>374</v>
      </c>
      <c r="C104" s="21">
        <v>692.15</v>
      </c>
      <c r="D104" s="55">
        <v>692150</v>
      </c>
      <c r="E104" s="67">
        <v>33058</v>
      </c>
      <c r="F104" s="277">
        <v>4116</v>
      </c>
      <c r="G104" s="45"/>
      <c r="I104" s="390"/>
      <c r="J104" s="387"/>
      <c r="K104" s="391"/>
    </row>
    <row r="105" spans="1:11" x14ac:dyDescent="0.25">
      <c r="A105" s="43">
        <v>42236</v>
      </c>
      <c r="B105" s="276" t="s">
        <v>375</v>
      </c>
      <c r="C105" s="21">
        <v>0</v>
      </c>
      <c r="D105" s="55">
        <v>479972</v>
      </c>
      <c r="E105" s="67">
        <v>33058</v>
      </c>
      <c r="F105" s="277">
        <v>4116</v>
      </c>
      <c r="G105" s="45"/>
      <c r="I105" s="390"/>
      <c r="J105" s="387"/>
      <c r="K105" s="391"/>
    </row>
    <row r="106" spans="1:11" x14ac:dyDescent="0.25">
      <c r="A106" s="43">
        <v>42236</v>
      </c>
      <c r="B106" s="276" t="s">
        <v>376</v>
      </c>
      <c r="C106" s="21">
        <v>0</v>
      </c>
      <c r="D106" s="55">
        <v>964177</v>
      </c>
      <c r="E106" s="67">
        <v>33058</v>
      </c>
      <c r="F106" s="277">
        <v>4116</v>
      </c>
      <c r="G106" s="45"/>
      <c r="I106" s="390"/>
      <c r="J106" s="387"/>
      <c r="K106" s="391"/>
    </row>
    <row r="107" spans="1:11" x14ac:dyDescent="0.25">
      <c r="A107" s="43">
        <v>42236</v>
      </c>
      <c r="B107" s="276" t="s">
        <v>377</v>
      </c>
      <c r="C107" s="21">
        <v>0</v>
      </c>
      <c r="D107" s="55">
        <v>736599</v>
      </c>
      <c r="E107" s="67">
        <v>33058</v>
      </c>
      <c r="F107" s="277">
        <v>4116</v>
      </c>
      <c r="G107" s="45"/>
      <c r="I107" s="390"/>
      <c r="J107" s="387"/>
      <c r="K107" s="391"/>
    </row>
    <row r="108" spans="1:11" x14ac:dyDescent="0.25">
      <c r="A108" s="43">
        <v>42236</v>
      </c>
      <c r="B108" s="276" t="s">
        <v>378</v>
      </c>
      <c r="C108" s="21">
        <v>0</v>
      </c>
      <c r="D108" s="55">
        <v>501897</v>
      </c>
      <c r="E108" s="67">
        <v>33058</v>
      </c>
      <c r="F108" s="277">
        <v>4116</v>
      </c>
      <c r="G108" s="45"/>
      <c r="I108" s="390"/>
      <c r="J108" s="387"/>
      <c r="K108" s="391"/>
    </row>
    <row r="109" spans="1:11" x14ac:dyDescent="0.25">
      <c r="A109" s="43">
        <v>42240</v>
      </c>
      <c r="B109" s="276" t="s">
        <v>400</v>
      </c>
      <c r="C109" s="21">
        <v>0</v>
      </c>
      <c r="D109" s="55">
        <v>390372</v>
      </c>
      <c r="E109" s="67">
        <v>33058</v>
      </c>
      <c r="F109" s="277">
        <v>4116</v>
      </c>
      <c r="G109" s="45"/>
      <c r="I109" s="390"/>
      <c r="J109" s="387"/>
      <c r="K109" s="391"/>
    </row>
    <row r="110" spans="1:11" x14ac:dyDescent="0.25">
      <c r="A110" s="43">
        <v>42240</v>
      </c>
      <c r="B110" s="276" t="s">
        <v>384</v>
      </c>
      <c r="C110" s="21">
        <v>0</v>
      </c>
      <c r="D110" s="55">
        <v>227024</v>
      </c>
      <c r="E110" s="67">
        <v>33058</v>
      </c>
      <c r="F110" s="277">
        <v>4116</v>
      </c>
      <c r="G110" s="45"/>
      <c r="I110" s="390"/>
      <c r="J110" s="387"/>
      <c r="K110" s="391"/>
    </row>
    <row r="111" spans="1:11" x14ac:dyDescent="0.25">
      <c r="A111" s="43">
        <v>42240</v>
      </c>
      <c r="B111" s="276" t="s">
        <v>385</v>
      </c>
      <c r="C111" s="21">
        <v>0</v>
      </c>
      <c r="D111" s="55">
        <v>649077</v>
      </c>
      <c r="E111" s="67">
        <v>33058</v>
      </c>
      <c r="F111" s="277">
        <v>4116</v>
      </c>
      <c r="G111" s="45"/>
      <c r="I111" s="390"/>
      <c r="J111" s="387"/>
      <c r="K111" s="391"/>
    </row>
    <row r="112" spans="1:11" x14ac:dyDescent="0.25">
      <c r="A112" s="43">
        <v>42240</v>
      </c>
      <c r="B112" s="276" t="s">
        <v>386</v>
      </c>
      <c r="C112" s="21">
        <v>0</v>
      </c>
      <c r="D112" s="55">
        <v>982693</v>
      </c>
      <c r="E112" s="67">
        <v>33058</v>
      </c>
      <c r="F112" s="277">
        <v>4116</v>
      </c>
      <c r="G112" s="45"/>
      <c r="I112" s="390"/>
      <c r="J112" s="387"/>
      <c r="K112" s="391"/>
    </row>
    <row r="113" spans="1:11" x14ac:dyDescent="0.25">
      <c r="A113" s="43">
        <v>42240</v>
      </c>
      <c r="B113" s="276" t="s">
        <v>387</v>
      </c>
      <c r="C113" s="21">
        <v>0</v>
      </c>
      <c r="D113" s="55">
        <v>481100</v>
      </c>
      <c r="E113" s="67">
        <v>33058</v>
      </c>
      <c r="F113" s="277">
        <v>4116</v>
      </c>
      <c r="G113" s="45"/>
      <c r="I113" s="390"/>
      <c r="J113" s="387"/>
      <c r="K113" s="391"/>
    </row>
    <row r="114" spans="1:11" x14ac:dyDescent="0.25">
      <c r="A114" s="43">
        <v>42240</v>
      </c>
      <c r="B114" s="276" t="s">
        <v>388</v>
      </c>
      <c r="C114" s="21">
        <v>0</v>
      </c>
      <c r="D114" s="55">
        <v>979070</v>
      </c>
      <c r="E114" s="67">
        <v>33058</v>
      </c>
      <c r="F114" s="277">
        <v>4116</v>
      </c>
      <c r="G114" s="45"/>
      <c r="I114" s="390"/>
      <c r="J114" s="387"/>
      <c r="K114" s="391"/>
    </row>
    <row r="115" spans="1:11" x14ac:dyDescent="0.25">
      <c r="A115" s="43">
        <v>42240</v>
      </c>
      <c r="B115" s="276" t="s">
        <v>389</v>
      </c>
      <c r="C115" s="21">
        <v>0</v>
      </c>
      <c r="D115" s="55">
        <v>354062</v>
      </c>
      <c r="E115" s="67">
        <v>33058</v>
      </c>
      <c r="F115" s="277">
        <v>4116</v>
      </c>
      <c r="G115" s="45"/>
      <c r="I115" s="390"/>
      <c r="J115" s="387"/>
      <c r="K115" s="391"/>
    </row>
    <row r="116" spans="1:11" x14ac:dyDescent="0.25">
      <c r="A116" s="43">
        <v>42240</v>
      </c>
      <c r="B116" s="276" t="s">
        <v>390</v>
      </c>
      <c r="C116" s="21">
        <v>0</v>
      </c>
      <c r="D116" s="55">
        <v>227024</v>
      </c>
      <c r="E116" s="67">
        <v>33058</v>
      </c>
      <c r="F116" s="277">
        <v>4116</v>
      </c>
      <c r="G116" s="45"/>
      <c r="I116" s="390"/>
      <c r="J116" s="387"/>
      <c r="K116" s="391"/>
    </row>
    <row r="117" spans="1:11" x14ac:dyDescent="0.25">
      <c r="A117" s="43">
        <v>42240</v>
      </c>
      <c r="B117" s="276" t="s">
        <v>391</v>
      </c>
      <c r="C117" s="21">
        <v>0</v>
      </c>
      <c r="D117" s="55">
        <v>998444</v>
      </c>
      <c r="E117" s="67">
        <v>33058</v>
      </c>
      <c r="F117" s="277">
        <v>4116</v>
      </c>
      <c r="G117" s="45"/>
      <c r="I117" s="390"/>
      <c r="J117" s="387"/>
      <c r="K117" s="391"/>
    </row>
    <row r="118" spans="1:11" x14ac:dyDescent="0.25">
      <c r="A118" s="43">
        <v>42240</v>
      </c>
      <c r="B118" s="276" t="s">
        <v>392</v>
      </c>
      <c r="C118" s="21">
        <v>0</v>
      </c>
      <c r="D118" s="55">
        <v>265468</v>
      </c>
      <c r="E118" s="67">
        <v>33058</v>
      </c>
      <c r="F118" s="277">
        <v>4116</v>
      </c>
      <c r="G118" s="384"/>
      <c r="H118" s="384"/>
      <c r="I118" s="390"/>
      <c r="J118" s="387"/>
      <c r="K118" s="391"/>
    </row>
    <row r="119" spans="1:11" x14ac:dyDescent="0.25">
      <c r="A119" s="43">
        <v>42242</v>
      </c>
      <c r="B119" s="276" t="s">
        <v>148</v>
      </c>
      <c r="C119" s="21">
        <v>0</v>
      </c>
      <c r="D119" s="176">
        <v>2092535.74</v>
      </c>
      <c r="E119" s="67">
        <v>33019</v>
      </c>
      <c r="F119" s="277">
        <v>4116</v>
      </c>
      <c r="G119" s="45"/>
      <c r="I119" s="390"/>
      <c r="J119" s="387"/>
      <c r="K119" s="391"/>
    </row>
    <row r="120" spans="1:11" x14ac:dyDescent="0.25">
      <c r="A120" s="43"/>
      <c r="B120" s="107"/>
      <c r="C120" s="21"/>
      <c r="D120" s="53"/>
      <c r="E120" s="67"/>
      <c r="F120" s="277">
        <v>4116</v>
      </c>
      <c r="G120" s="45"/>
      <c r="I120" s="390"/>
      <c r="J120" s="387">
        <v>181303.93</v>
      </c>
      <c r="K120" s="391"/>
    </row>
    <row r="121" spans="1:11" x14ac:dyDescent="0.25">
      <c r="A121" s="43"/>
      <c r="B121" s="273" t="s">
        <v>35</v>
      </c>
      <c r="C121" s="31">
        <f>+SUM(C122:C127)</f>
        <v>2686.6678700000002</v>
      </c>
      <c r="D121" s="31">
        <f>+SUM(D122:D127)</f>
        <v>2686667.87</v>
      </c>
      <c r="E121" s="67"/>
      <c r="F121" s="277"/>
      <c r="G121" s="45"/>
      <c r="I121" s="390"/>
      <c r="J121" s="387"/>
      <c r="K121" s="391"/>
    </row>
    <row r="122" spans="1:11" x14ac:dyDescent="0.25">
      <c r="A122" s="43">
        <v>42040</v>
      </c>
      <c r="B122" s="107" t="s">
        <v>60</v>
      </c>
      <c r="C122" s="53">
        <v>2686.6678700000002</v>
      </c>
      <c r="D122" s="53">
        <v>2686667.87</v>
      </c>
      <c r="E122" s="67">
        <v>17003</v>
      </c>
      <c r="F122" s="277" t="s">
        <v>18</v>
      </c>
      <c r="G122" s="45"/>
      <c r="I122" s="390"/>
      <c r="J122" s="387"/>
      <c r="K122" s="391"/>
    </row>
    <row r="123" spans="1:11" x14ac:dyDescent="0.25">
      <c r="A123" s="43">
        <v>42059</v>
      </c>
      <c r="B123" s="107" t="s">
        <v>105</v>
      </c>
      <c r="C123" s="53">
        <v>188.21549999999999</v>
      </c>
      <c r="D123" s="53">
        <v>188215.5</v>
      </c>
      <c r="E123" s="67">
        <v>17003</v>
      </c>
      <c r="F123" s="277">
        <v>4116</v>
      </c>
      <c r="G123" s="45"/>
      <c r="I123" s="390"/>
      <c r="J123" s="387"/>
      <c r="K123" s="391"/>
    </row>
    <row r="124" spans="1:11" x14ac:dyDescent="0.25">
      <c r="A124" s="43">
        <v>42059</v>
      </c>
      <c r="B124" s="107" t="s">
        <v>105</v>
      </c>
      <c r="C124" s="53">
        <v>33.214500000000001</v>
      </c>
      <c r="D124" s="53">
        <v>33214.5</v>
      </c>
      <c r="E124" s="67">
        <v>17002</v>
      </c>
      <c r="F124" s="277">
        <v>4116</v>
      </c>
      <c r="G124" s="45"/>
      <c r="I124" s="390"/>
      <c r="J124" s="387"/>
      <c r="K124" s="391"/>
    </row>
    <row r="125" spans="1:11" x14ac:dyDescent="0.25">
      <c r="A125" s="43">
        <v>42241</v>
      </c>
      <c r="B125" s="107" t="s">
        <v>379</v>
      </c>
      <c r="C125" s="53">
        <v>-188.21549999999999</v>
      </c>
      <c r="D125" s="53">
        <v>-188215.5</v>
      </c>
      <c r="E125" s="67">
        <v>17003</v>
      </c>
      <c r="F125" s="277">
        <v>4116</v>
      </c>
      <c r="G125" s="45"/>
      <c r="I125" s="390"/>
      <c r="J125" s="387"/>
      <c r="K125" s="391"/>
    </row>
    <row r="126" spans="1:11" x14ac:dyDescent="0.25">
      <c r="A126" s="43">
        <v>42241</v>
      </c>
      <c r="B126" s="107" t="s">
        <v>379</v>
      </c>
      <c r="C126" s="53">
        <v>-33.214500000000001</v>
      </c>
      <c r="D126" s="53">
        <v>-33214.5</v>
      </c>
      <c r="E126" s="67">
        <v>17002</v>
      </c>
      <c r="F126" s="277">
        <v>4116</v>
      </c>
      <c r="G126" s="45"/>
      <c r="I126" s="390"/>
      <c r="J126" s="387"/>
      <c r="K126" s="391"/>
    </row>
    <row r="127" spans="1:11" x14ac:dyDescent="0.25">
      <c r="A127" s="43"/>
      <c r="B127" s="289"/>
      <c r="C127" s="53"/>
      <c r="D127" s="53"/>
      <c r="E127" s="67"/>
      <c r="F127" s="277"/>
      <c r="G127" s="45"/>
      <c r="I127" s="390"/>
      <c r="J127" s="387"/>
      <c r="K127" s="391"/>
    </row>
    <row r="128" spans="1:11" x14ac:dyDescent="0.25">
      <c r="A128" s="43"/>
      <c r="B128" s="31" t="s">
        <v>36</v>
      </c>
      <c r="C128" s="31">
        <f>+SUM(C129:C130)</f>
        <v>4652.9139999999998</v>
      </c>
      <c r="D128" s="31">
        <f>+SUM(D129:D130)</f>
        <v>4652914</v>
      </c>
      <c r="E128" s="67"/>
      <c r="F128" s="277"/>
      <c r="G128" s="45"/>
      <c r="I128" s="390"/>
      <c r="J128" s="387"/>
      <c r="K128" s="391"/>
    </row>
    <row r="129" spans="1:11" x14ac:dyDescent="0.25">
      <c r="A129" s="43">
        <v>42163</v>
      </c>
      <c r="B129" s="107" t="s">
        <v>237</v>
      </c>
      <c r="C129" s="21">
        <v>4147.348</v>
      </c>
      <c r="D129" s="53">
        <v>4147348</v>
      </c>
      <c r="E129" s="67">
        <v>13011</v>
      </c>
      <c r="F129" s="277">
        <v>4116</v>
      </c>
      <c r="G129" s="384"/>
      <c r="H129" s="384"/>
      <c r="I129" s="390"/>
      <c r="J129" s="387">
        <v>42649848</v>
      </c>
      <c r="K129" s="391"/>
    </row>
    <row r="130" spans="1:11" x14ac:dyDescent="0.25">
      <c r="A130" s="43">
        <v>42163</v>
      </c>
      <c r="B130" s="107" t="s">
        <v>238</v>
      </c>
      <c r="C130" s="21">
        <v>505.56599999999997</v>
      </c>
      <c r="D130" s="53">
        <v>505566</v>
      </c>
      <c r="E130" s="67">
        <v>13011</v>
      </c>
      <c r="F130" s="277">
        <v>4116</v>
      </c>
      <c r="G130" s="45"/>
      <c r="I130" s="390"/>
      <c r="J130" s="387"/>
      <c r="K130" s="391"/>
    </row>
    <row r="131" spans="1:11" x14ac:dyDescent="0.25">
      <c r="A131" s="43"/>
      <c r="B131" s="58"/>
      <c r="C131" s="47"/>
      <c r="D131" s="56"/>
      <c r="E131" s="67"/>
      <c r="F131" s="277"/>
      <c r="G131" s="45"/>
      <c r="I131" s="390"/>
      <c r="J131" s="387"/>
      <c r="K131" s="391"/>
    </row>
    <row r="132" spans="1:11" x14ac:dyDescent="0.25">
      <c r="A132" s="43"/>
      <c r="B132" s="273" t="s">
        <v>38</v>
      </c>
      <c r="C132" s="31">
        <f>+C133</f>
        <v>600</v>
      </c>
      <c r="D132" s="31">
        <f>+D133</f>
        <v>600000</v>
      </c>
      <c r="E132" s="67"/>
      <c r="F132" s="277"/>
      <c r="G132" s="45"/>
      <c r="I132" s="390"/>
      <c r="J132" s="387"/>
      <c r="K132" s="391"/>
    </row>
    <row r="133" spans="1:11" x14ac:dyDescent="0.25">
      <c r="A133" s="43">
        <v>42051</v>
      </c>
      <c r="B133" s="107" t="s">
        <v>39</v>
      </c>
      <c r="C133" s="47">
        <v>600</v>
      </c>
      <c r="D133" s="47">
        <v>600000</v>
      </c>
      <c r="E133" s="67">
        <v>22005</v>
      </c>
      <c r="F133" s="277" t="s">
        <v>18</v>
      </c>
      <c r="G133" s="45"/>
      <c r="I133" s="390"/>
      <c r="J133" s="387"/>
      <c r="K133" s="391"/>
    </row>
    <row r="134" spans="1:11" x14ac:dyDescent="0.25">
      <c r="A134" s="43"/>
      <c r="B134" s="276"/>
      <c r="C134" s="47"/>
      <c r="D134" s="47"/>
      <c r="E134" s="67"/>
      <c r="F134" s="277"/>
      <c r="G134" s="45"/>
      <c r="I134" s="390"/>
      <c r="J134" s="387"/>
      <c r="K134" s="391"/>
    </row>
    <row r="135" spans="1:11" x14ac:dyDescent="0.25">
      <c r="A135" s="43"/>
      <c r="B135" s="273" t="s">
        <v>40</v>
      </c>
      <c r="C135" s="31">
        <f>SUM(C136:C150)</f>
        <v>1530.5356699999998</v>
      </c>
      <c r="D135" s="31">
        <f>SUM(D136:D150)</f>
        <v>1966780.67</v>
      </c>
      <c r="E135" s="67"/>
      <c r="F135" s="277"/>
      <c r="G135" s="45"/>
      <c r="I135" s="390"/>
      <c r="J135" s="387"/>
      <c r="K135" s="391"/>
    </row>
    <row r="136" spans="1:11" x14ac:dyDescent="0.25">
      <c r="A136" s="43">
        <v>42081</v>
      </c>
      <c r="B136" s="276" t="s">
        <v>118</v>
      </c>
      <c r="C136" s="47">
        <v>134.988</v>
      </c>
      <c r="D136" s="47">
        <v>134988</v>
      </c>
      <c r="E136" s="67">
        <v>14023</v>
      </c>
      <c r="F136" s="277">
        <v>4116</v>
      </c>
      <c r="G136" s="45"/>
      <c r="I136" s="390"/>
      <c r="J136" s="387"/>
      <c r="K136" s="391"/>
    </row>
    <row r="137" spans="1:11" x14ac:dyDescent="0.25">
      <c r="A137" s="43">
        <v>42082</v>
      </c>
      <c r="B137" s="276" t="s">
        <v>119</v>
      </c>
      <c r="C137" s="47">
        <v>72</v>
      </c>
      <c r="D137" s="47">
        <v>72000</v>
      </c>
      <c r="E137" s="67">
        <v>14336</v>
      </c>
      <c r="F137" s="277">
        <v>4116</v>
      </c>
      <c r="G137" s="45"/>
      <c r="I137" s="390"/>
      <c r="J137" s="387"/>
      <c r="K137" s="391"/>
    </row>
    <row r="138" spans="1:11" x14ac:dyDescent="0.25">
      <c r="A138" s="43">
        <v>42087</v>
      </c>
      <c r="B138" s="276" t="s">
        <v>118</v>
      </c>
      <c r="C138" s="47">
        <v>0.8</v>
      </c>
      <c r="D138" s="47">
        <v>800</v>
      </c>
      <c r="E138" s="67">
        <v>14023</v>
      </c>
      <c r="F138" s="277">
        <v>4116</v>
      </c>
      <c r="G138" s="45"/>
      <c r="I138" s="390"/>
      <c r="J138" s="387"/>
      <c r="K138" s="391"/>
    </row>
    <row r="139" spans="1:11" x14ac:dyDescent="0.25">
      <c r="A139" s="43">
        <v>42090</v>
      </c>
      <c r="B139" s="276" t="s">
        <v>118</v>
      </c>
      <c r="C139" s="47">
        <v>66.06</v>
      </c>
      <c r="D139" s="47">
        <v>66060</v>
      </c>
      <c r="E139" s="67">
        <v>14023</v>
      </c>
      <c r="F139" s="277">
        <v>4116</v>
      </c>
      <c r="G139" s="45"/>
      <c r="I139" s="390"/>
      <c r="J139" s="387"/>
      <c r="K139" s="391"/>
    </row>
    <row r="140" spans="1:11" x14ac:dyDescent="0.25">
      <c r="A140" s="43">
        <v>42096</v>
      </c>
      <c r="B140" s="276" t="s">
        <v>136</v>
      </c>
      <c r="C140" s="47">
        <v>72</v>
      </c>
      <c r="D140" s="47">
        <v>72000</v>
      </c>
      <c r="E140" s="67">
        <v>14336</v>
      </c>
      <c r="F140" s="277">
        <v>4116</v>
      </c>
      <c r="G140" s="45"/>
      <c r="I140" s="390"/>
      <c r="J140" s="387"/>
      <c r="K140" s="391"/>
    </row>
    <row r="141" spans="1:11" x14ac:dyDescent="0.25">
      <c r="A141" s="43">
        <v>42096</v>
      </c>
      <c r="B141" s="276" t="s">
        <v>137</v>
      </c>
      <c r="C141" s="47">
        <v>72</v>
      </c>
      <c r="D141" s="47">
        <v>72000</v>
      </c>
      <c r="E141" s="67">
        <v>14336</v>
      </c>
      <c r="F141" s="277">
        <v>4116</v>
      </c>
      <c r="G141" s="45"/>
      <c r="I141" s="390"/>
      <c r="J141" s="387"/>
      <c r="K141" s="391"/>
    </row>
    <row r="142" spans="1:11" x14ac:dyDescent="0.25">
      <c r="A142" s="43">
        <v>42123</v>
      </c>
      <c r="B142" s="276" t="s">
        <v>153</v>
      </c>
      <c r="C142" s="47">
        <v>72</v>
      </c>
      <c r="D142" s="47">
        <v>72000</v>
      </c>
      <c r="E142" s="67">
        <v>14336</v>
      </c>
      <c r="F142" s="277">
        <v>4116</v>
      </c>
      <c r="G142" s="45"/>
      <c r="I142" s="390"/>
      <c r="J142" s="387"/>
      <c r="K142" s="391"/>
    </row>
    <row r="143" spans="1:11" x14ac:dyDescent="0.25">
      <c r="A143" s="43">
        <v>42128</v>
      </c>
      <c r="B143" s="276" t="s">
        <v>118</v>
      </c>
      <c r="C143" s="47">
        <v>65.341999999999999</v>
      </c>
      <c r="D143" s="47">
        <v>65342</v>
      </c>
      <c r="E143" s="67">
        <v>14023</v>
      </c>
      <c r="F143" s="277">
        <v>4116</v>
      </c>
      <c r="G143" s="45"/>
      <c r="I143" s="390"/>
      <c r="J143" s="387"/>
      <c r="K143" s="391"/>
    </row>
    <row r="144" spans="1:11" x14ac:dyDescent="0.25">
      <c r="A144" s="43">
        <v>42152</v>
      </c>
      <c r="B144" s="276" t="s">
        <v>118</v>
      </c>
      <c r="C144" s="47">
        <v>69.66</v>
      </c>
      <c r="D144" s="47">
        <v>69660</v>
      </c>
      <c r="E144" s="67">
        <v>14023</v>
      </c>
      <c r="F144" s="277">
        <v>4116</v>
      </c>
      <c r="G144" s="45"/>
      <c r="I144" s="390"/>
      <c r="J144" s="387"/>
      <c r="K144" s="391"/>
    </row>
    <row r="145" spans="1:11" x14ac:dyDescent="0.25">
      <c r="A145" s="43">
        <v>42166</v>
      </c>
      <c r="B145" s="276" t="s">
        <v>229</v>
      </c>
      <c r="C145" s="47">
        <v>721</v>
      </c>
      <c r="D145" s="47">
        <f>757000-36000</f>
        <v>721000</v>
      </c>
      <c r="E145" s="67">
        <v>14018</v>
      </c>
      <c r="F145" s="277">
        <v>4116</v>
      </c>
      <c r="G145" s="45"/>
      <c r="I145" s="390"/>
      <c r="J145" s="387"/>
      <c r="K145" s="391"/>
    </row>
    <row r="146" spans="1:11" x14ac:dyDescent="0.25">
      <c r="A146" s="43">
        <v>42181</v>
      </c>
      <c r="B146" s="276" t="s">
        <v>247</v>
      </c>
      <c r="C146" s="47">
        <v>102.74966999999999</v>
      </c>
      <c r="D146" s="47">
        <v>102749.67</v>
      </c>
      <c r="E146" s="67">
        <v>14013</v>
      </c>
      <c r="F146" s="277">
        <v>4116</v>
      </c>
      <c r="G146" s="45"/>
      <c r="I146" s="390"/>
      <c r="J146" s="387"/>
      <c r="K146" s="391"/>
    </row>
    <row r="147" spans="1:11" x14ac:dyDescent="0.25">
      <c r="A147" s="43">
        <v>42184</v>
      </c>
      <c r="B147" s="276" t="s">
        <v>118</v>
      </c>
      <c r="C147" s="47">
        <f>69.6456+12.2904</f>
        <v>81.936000000000007</v>
      </c>
      <c r="D147" s="47">
        <v>81936</v>
      </c>
      <c r="E147" s="67">
        <v>14023</v>
      </c>
      <c r="F147" s="277">
        <v>4116</v>
      </c>
      <c r="G147" s="45"/>
      <c r="I147" s="390"/>
      <c r="J147" s="387"/>
      <c r="K147" s="391"/>
    </row>
    <row r="148" spans="1:11" x14ac:dyDescent="0.25">
      <c r="A148" s="43">
        <v>42213</v>
      </c>
      <c r="B148" s="276" t="s">
        <v>118</v>
      </c>
      <c r="C148" s="47">
        <v>0</v>
      </c>
      <c r="D148" s="47">
        <v>67016</v>
      </c>
      <c r="E148" s="67">
        <v>14023</v>
      </c>
      <c r="F148" s="277">
        <v>4116</v>
      </c>
      <c r="G148" s="45"/>
      <c r="I148" s="390"/>
      <c r="J148" s="402"/>
      <c r="K148" s="391"/>
    </row>
    <row r="149" spans="1:11" x14ac:dyDescent="0.25">
      <c r="A149" s="43">
        <v>42241</v>
      </c>
      <c r="B149" s="276" t="s">
        <v>118</v>
      </c>
      <c r="C149" s="47">
        <v>0</v>
      </c>
      <c r="D149" s="47">
        <f>58844.65+10384.35</f>
        <v>69229</v>
      </c>
      <c r="E149" s="67">
        <v>14023</v>
      </c>
      <c r="F149" s="277">
        <v>4116</v>
      </c>
      <c r="G149" s="45"/>
      <c r="I149" s="390"/>
      <c r="J149" s="402"/>
      <c r="K149" s="391"/>
    </row>
    <row r="150" spans="1:11" x14ac:dyDescent="0.25">
      <c r="A150" s="43"/>
      <c r="B150" s="276" t="s">
        <v>398</v>
      </c>
      <c r="C150" s="349">
        <v>0</v>
      </c>
      <c r="D150" s="349">
        <v>300000</v>
      </c>
      <c r="E150" s="67">
        <v>14336</v>
      </c>
      <c r="F150" s="277">
        <v>4116</v>
      </c>
      <c r="G150" s="384"/>
      <c r="H150" s="384"/>
      <c r="I150" s="390"/>
      <c r="J150" s="402">
        <v>300000</v>
      </c>
      <c r="K150" s="391"/>
    </row>
    <row r="151" spans="1:11" x14ac:dyDescent="0.25">
      <c r="A151" s="43"/>
      <c r="B151" s="276"/>
      <c r="C151" s="47"/>
      <c r="D151" s="47"/>
      <c r="E151" s="67"/>
      <c r="F151" s="68"/>
      <c r="G151" s="45"/>
      <c r="I151" s="390"/>
      <c r="J151" s="387"/>
      <c r="K151" s="391"/>
    </row>
    <row r="152" spans="1:11" x14ac:dyDescent="0.25">
      <c r="A152" s="43"/>
      <c r="B152" s="273" t="s">
        <v>41</v>
      </c>
      <c r="C152" s="31">
        <f>+SUM(C153:C158)</f>
        <v>325.37400000000002</v>
      </c>
      <c r="D152" s="31">
        <f>+SUM(D153:D158)</f>
        <v>325374</v>
      </c>
      <c r="E152" s="67"/>
      <c r="F152" s="68"/>
      <c r="G152" s="45"/>
      <c r="I152" s="390"/>
      <c r="J152" s="387"/>
      <c r="K152" s="391"/>
    </row>
    <row r="153" spans="1:11" x14ac:dyDescent="0.25">
      <c r="A153" s="43">
        <v>42118</v>
      </c>
      <c r="B153" s="276" t="s">
        <v>93</v>
      </c>
      <c r="C153" s="47">
        <v>18.0625</v>
      </c>
      <c r="D153" s="47">
        <v>18062.5</v>
      </c>
      <c r="E153" s="67">
        <v>35019</v>
      </c>
      <c r="F153" s="68">
        <v>4116</v>
      </c>
      <c r="G153" s="45"/>
      <c r="I153" s="390"/>
      <c r="J153" s="387"/>
      <c r="K153" s="391"/>
    </row>
    <row r="154" spans="1:11" x14ac:dyDescent="0.25">
      <c r="A154" s="43">
        <v>42118</v>
      </c>
      <c r="B154" s="276" t="s">
        <v>94</v>
      </c>
      <c r="C154" s="47">
        <v>17.977499999999999</v>
      </c>
      <c r="D154" s="47">
        <v>17977.5</v>
      </c>
      <c r="E154" s="67">
        <v>35019</v>
      </c>
      <c r="F154" s="68">
        <v>4116</v>
      </c>
      <c r="G154" s="45"/>
      <c r="I154" s="390"/>
      <c r="J154" s="387"/>
      <c r="K154" s="391"/>
    </row>
    <row r="155" spans="1:11" x14ac:dyDescent="0.25">
      <c r="A155" s="43">
        <v>42118</v>
      </c>
      <c r="B155" s="276" t="s">
        <v>95</v>
      </c>
      <c r="C155" s="47">
        <v>32.084000000000003</v>
      </c>
      <c r="D155" s="47">
        <v>32084</v>
      </c>
      <c r="E155" s="67">
        <v>35019</v>
      </c>
      <c r="F155" s="68">
        <v>4116</v>
      </c>
      <c r="G155" s="45"/>
      <c r="I155" s="390"/>
      <c r="J155" s="387"/>
      <c r="K155" s="391"/>
    </row>
    <row r="156" spans="1:11" x14ac:dyDescent="0.25">
      <c r="A156" s="43">
        <v>42118</v>
      </c>
      <c r="B156" s="276" t="s">
        <v>95</v>
      </c>
      <c r="C156" s="47">
        <v>77</v>
      </c>
      <c r="D156" s="47">
        <v>77000</v>
      </c>
      <c r="E156" s="67">
        <v>35019</v>
      </c>
      <c r="F156" s="68">
        <v>4116</v>
      </c>
      <c r="G156" s="45"/>
      <c r="I156" s="390"/>
      <c r="J156" s="387"/>
      <c r="K156" s="391"/>
    </row>
    <row r="157" spans="1:11" x14ac:dyDescent="0.25">
      <c r="A157" s="43">
        <v>42118</v>
      </c>
      <c r="B157" s="276" t="s">
        <v>92</v>
      </c>
      <c r="C157" s="47">
        <v>40.25</v>
      </c>
      <c r="D157" s="47">
        <v>40250</v>
      </c>
      <c r="E157" s="67">
        <v>35019</v>
      </c>
      <c r="F157" s="68">
        <v>4116</v>
      </c>
      <c r="G157" s="45"/>
      <c r="I157" s="390"/>
      <c r="J157" s="387"/>
      <c r="K157" s="391"/>
    </row>
    <row r="158" spans="1:11" x14ac:dyDescent="0.25">
      <c r="A158" s="43">
        <v>42172</v>
      </c>
      <c r="B158" s="276" t="s">
        <v>100</v>
      </c>
      <c r="C158" s="47">
        <v>140</v>
      </c>
      <c r="D158" s="47">
        <v>140000</v>
      </c>
      <c r="E158" s="67">
        <v>35015</v>
      </c>
      <c r="F158" s="68">
        <v>4116</v>
      </c>
      <c r="G158" s="45"/>
      <c r="I158" s="390"/>
      <c r="J158" s="387"/>
      <c r="K158" s="391"/>
    </row>
    <row r="159" spans="1:11" x14ac:dyDescent="0.25">
      <c r="A159" s="43"/>
      <c r="B159" s="276"/>
      <c r="C159" s="47"/>
      <c r="D159" s="47"/>
      <c r="E159" s="67"/>
      <c r="F159" s="68"/>
      <c r="G159" s="45"/>
      <c r="I159" s="390"/>
      <c r="J159" s="387"/>
      <c r="K159" s="391"/>
    </row>
    <row r="160" spans="1:11" x14ac:dyDescent="0.25">
      <c r="A160" s="43"/>
      <c r="B160" s="273" t="s">
        <v>42</v>
      </c>
      <c r="C160" s="31">
        <f>+SUM(C161:C164)</f>
        <v>180.94400000000002</v>
      </c>
      <c r="D160" s="31">
        <f>+SUM(D161:D164)</f>
        <v>180944</v>
      </c>
      <c r="E160" s="67"/>
      <c r="F160" s="68"/>
      <c r="G160" s="45"/>
      <c r="I160" s="390"/>
      <c r="J160" s="387"/>
      <c r="K160" s="391"/>
    </row>
    <row r="161" spans="1:11" x14ac:dyDescent="0.25">
      <c r="A161" s="43">
        <v>42142</v>
      </c>
      <c r="B161" s="276" t="s">
        <v>43</v>
      </c>
      <c r="C161" s="47">
        <v>86.159000000000006</v>
      </c>
      <c r="D161" s="47">
        <v>86159</v>
      </c>
      <c r="E161" s="67">
        <v>29008</v>
      </c>
      <c r="F161" s="68">
        <v>4116</v>
      </c>
      <c r="G161" s="45"/>
      <c r="I161" s="390"/>
      <c r="J161" s="387"/>
      <c r="K161" s="391"/>
    </row>
    <row r="162" spans="1:11" x14ac:dyDescent="0.25">
      <c r="A162" s="43">
        <v>42157</v>
      </c>
      <c r="B162" s="276" t="s">
        <v>44</v>
      </c>
      <c r="C162" s="47">
        <v>10.5</v>
      </c>
      <c r="D162" s="47">
        <v>10500</v>
      </c>
      <c r="E162" s="67">
        <v>29004</v>
      </c>
      <c r="F162" s="68">
        <v>4116</v>
      </c>
      <c r="G162" s="45"/>
      <c r="I162" s="390"/>
      <c r="J162" s="387"/>
      <c r="K162" s="391"/>
    </row>
    <row r="163" spans="1:11" x14ac:dyDescent="0.25">
      <c r="A163" s="43">
        <v>42163</v>
      </c>
      <c r="B163" s="276" t="s">
        <v>43</v>
      </c>
      <c r="C163" s="47">
        <v>84.284999999999997</v>
      </c>
      <c r="D163" s="47">
        <v>84285</v>
      </c>
      <c r="E163" s="67">
        <v>29008</v>
      </c>
      <c r="F163" s="68">
        <v>4116</v>
      </c>
      <c r="G163" s="45"/>
      <c r="I163" s="390"/>
      <c r="J163" s="387"/>
      <c r="K163" s="391"/>
    </row>
    <row r="164" spans="1:11" x14ac:dyDescent="0.25">
      <c r="A164" s="43"/>
      <c r="B164" s="276"/>
      <c r="C164" s="47"/>
      <c r="D164" s="47"/>
      <c r="E164" s="67"/>
      <c r="F164" s="68">
        <v>4116</v>
      </c>
      <c r="G164" s="45"/>
      <c r="I164" s="390"/>
      <c r="J164" s="387"/>
      <c r="K164" s="391"/>
    </row>
    <row r="165" spans="1:11" x14ac:dyDescent="0.25">
      <c r="A165" s="43"/>
      <c r="B165" s="273" t="s">
        <v>45</v>
      </c>
      <c r="C165" s="31">
        <f>+SUM(C166:C168)</f>
        <v>543.93989999999997</v>
      </c>
      <c r="D165" s="31">
        <f>+SUM(D166:D168)</f>
        <v>543939.9</v>
      </c>
      <c r="E165" s="67"/>
      <c r="F165" s="68"/>
      <c r="G165" s="45"/>
      <c r="I165" s="390"/>
      <c r="J165" s="387"/>
      <c r="K165" s="391"/>
    </row>
    <row r="166" spans="1:11" x14ac:dyDescent="0.25">
      <c r="A166" s="43">
        <v>42057</v>
      </c>
      <c r="B166" s="276" t="s">
        <v>146</v>
      </c>
      <c r="C166" s="47">
        <v>466.28609999999998</v>
      </c>
      <c r="D166" s="47">
        <v>466286.1</v>
      </c>
      <c r="E166" s="67">
        <v>15319</v>
      </c>
      <c r="F166" s="68">
        <v>4116</v>
      </c>
      <c r="G166" s="45"/>
      <c r="I166" s="390"/>
      <c r="J166" s="387"/>
      <c r="K166" s="391"/>
    </row>
    <row r="167" spans="1:11" x14ac:dyDescent="0.25">
      <c r="A167" s="43">
        <v>42193</v>
      </c>
      <c r="B167" s="276" t="s">
        <v>279</v>
      </c>
      <c r="C167" s="47">
        <v>77.653800000000004</v>
      </c>
      <c r="D167" s="47">
        <v>77653.8</v>
      </c>
      <c r="E167" s="67">
        <v>15319</v>
      </c>
      <c r="F167" s="68">
        <v>4116</v>
      </c>
      <c r="G167" s="45"/>
      <c r="I167" s="390"/>
      <c r="J167" s="387"/>
      <c r="K167" s="391"/>
    </row>
    <row r="168" spans="1:11" x14ac:dyDescent="0.25">
      <c r="A168" s="43"/>
      <c r="B168" s="276"/>
      <c r="C168" s="55"/>
      <c r="D168" s="55"/>
      <c r="E168" s="67"/>
      <c r="F168" s="68"/>
      <c r="G168" s="45"/>
      <c r="I168" s="390"/>
      <c r="J168" s="387"/>
      <c r="K168" s="391"/>
    </row>
    <row r="169" spans="1:11" x14ac:dyDescent="0.25">
      <c r="A169" s="43"/>
      <c r="B169" s="273" t="s">
        <v>48</v>
      </c>
      <c r="C169" s="27">
        <f>SUM(C170:C202)</f>
        <v>95495.251669999998</v>
      </c>
      <c r="D169" s="27">
        <f>SUM(D170:D203)</f>
        <v>95495251.670000002</v>
      </c>
      <c r="E169" s="67"/>
      <c r="F169" s="268"/>
      <c r="G169" s="45"/>
      <c r="I169" s="390"/>
      <c r="J169" s="387"/>
      <c r="K169" s="391"/>
    </row>
    <row r="170" spans="1:11" x14ac:dyDescent="0.25">
      <c r="A170" s="43">
        <v>42046</v>
      </c>
      <c r="B170" s="276" t="s">
        <v>104</v>
      </c>
      <c r="C170" s="53">
        <v>345.49686000000003</v>
      </c>
      <c r="D170" s="55">
        <v>345496.86</v>
      </c>
      <c r="E170" s="67">
        <v>33030</v>
      </c>
      <c r="F170" s="68" t="s">
        <v>49</v>
      </c>
      <c r="G170" s="45"/>
      <c r="I170" s="390"/>
      <c r="J170" s="387"/>
      <c r="K170" s="391"/>
    </row>
    <row r="171" spans="1:11" x14ac:dyDescent="0.25">
      <c r="A171" s="43">
        <v>42096</v>
      </c>
      <c r="B171" s="276" t="s">
        <v>140</v>
      </c>
      <c r="C171" s="53">
        <v>90.980059999999995</v>
      </c>
      <c r="D171" s="55">
        <v>90980.06</v>
      </c>
      <c r="E171" s="67">
        <v>33030</v>
      </c>
      <c r="F171" s="68" t="s">
        <v>49</v>
      </c>
      <c r="G171" s="45"/>
      <c r="I171" s="390"/>
      <c r="J171" s="387"/>
      <c r="K171" s="391"/>
    </row>
    <row r="172" spans="1:11" x14ac:dyDescent="0.25">
      <c r="A172" s="43">
        <v>42118</v>
      </c>
      <c r="B172" s="276" t="s">
        <v>334</v>
      </c>
      <c r="C172" s="53">
        <f>60346.56-8464.56</f>
        <v>51882</v>
      </c>
      <c r="D172" s="55">
        <f>60346560-8464560</f>
        <v>51882000</v>
      </c>
      <c r="E172" s="67">
        <v>13305</v>
      </c>
      <c r="F172" s="68">
        <v>4122</v>
      </c>
      <c r="G172" s="384" t="s">
        <v>346</v>
      </c>
      <c r="H172" s="384">
        <v>-8464560</v>
      </c>
      <c r="I172" s="394"/>
      <c r="J172" s="387">
        <v>8464560</v>
      </c>
      <c r="K172" s="391"/>
    </row>
    <row r="173" spans="1:11" x14ac:dyDescent="0.25">
      <c r="A173" s="43">
        <v>42122</v>
      </c>
      <c r="B173" s="276" t="s">
        <v>150</v>
      </c>
      <c r="C173" s="55">
        <v>341.41081000000003</v>
      </c>
      <c r="D173" s="55">
        <v>341410.81</v>
      </c>
      <c r="E173" s="67">
        <v>33030</v>
      </c>
      <c r="F173" s="68">
        <v>4122</v>
      </c>
      <c r="G173" s="45"/>
      <c r="I173" s="390"/>
      <c r="J173" s="387"/>
      <c r="K173" s="391"/>
    </row>
    <row r="174" spans="1:11" x14ac:dyDescent="0.25">
      <c r="A174" s="43">
        <v>42138</v>
      </c>
      <c r="B174" s="276" t="s">
        <v>181</v>
      </c>
      <c r="C174" s="55">
        <v>41.08</v>
      </c>
      <c r="D174" s="55">
        <v>41080</v>
      </c>
      <c r="E174" s="67">
        <v>14011</v>
      </c>
      <c r="F174" s="68">
        <v>4122</v>
      </c>
      <c r="G174" s="45"/>
      <c r="I174" s="390"/>
      <c r="J174" s="387"/>
      <c r="K174" s="391"/>
    </row>
    <row r="175" spans="1:11" x14ac:dyDescent="0.25">
      <c r="A175" s="43">
        <v>42145</v>
      </c>
      <c r="B175" s="276" t="s">
        <v>200</v>
      </c>
      <c r="C175" s="53">
        <v>8.3298000000000005</v>
      </c>
      <c r="D175" s="55">
        <f>7080.33+1249.47</f>
        <v>8329.7999999999993</v>
      </c>
      <c r="E175" s="67">
        <v>33030</v>
      </c>
      <c r="F175" s="68">
        <v>4122</v>
      </c>
      <c r="G175" s="45"/>
      <c r="I175" s="390"/>
      <c r="J175" s="387"/>
      <c r="K175" s="391"/>
    </row>
    <row r="176" spans="1:11" x14ac:dyDescent="0.25">
      <c r="A176" s="43">
        <v>42145</v>
      </c>
      <c r="B176" s="276" t="s">
        <v>415</v>
      </c>
      <c r="C176" s="53">
        <v>1476.0851600000001</v>
      </c>
      <c r="D176" s="55">
        <f>1254672.38+221412.78</f>
        <v>1476085.16</v>
      </c>
      <c r="E176" s="67">
        <v>33030</v>
      </c>
      <c r="F176" s="68">
        <v>4122</v>
      </c>
      <c r="G176" s="45"/>
      <c r="I176" s="390"/>
      <c r="J176" s="387"/>
      <c r="K176" s="391"/>
    </row>
    <row r="177" spans="1:11" x14ac:dyDescent="0.25">
      <c r="A177" s="43">
        <v>42145</v>
      </c>
      <c r="B177" s="276" t="s">
        <v>202</v>
      </c>
      <c r="C177" s="53">
        <v>452.84152</v>
      </c>
      <c r="D177" s="55">
        <f>384915.29+67926.23</f>
        <v>452841.51999999996</v>
      </c>
      <c r="E177" s="67">
        <v>33030</v>
      </c>
      <c r="F177" s="68">
        <v>4122</v>
      </c>
      <c r="G177" s="45"/>
      <c r="I177" s="390"/>
      <c r="J177" s="387"/>
      <c r="K177" s="391"/>
    </row>
    <row r="178" spans="1:11" x14ac:dyDescent="0.25">
      <c r="A178" s="43">
        <v>42152</v>
      </c>
      <c r="B178" s="276" t="s">
        <v>181</v>
      </c>
      <c r="C178" s="53">
        <v>29.64</v>
      </c>
      <c r="D178" s="55">
        <v>29640</v>
      </c>
      <c r="E178" s="67">
        <v>14011</v>
      </c>
      <c r="F178" s="68">
        <v>4122</v>
      </c>
      <c r="G178" s="45"/>
      <c r="I178" s="390"/>
      <c r="J178" s="387"/>
      <c r="K178" s="391"/>
    </row>
    <row r="179" spans="1:11" x14ac:dyDescent="0.25">
      <c r="A179" s="43">
        <v>42160</v>
      </c>
      <c r="B179" s="276" t="s">
        <v>239</v>
      </c>
      <c r="C179" s="53">
        <v>100</v>
      </c>
      <c r="D179" s="55">
        <v>100000</v>
      </c>
      <c r="E179" s="67">
        <v>539</v>
      </c>
      <c r="F179" s="68">
        <v>4122</v>
      </c>
      <c r="G179" s="45"/>
      <c r="I179" s="390"/>
      <c r="J179" s="387"/>
      <c r="K179" s="391"/>
    </row>
    <row r="180" spans="1:11" x14ac:dyDescent="0.25">
      <c r="A180" s="43">
        <v>42160</v>
      </c>
      <c r="B180" s="276" t="s">
        <v>240</v>
      </c>
      <c r="C180" s="53">
        <v>98</v>
      </c>
      <c r="D180" s="55">
        <v>98000</v>
      </c>
      <c r="E180" s="67">
        <v>539</v>
      </c>
      <c r="F180" s="68">
        <v>4122</v>
      </c>
      <c r="G180" s="45"/>
      <c r="I180" s="390"/>
      <c r="J180" s="387"/>
      <c r="K180" s="391"/>
    </row>
    <row r="181" spans="1:11" x14ac:dyDescent="0.25">
      <c r="A181" s="43">
        <v>42173</v>
      </c>
      <c r="B181" s="276" t="s">
        <v>236</v>
      </c>
      <c r="C181" s="53">
        <v>100</v>
      </c>
      <c r="D181" s="55">
        <v>100000</v>
      </c>
      <c r="E181" s="67">
        <v>539</v>
      </c>
      <c r="F181" s="68">
        <v>4122</v>
      </c>
      <c r="G181" s="45"/>
      <c r="I181" s="390"/>
      <c r="J181" s="387"/>
      <c r="K181" s="391"/>
    </row>
    <row r="182" spans="1:11" x14ac:dyDescent="0.25">
      <c r="A182" s="43">
        <v>42178</v>
      </c>
      <c r="B182" s="276" t="s">
        <v>243</v>
      </c>
      <c r="C182" s="53">
        <v>81.797319999999999</v>
      </c>
      <c r="D182" s="55">
        <f>69527.72+12269.6</f>
        <v>81797.320000000007</v>
      </c>
      <c r="E182" s="67">
        <v>33030</v>
      </c>
      <c r="F182" s="68">
        <v>4122</v>
      </c>
      <c r="G182" s="45"/>
      <c r="I182" s="390"/>
      <c r="J182" s="387"/>
      <c r="K182" s="391"/>
    </row>
    <row r="183" spans="1:11" x14ac:dyDescent="0.25">
      <c r="A183" s="43">
        <v>42181</v>
      </c>
      <c r="B183" s="276" t="s">
        <v>250</v>
      </c>
      <c r="C183" s="53">
        <v>200</v>
      </c>
      <c r="D183" s="55">
        <v>200000</v>
      </c>
      <c r="E183" s="67">
        <v>539</v>
      </c>
      <c r="F183" s="68">
        <v>4122</v>
      </c>
      <c r="G183" s="45"/>
      <c r="I183" s="390"/>
      <c r="J183" s="387"/>
      <c r="K183" s="391"/>
    </row>
    <row r="184" spans="1:11" x14ac:dyDescent="0.25">
      <c r="A184" s="43">
        <v>42181</v>
      </c>
      <c r="B184" s="276" t="s">
        <v>252</v>
      </c>
      <c r="C184" s="53">
        <v>701.62408000000005</v>
      </c>
      <c r="D184" s="55">
        <v>701624.08</v>
      </c>
      <c r="E184" s="67">
        <v>33030</v>
      </c>
      <c r="F184" s="68">
        <v>4122</v>
      </c>
      <c r="G184" s="45"/>
      <c r="I184" s="390"/>
      <c r="J184" s="387"/>
      <c r="K184" s="391"/>
    </row>
    <row r="185" spans="1:11" x14ac:dyDescent="0.25">
      <c r="A185" s="43">
        <v>42181</v>
      </c>
      <c r="B185" s="276" t="s">
        <v>251</v>
      </c>
      <c r="C185" s="53">
        <v>93.395690000000002</v>
      </c>
      <c r="D185" s="55">
        <v>93395.69</v>
      </c>
      <c r="E185" s="67">
        <v>33030</v>
      </c>
      <c r="F185" s="68">
        <v>4122</v>
      </c>
      <c r="G185" s="45"/>
      <c r="I185" s="390"/>
      <c r="J185" s="387"/>
      <c r="K185" s="391"/>
    </row>
    <row r="186" spans="1:11" x14ac:dyDescent="0.25">
      <c r="A186" s="43">
        <v>42181</v>
      </c>
      <c r="B186" s="276" t="s">
        <v>253</v>
      </c>
      <c r="C186" s="53">
        <v>137.19474</v>
      </c>
      <c r="D186" s="55">
        <v>137194.74</v>
      </c>
      <c r="E186" s="67">
        <v>33030</v>
      </c>
      <c r="F186" s="68">
        <v>4122</v>
      </c>
      <c r="G186" s="45"/>
      <c r="I186" s="390"/>
      <c r="J186" s="387"/>
      <c r="K186" s="391"/>
    </row>
    <row r="187" spans="1:11" x14ac:dyDescent="0.25">
      <c r="A187" s="43">
        <v>42184</v>
      </c>
      <c r="B187" s="276" t="s">
        <v>254</v>
      </c>
      <c r="C187" s="53">
        <v>276.28805999999997</v>
      </c>
      <c r="D187" s="55">
        <v>276288.06</v>
      </c>
      <c r="E187" s="67">
        <v>33030</v>
      </c>
      <c r="F187" s="68">
        <v>4122</v>
      </c>
      <c r="G187" s="45"/>
      <c r="I187" s="390"/>
      <c r="J187" s="387"/>
      <c r="K187" s="391"/>
    </row>
    <row r="188" spans="1:11" x14ac:dyDescent="0.25">
      <c r="A188" s="43">
        <v>42184</v>
      </c>
      <c r="B188" s="276" t="s">
        <v>150</v>
      </c>
      <c r="C188" s="53">
        <v>371.08757000000003</v>
      </c>
      <c r="D188" s="55">
        <v>371087.57</v>
      </c>
      <c r="E188" s="67">
        <v>33030</v>
      </c>
      <c r="F188" s="68">
        <v>4122</v>
      </c>
      <c r="G188" s="45"/>
      <c r="I188" s="390"/>
      <c r="J188" s="387"/>
      <c r="K188" s="391"/>
    </row>
    <row r="189" spans="1:11" x14ac:dyDescent="0.25">
      <c r="A189" s="43">
        <v>42184</v>
      </c>
      <c r="B189" s="276" t="s">
        <v>256</v>
      </c>
      <c r="C189" s="53">
        <v>120</v>
      </c>
      <c r="D189" s="55">
        <v>120000</v>
      </c>
      <c r="E189" s="67">
        <v>311</v>
      </c>
      <c r="F189" s="68">
        <v>4122</v>
      </c>
      <c r="G189" s="45"/>
      <c r="I189" s="390"/>
      <c r="J189" s="387"/>
      <c r="K189" s="391"/>
    </row>
    <row r="190" spans="1:11" x14ac:dyDescent="0.25">
      <c r="A190" s="43">
        <v>42184</v>
      </c>
      <c r="B190" s="276" t="s">
        <v>255</v>
      </c>
      <c r="C190" s="53">
        <v>60</v>
      </c>
      <c r="D190" s="55">
        <v>60000</v>
      </c>
      <c r="E190" s="67">
        <v>311</v>
      </c>
      <c r="F190" s="68">
        <v>4122</v>
      </c>
      <c r="G190" s="45"/>
      <c r="I190" s="390"/>
      <c r="J190" s="387"/>
      <c r="K190" s="391"/>
    </row>
    <row r="191" spans="1:11" x14ac:dyDescent="0.25">
      <c r="A191" s="43">
        <v>42187</v>
      </c>
      <c r="B191" s="276" t="s">
        <v>281</v>
      </c>
      <c r="C191" s="53">
        <v>50</v>
      </c>
      <c r="D191" s="55">
        <v>50000</v>
      </c>
      <c r="E191" s="67">
        <v>311</v>
      </c>
      <c r="F191" s="68">
        <v>4122</v>
      </c>
      <c r="G191" s="45"/>
      <c r="I191" s="390"/>
      <c r="J191" s="387"/>
      <c r="K191" s="391"/>
    </row>
    <row r="192" spans="1:11" x14ac:dyDescent="0.25">
      <c r="A192" s="43">
        <v>42187</v>
      </c>
      <c r="B192" s="276" t="s">
        <v>282</v>
      </c>
      <c r="C192" s="53">
        <v>50</v>
      </c>
      <c r="D192" s="55">
        <v>50000</v>
      </c>
      <c r="E192" s="67">
        <v>311</v>
      </c>
      <c r="F192" s="68">
        <v>4122</v>
      </c>
      <c r="G192" s="45"/>
      <c r="I192" s="390"/>
      <c r="J192" s="387"/>
      <c r="K192" s="391"/>
    </row>
    <row r="193" spans="1:11" x14ac:dyDescent="0.25">
      <c r="A193" s="43">
        <v>42192</v>
      </c>
      <c r="B193" s="276" t="s">
        <v>285</v>
      </c>
      <c r="C193" s="53">
        <v>100</v>
      </c>
      <c r="D193" s="55">
        <v>100000</v>
      </c>
      <c r="E193" s="67">
        <v>331</v>
      </c>
      <c r="F193" s="68">
        <v>4122</v>
      </c>
      <c r="G193" s="45"/>
      <c r="I193" s="390"/>
      <c r="J193" s="387"/>
      <c r="K193" s="391"/>
    </row>
    <row r="194" spans="1:11" x14ac:dyDescent="0.25">
      <c r="A194" s="43">
        <v>42192</v>
      </c>
      <c r="B194" s="276" t="s">
        <v>286</v>
      </c>
      <c r="C194" s="53">
        <v>100</v>
      </c>
      <c r="D194" s="55">
        <v>100000</v>
      </c>
      <c r="E194" s="67">
        <v>331</v>
      </c>
      <c r="F194" s="68">
        <v>4122</v>
      </c>
      <c r="G194" s="45"/>
      <c r="I194" s="390"/>
      <c r="J194" s="387"/>
      <c r="K194" s="391"/>
    </row>
    <row r="195" spans="1:11" x14ac:dyDescent="0.25">
      <c r="A195" s="43">
        <v>42192</v>
      </c>
      <c r="B195" s="276" t="s">
        <v>287</v>
      </c>
      <c r="C195" s="53">
        <v>200</v>
      </c>
      <c r="D195" s="55">
        <v>200000</v>
      </c>
      <c r="E195" s="67">
        <v>331</v>
      </c>
      <c r="F195" s="68">
        <v>4122</v>
      </c>
      <c r="G195" s="45"/>
      <c r="I195" s="390"/>
      <c r="J195" s="387"/>
      <c r="K195" s="391"/>
    </row>
    <row r="196" spans="1:11" x14ac:dyDescent="0.25">
      <c r="A196" s="43">
        <v>42192</v>
      </c>
      <c r="B196" s="276" t="s">
        <v>288</v>
      </c>
      <c r="C196" s="53">
        <v>600</v>
      </c>
      <c r="D196" s="55">
        <v>600000</v>
      </c>
      <c r="E196" s="67">
        <v>331</v>
      </c>
      <c r="F196" s="68">
        <v>4122</v>
      </c>
      <c r="G196" s="45"/>
      <c r="I196" s="390"/>
      <c r="J196" s="387"/>
      <c r="K196" s="391"/>
    </row>
    <row r="197" spans="1:11" x14ac:dyDescent="0.25">
      <c r="A197" s="43">
        <v>42192</v>
      </c>
      <c r="B197" s="276" t="s">
        <v>289</v>
      </c>
      <c r="C197" s="53">
        <v>400</v>
      </c>
      <c r="D197" s="55">
        <v>400000</v>
      </c>
      <c r="E197" s="67">
        <v>331</v>
      </c>
      <c r="F197" s="68">
        <v>4122</v>
      </c>
      <c r="G197" s="45"/>
      <c r="I197" s="390"/>
      <c r="J197" s="387"/>
      <c r="K197" s="391"/>
    </row>
    <row r="198" spans="1:11" x14ac:dyDescent="0.25">
      <c r="A198" s="43">
        <v>42192</v>
      </c>
      <c r="B198" s="276" t="s">
        <v>290</v>
      </c>
      <c r="C198" s="53">
        <v>600</v>
      </c>
      <c r="D198" s="55">
        <v>600000</v>
      </c>
      <c r="E198" s="67">
        <v>331</v>
      </c>
      <c r="F198" s="68">
        <v>4122</v>
      </c>
      <c r="G198" s="45"/>
      <c r="I198" s="390"/>
      <c r="J198" s="387"/>
      <c r="K198" s="391"/>
    </row>
    <row r="199" spans="1:11" x14ac:dyDescent="0.25">
      <c r="A199" s="43">
        <v>42192</v>
      </c>
      <c r="B199" s="276" t="s">
        <v>291</v>
      </c>
      <c r="C199" s="53">
        <v>600</v>
      </c>
      <c r="D199" s="55">
        <v>600000</v>
      </c>
      <c r="E199" s="67">
        <v>331</v>
      </c>
      <c r="F199" s="68">
        <v>4122</v>
      </c>
      <c r="G199" s="45"/>
      <c r="I199" s="390"/>
      <c r="J199" s="387"/>
      <c r="K199" s="391"/>
    </row>
    <row r="200" spans="1:11" x14ac:dyDescent="0.25">
      <c r="A200" s="43">
        <v>42192</v>
      </c>
      <c r="B200" s="276" t="s">
        <v>292</v>
      </c>
      <c r="C200" s="53">
        <v>600</v>
      </c>
      <c r="D200" s="55">
        <v>600000</v>
      </c>
      <c r="E200" s="67">
        <v>331</v>
      </c>
      <c r="F200" s="68">
        <v>4122</v>
      </c>
      <c r="G200" s="45"/>
      <c r="I200" s="390"/>
      <c r="J200" s="387"/>
      <c r="K200" s="391"/>
    </row>
    <row r="201" spans="1:11" x14ac:dyDescent="0.25">
      <c r="A201" s="43">
        <v>42192</v>
      </c>
      <c r="B201" s="276" t="s">
        <v>293</v>
      </c>
      <c r="C201" s="53">
        <v>600</v>
      </c>
      <c r="D201" s="55">
        <v>600000</v>
      </c>
      <c r="E201" s="67">
        <v>331</v>
      </c>
      <c r="F201" s="68">
        <v>4122</v>
      </c>
      <c r="G201" s="45"/>
      <c r="I201" s="390"/>
      <c r="J201" s="387"/>
      <c r="K201" s="391"/>
    </row>
    <row r="202" spans="1:11" x14ac:dyDescent="0.25">
      <c r="A202" s="43">
        <v>42213</v>
      </c>
      <c r="B202" s="276" t="s">
        <v>333</v>
      </c>
      <c r="C202" s="53">
        <f>40231.04-5643.04</f>
        <v>34588</v>
      </c>
      <c r="D202" s="55">
        <f>40231040-5643040</f>
        <v>34588000</v>
      </c>
      <c r="E202" s="67">
        <v>13305</v>
      </c>
      <c r="F202" s="68">
        <v>4122</v>
      </c>
      <c r="G202" s="384"/>
      <c r="H202" s="384"/>
      <c r="I202" s="394"/>
      <c r="J202" s="387">
        <v>5643040</v>
      </c>
      <c r="K202" s="391"/>
    </row>
    <row r="203" spans="1:11" x14ac:dyDescent="0.25">
      <c r="A203" s="43"/>
      <c r="B203" s="276"/>
      <c r="C203" s="55"/>
      <c r="D203" s="55"/>
      <c r="E203" s="67"/>
      <c r="F203" s="277"/>
      <c r="G203" s="45"/>
      <c r="I203" s="390"/>
      <c r="J203" s="387"/>
      <c r="K203" s="391"/>
    </row>
    <row r="204" spans="1:11" x14ac:dyDescent="0.25">
      <c r="A204" s="43"/>
      <c r="B204" s="31" t="s">
        <v>50</v>
      </c>
      <c r="C204" s="27">
        <f>SUM(C205:C207)</f>
        <v>1808.6522100000002</v>
      </c>
      <c r="D204" s="27">
        <f>+SUM(D205:D207)</f>
        <v>1808652.21</v>
      </c>
      <c r="E204" s="67"/>
      <c r="F204" s="277"/>
      <c r="G204" s="45"/>
      <c r="I204" s="390"/>
      <c r="J204" s="387"/>
      <c r="K204" s="391"/>
    </row>
    <row r="205" spans="1:11" x14ac:dyDescent="0.25">
      <c r="A205" s="272">
        <v>42101</v>
      </c>
      <c r="B205" s="276" t="s">
        <v>138</v>
      </c>
      <c r="C205" s="53">
        <v>131.06369000000001</v>
      </c>
      <c r="D205" s="55">
        <v>131063.69</v>
      </c>
      <c r="E205" s="268">
        <v>86005</v>
      </c>
      <c r="F205" s="68">
        <v>4123</v>
      </c>
      <c r="G205" s="45"/>
      <c r="I205" s="390"/>
      <c r="J205" s="387"/>
      <c r="K205" s="391"/>
    </row>
    <row r="206" spans="1:11" x14ac:dyDescent="0.25">
      <c r="A206" s="287">
        <v>42131</v>
      </c>
      <c r="B206" s="276" t="s">
        <v>180</v>
      </c>
      <c r="C206" s="53">
        <v>853.73328000000004</v>
      </c>
      <c r="D206" s="55">
        <v>853733.28</v>
      </c>
      <c r="E206" s="290">
        <v>86005</v>
      </c>
      <c r="F206" s="68">
        <v>4123</v>
      </c>
      <c r="G206" s="45"/>
      <c r="I206" s="390"/>
      <c r="J206" s="387"/>
      <c r="K206" s="391"/>
    </row>
    <row r="207" spans="1:11" x14ac:dyDescent="0.25">
      <c r="A207" s="287">
        <v>42178</v>
      </c>
      <c r="B207" s="276" t="s">
        <v>245</v>
      </c>
      <c r="C207" s="53">
        <v>823.85523999999998</v>
      </c>
      <c r="D207" s="55">
        <v>823855.24</v>
      </c>
      <c r="E207" s="290">
        <v>86005</v>
      </c>
      <c r="F207" s="68">
        <v>4123</v>
      </c>
      <c r="G207" s="45"/>
      <c r="I207" s="390"/>
      <c r="J207" s="387"/>
      <c r="K207" s="391"/>
    </row>
    <row r="208" spans="1:11" x14ac:dyDescent="0.25">
      <c r="A208" s="43"/>
      <c r="B208" s="44"/>
      <c r="C208" s="47"/>
      <c r="D208" s="47"/>
      <c r="E208" s="67"/>
      <c r="F208" s="68"/>
      <c r="G208" s="45"/>
      <c r="I208" s="390"/>
      <c r="J208" s="387"/>
      <c r="K208" s="391"/>
    </row>
    <row r="209" spans="1:11" x14ac:dyDescent="0.25">
      <c r="A209" s="43"/>
      <c r="B209" s="293" t="s">
        <v>52</v>
      </c>
      <c r="C209" s="31">
        <f>+SUM(C210:C213)</f>
        <v>582</v>
      </c>
      <c r="D209" s="31">
        <f>+SUM(D210:D213)</f>
        <v>2400018.1000000006</v>
      </c>
      <c r="E209" s="67"/>
      <c r="F209" s="68"/>
      <c r="G209" s="45"/>
      <c r="I209" s="390"/>
      <c r="J209" s="387"/>
      <c r="K209" s="391"/>
    </row>
    <row r="210" spans="1:11" x14ac:dyDescent="0.25">
      <c r="A210" s="43">
        <v>42075</v>
      </c>
      <c r="B210" s="276" t="s">
        <v>124</v>
      </c>
      <c r="C210" s="53">
        <v>582</v>
      </c>
      <c r="D210" s="55">
        <v>581714.24</v>
      </c>
      <c r="E210" s="67"/>
      <c r="F210" s="68">
        <v>4152</v>
      </c>
      <c r="G210" s="45"/>
      <c r="I210" s="390"/>
      <c r="J210" s="387"/>
      <c r="K210" s="391"/>
    </row>
    <row r="211" spans="1:11" x14ac:dyDescent="0.25">
      <c r="A211" s="43">
        <v>42174</v>
      </c>
      <c r="B211" s="276" t="s">
        <v>244</v>
      </c>
      <c r="C211" s="53">
        <v>0</v>
      </c>
      <c r="D211" s="55">
        <v>1794728.87</v>
      </c>
      <c r="E211" s="67"/>
      <c r="F211" s="68">
        <v>4152</v>
      </c>
      <c r="G211" s="45"/>
      <c r="I211" s="390"/>
      <c r="J211" s="387"/>
      <c r="K211" s="391"/>
    </row>
    <row r="212" spans="1:11" x14ac:dyDescent="0.25">
      <c r="A212" s="43">
        <v>42233</v>
      </c>
      <c r="B212" s="276" t="s">
        <v>416</v>
      </c>
      <c r="C212" s="53">
        <v>0</v>
      </c>
      <c r="D212" s="55">
        <v>23574.99</v>
      </c>
      <c r="E212" s="67"/>
      <c r="F212" s="68">
        <v>4152</v>
      </c>
      <c r="G212" s="45"/>
      <c r="I212" s="390"/>
      <c r="J212" s="387"/>
      <c r="K212" s="391"/>
    </row>
    <row r="213" spans="1:11" x14ac:dyDescent="0.25">
      <c r="A213" s="43"/>
      <c r="B213" s="276"/>
      <c r="C213" s="53"/>
      <c r="D213" s="55"/>
      <c r="E213" s="67"/>
      <c r="F213" s="68">
        <v>4152</v>
      </c>
      <c r="G213" s="45"/>
      <c r="I213" s="390"/>
      <c r="J213" s="387"/>
      <c r="K213" s="391"/>
    </row>
    <row r="214" spans="1:11" x14ac:dyDescent="0.25">
      <c r="A214" s="43"/>
      <c r="B214" s="276"/>
      <c r="C214" s="47"/>
      <c r="D214" s="55"/>
      <c r="E214" s="67"/>
      <c r="F214" s="68"/>
      <c r="G214" s="45"/>
      <c r="I214" s="390"/>
      <c r="J214" s="387"/>
      <c r="K214" s="391"/>
    </row>
    <row r="215" spans="1:11" x14ac:dyDescent="0.25">
      <c r="A215" s="43"/>
      <c r="B215" s="294" t="s">
        <v>53</v>
      </c>
      <c r="C215" s="27">
        <f>+C209+C204+C169+C165+C160+C152+C135+C132+C128+C121+C57+C27+C24+C17+C14+C10+C7</f>
        <v>172407.07824999999</v>
      </c>
      <c r="D215" s="27">
        <f>+D209+D204+D169+D165+D160+D152+D135+D132+D128+D121+D57+D27+D24+D17+D14+D10+D7</f>
        <v>187999452.94</v>
      </c>
      <c r="E215" s="295"/>
      <c r="F215" s="268"/>
      <c r="G215" s="45"/>
      <c r="I215" s="390"/>
      <c r="J215" s="387"/>
      <c r="K215" s="391"/>
    </row>
    <row r="216" spans="1:11" ht="16.5" thickBot="1" x14ac:dyDescent="0.3">
      <c r="A216" s="296"/>
      <c r="B216" s="297"/>
      <c r="C216" s="75"/>
      <c r="D216" s="75"/>
      <c r="E216" s="298"/>
      <c r="F216" s="299"/>
      <c r="G216" s="45"/>
      <c r="I216" s="390"/>
      <c r="J216" s="387"/>
      <c r="K216" s="391"/>
    </row>
    <row r="217" spans="1:11" x14ac:dyDescent="0.25">
      <c r="A217" s="300"/>
      <c r="B217" s="79"/>
      <c r="C217" s="79"/>
      <c r="D217" s="79"/>
      <c r="E217" s="301"/>
      <c r="F217" s="301"/>
      <c r="G217" s="45"/>
      <c r="I217" s="390"/>
      <c r="J217" s="387"/>
      <c r="K217" s="391"/>
    </row>
    <row r="218" spans="1:11" ht="16.5" thickBot="1" x14ac:dyDescent="0.3">
      <c r="A218" s="300"/>
      <c r="B218" s="79"/>
      <c r="C218" s="79"/>
      <c r="D218" s="79"/>
      <c r="E218" s="301"/>
      <c r="F218" s="301"/>
      <c r="G218" s="45"/>
      <c r="I218" s="390"/>
      <c r="J218" s="387"/>
      <c r="K218" s="391"/>
    </row>
    <row r="219" spans="1:11" x14ac:dyDescent="0.25">
      <c r="A219" s="690" t="s">
        <v>141</v>
      </c>
      <c r="B219" s="5"/>
      <c r="C219" s="5"/>
      <c r="D219" s="5"/>
      <c r="E219" s="302"/>
      <c r="F219" s="302"/>
      <c r="G219" s="45"/>
      <c r="I219" s="390"/>
      <c r="J219" s="387"/>
      <c r="K219" s="391"/>
    </row>
    <row r="220" spans="1:11" ht="16.5" thickBot="1" x14ac:dyDescent="0.3">
      <c r="A220" s="691"/>
      <c r="B220" s="10" t="s">
        <v>54</v>
      </c>
      <c r="C220" s="10" t="s">
        <v>3</v>
      </c>
      <c r="D220" s="10" t="s">
        <v>4</v>
      </c>
      <c r="E220" s="303" t="s">
        <v>5</v>
      </c>
      <c r="F220" s="303" t="s">
        <v>6</v>
      </c>
      <c r="G220" s="45"/>
      <c r="I220" s="390"/>
      <c r="J220" s="387"/>
      <c r="K220" s="391"/>
    </row>
    <row r="221" spans="1:11" x14ac:dyDescent="0.25">
      <c r="A221" s="43"/>
      <c r="B221" s="273" t="s">
        <v>14</v>
      </c>
      <c r="C221" s="40">
        <f>+SUM(C222:C236)</f>
        <v>471.98576000000008</v>
      </c>
      <c r="D221" s="40">
        <f>+SUM(D222:D237)</f>
        <v>905065.79</v>
      </c>
      <c r="E221" s="68"/>
      <c r="F221" s="68"/>
      <c r="G221" s="45"/>
      <c r="I221" s="390"/>
      <c r="J221" s="387"/>
      <c r="K221" s="391"/>
    </row>
    <row r="222" spans="1:11" x14ac:dyDescent="0.25">
      <c r="A222" s="43">
        <v>42069</v>
      </c>
      <c r="B222" s="44" t="s">
        <v>114</v>
      </c>
      <c r="C222" s="53">
        <v>141.55572000000001</v>
      </c>
      <c r="D222" s="21">
        <v>141555.72</v>
      </c>
      <c r="E222" s="68">
        <v>90877</v>
      </c>
      <c r="F222" s="68">
        <v>4213</v>
      </c>
      <c r="G222" s="45"/>
      <c r="I222" s="390"/>
      <c r="J222" s="387"/>
      <c r="K222" s="391"/>
    </row>
    <row r="223" spans="1:11" x14ac:dyDescent="0.25">
      <c r="A223" s="43">
        <v>42114</v>
      </c>
      <c r="B223" s="44" t="s">
        <v>156</v>
      </c>
      <c r="C223" s="53">
        <v>47.117789999999999</v>
      </c>
      <c r="D223" s="21">
        <v>47117.79</v>
      </c>
      <c r="E223" s="68">
        <v>90877</v>
      </c>
      <c r="F223" s="68">
        <v>4213</v>
      </c>
      <c r="G223" s="45"/>
      <c r="I223" s="390"/>
      <c r="J223" s="387"/>
      <c r="K223" s="391"/>
    </row>
    <row r="224" spans="1:11" x14ac:dyDescent="0.25">
      <c r="A224" s="43">
        <v>42142</v>
      </c>
      <c r="B224" s="44" t="s">
        <v>169</v>
      </c>
      <c r="C224" s="53">
        <v>21.145890000000001</v>
      </c>
      <c r="D224" s="21">
        <v>21145.89</v>
      </c>
      <c r="E224" s="68">
        <v>90877</v>
      </c>
      <c r="F224" s="68">
        <v>4213</v>
      </c>
      <c r="G224" s="45"/>
      <c r="I224" s="390"/>
      <c r="J224" s="387"/>
      <c r="K224" s="391"/>
    </row>
    <row r="225" spans="1:11" x14ac:dyDescent="0.25">
      <c r="A225" s="43">
        <v>42150</v>
      </c>
      <c r="B225" s="44" t="s">
        <v>218</v>
      </c>
      <c r="C225" s="53">
        <v>32.193080000000002</v>
      </c>
      <c r="D225" s="21">
        <v>32193.08</v>
      </c>
      <c r="E225" s="68">
        <v>90877</v>
      </c>
      <c r="F225" s="68">
        <v>4213</v>
      </c>
      <c r="G225" s="45"/>
      <c r="I225" s="390"/>
      <c r="J225" s="387"/>
      <c r="K225" s="391"/>
    </row>
    <row r="226" spans="1:11" x14ac:dyDescent="0.25">
      <c r="A226" s="43">
        <v>42150</v>
      </c>
      <c r="B226" s="44" t="s">
        <v>219</v>
      </c>
      <c r="C226" s="53">
        <v>21.296060000000001</v>
      </c>
      <c r="D226" s="21">
        <v>21296.06</v>
      </c>
      <c r="E226" s="68">
        <v>90877</v>
      </c>
      <c r="F226" s="68">
        <v>4213</v>
      </c>
      <c r="G226" s="45"/>
      <c r="I226" s="390"/>
      <c r="J226" s="387"/>
      <c r="K226" s="391"/>
    </row>
    <row r="227" spans="1:11" x14ac:dyDescent="0.25">
      <c r="A227" s="43">
        <v>42167</v>
      </c>
      <c r="B227" s="44" t="s">
        <v>232</v>
      </c>
      <c r="C227" s="53">
        <v>28.64677</v>
      </c>
      <c r="D227" s="21">
        <v>28646.77</v>
      </c>
      <c r="E227" s="68">
        <v>90877</v>
      </c>
      <c r="F227" s="68">
        <v>4213</v>
      </c>
      <c r="G227" s="45"/>
      <c r="I227" s="390"/>
      <c r="J227" s="387"/>
      <c r="K227" s="391"/>
    </row>
    <row r="228" spans="1:11" x14ac:dyDescent="0.25">
      <c r="A228" s="43">
        <v>42199</v>
      </c>
      <c r="B228" s="44" t="s">
        <v>280</v>
      </c>
      <c r="C228" s="53">
        <v>120.05096</v>
      </c>
      <c r="D228" s="21">
        <v>120050.96</v>
      </c>
      <c r="E228" s="68">
        <v>90877</v>
      </c>
      <c r="F228" s="68">
        <v>4213</v>
      </c>
      <c r="G228" s="45"/>
      <c r="I228" s="390"/>
      <c r="J228" s="387"/>
      <c r="K228" s="391"/>
    </row>
    <row r="229" spans="1:11" x14ac:dyDescent="0.25">
      <c r="A229" s="43">
        <v>42195</v>
      </c>
      <c r="B229" s="44" t="s">
        <v>294</v>
      </c>
      <c r="C229" s="53">
        <v>20.106369999999998</v>
      </c>
      <c r="D229" s="21">
        <v>20106.37</v>
      </c>
      <c r="E229" s="68">
        <v>90877</v>
      </c>
      <c r="F229" s="68">
        <v>4213</v>
      </c>
      <c r="G229" s="45"/>
      <c r="I229" s="390"/>
      <c r="J229" s="387"/>
      <c r="K229" s="391"/>
    </row>
    <row r="230" spans="1:11" x14ac:dyDescent="0.25">
      <c r="A230" s="43">
        <v>42205</v>
      </c>
      <c r="B230" s="44" t="s">
        <v>303</v>
      </c>
      <c r="C230" s="53">
        <v>19.5185</v>
      </c>
      <c r="D230" s="21">
        <v>19518.5</v>
      </c>
      <c r="E230" s="68">
        <v>90877</v>
      </c>
      <c r="F230" s="68">
        <v>4213</v>
      </c>
      <c r="G230" s="45"/>
      <c r="I230" s="390"/>
      <c r="J230" s="387"/>
      <c r="K230" s="391"/>
    </row>
    <row r="231" spans="1:11" x14ac:dyDescent="0.25">
      <c r="A231" s="43">
        <v>42209</v>
      </c>
      <c r="B231" s="44" t="s">
        <v>330</v>
      </c>
      <c r="C231" s="53">
        <v>20.354620000000001</v>
      </c>
      <c r="D231" s="21">
        <v>20354.62</v>
      </c>
      <c r="E231" s="68">
        <v>90877</v>
      </c>
      <c r="F231" s="68">
        <v>4213</v>
      </c>
      <c r="G231" s="45"/>
      <c r="I231" s="390"/>
      <c r="J231" s="387"/>
      <c r="K231" s="391"/>
    </row>
    <row r="232" spans="1:11" x14ac:dyDescent="0.25">
      <c r="A232" s="43">
        <v>42220</v>
      </c>
      <c r="B232" s="44" t="s">
        <v>343</v>
      </c>
      <c r="C232" s="53"/>
      <c r="D232" s="21">
        <v>72443.289999999994</v>
      </c>
      <c r="E232" s="68">
        <v>90877</v>
      </c>
      <c r="F232" s="68">
        <v>4213</v>
      </c>
      <c r="G232" s="45"/>
      <c r="I232" s="390"/>
      <c r="J232" s="387"/>
      <c r="K232" s="391"/>
    </row>
    <row r="233" spans="1:11" x14ac:dyDescent="0.25">
      <c r="A233" s="43">
        <v>42222</v>
      </c>
      <c r="B233" s="44" t="s">
        <v>368</v>
      </c>
      <c r="C233" s="53"/>
      <c r="D233" s="21">
        <v>214120.67</v>
      </c>
      <c r="E233" s="68">
        <v>90877</v>
      </c>
      <c r="F233" s="68">
        <v>4213</v>
      </c>
      <c r="G233" s="45"/>
      <c r="I233" s="390"/>
      <c r="J233" s="387"/>
      <c r="K233" s="391"/>
    </row>
    <row r="234" spans="1:11" x14ac:dyDescent="0.25">
      <c r="A234" s="43">
        <v>42226</v>
      </c>
      <c r="B234" s="44" t="s">
        <v>218</v>
      </c>
      <c r="C234" s="53"/>
      <c r="D234" s="21">
        <v>7707.36</v>
      </c>
      <c r="E234" s="68">
        <v>90877</v>
      </c>
      <c r="F234" s="68">
        <v>4213</v>
      </c>
      <c r="G234" s="45"/>
      <c r="I234" s="390"/>
      <c r="J234" s="387"/>
      <c r="K234" s="391"/>
    </row>
    <row r="235" spans="1:11" x14ac:dyDescent="0.25">
      <c r="A235" s="43"/>
      <c r="B235" s="44" t="s">
        <v>283</v>
      </c>
      <c r="C235" s="347">
        <v>0</v>
      </c>
      <c r="D235" s="347">
        <v>60770.15</v>
      </c>
      <c r="E235" s="68">
        <v>90877</v>
      </c>
      <c r="F235" s="68">
        <v>4213</v>
      </c>
      <c r="G235" s="384" t="s">
        <v>399</v>
      </c>
      <c r="H235" s="384">
        <v>60770.15</v>
      </c>
      <c r="I235" s="390"/>
      <c r="J235" s="389">
        <v>217082.01</v>
      </c>
      <c r="K235" s="391">
        <v>60770.15</v>
      </c>
    </row>
    <row r="236" spans="1:11" x14ac:dyDescent="0.25">
      <c r="A236" s="43"/>
      <c r="B236" s="44" t="s">
        <v>397</v>
      </c>
      <c r="C236" s="347">
        <v>0</v>
      </c>
      <c r="D236" s="21">
        <v>302.5</v>
      </c>
      <c r="E236" s="68">
        <v>90877</v>
      </c>
      <c r="F236" s="68">
        <v>4213</v>
      </c>
      <c r="G236" s="384" t="s">
        <v>399</v>
      </c>
      <c r="H236" s="160">
        <v>302.5</v>
      </c>
      <c r="I236" s="390"/>
      <c r="K236" s="391">
        <v>302.5</v>
      </c>
    </row>
    <row r="237" spans="1:11" x14ac:dyDescent="0.25">
      <c r="A237" s="43"/>
      <c r="B237" s="44" t="s">
        <v>396</v>
      </c>
      <c r="C237" s="347">
        <v>0</v>
      </c>
      <c r="D237" s="21">
        <v>77736.06</v>
      </c>
      <c r="E237" s="68">
        <v>90877</v>
      </c>
      <c r="F237" s="68">
        <v>4213</v>
      </c>
      <c r="G237" s="384" t="s">
        <v>399</v>
      </c>
      <c r="H237" s="160">
        <v>77736.06</v>
      </c>
      <c r="I237" s="390"/>
      <c r="J237" s="387"/>
      <c r="K237" s="391">
        <v>77736.06</v>
      </c>
    </row>
    <row r="238" spans="1:11" x14ac:dyDescent="0.25">
      <c r="A238" s="43"/>
      <c r="B238" s="44"/>
      <c r="C238" s="21"/>
      <c r="D238" s="21"/>
      <c r="E238" s="68"/>
      <c r="F238" s="68"/>
      <c r="G238" s="45"/>
      <c r="I238" s="390"/>
      <c r="J238" s="387"/>
      <c r="K238" s="391"/>
    </row>
    <row r="239" spans="1:11" x14ac:dyDescent="0.25">
      <c r="A239" s="43"/>
      <c r="B239" s="285" t="s">
        <v>33</v>
      </c>
      <c r="C239" s="40">
        <v>0</v>
      </c>
      <c r="D239" s="40">
        <f>+D240</f>
        <v>100000</v>
      </c>
      <c r="E239" s="68"/>
      <c r="F239" s="68"/>
      <c r="G239" s="45"/>
      <c r="I239" s="390"/>
      <c r="J239" s="387"/>
      <c r="K239" s="391"/>
    </row>
    <row r="240" spans="1:11" x14ac:dyDescent="0.25">
      <c r="A240" s="43">
        <v>42244</v>
      </c>
      <c r="B240" s="44" t="s">
        <v>322</v>
      </c>
      <c r="C240" s="21">
        <v>0</v>
      </c>
      <c r="D240" s="21">
        <v>100000</v>
      </c>
      <c r="E240" s="68">
        <v>34941</v>
      </c>
      <c r="F240" s="68">
        <v>4216</v>
      </c>
      <c r="G240" s="45"/>
      <c r="I240" s="390"/>
      <c r="J240" s="387"/>
      <c r="K240" s="391"/>
    </row>
    <row r="241" spans="1:11" x14ac:dyDescent="0.25">
      <c r="A241" s="43"/>
      <c r="B241" s="44"/>
      <c r="C241" s="21"/>
      <c r="D241" s="40"/>
      <c r="E241" s="68"/>
      <c r="F241" s="68"/>
      <c r="G241" s="45"/>
      <c r="I241" s="390"/>
      <c r="J241" s="387"/>
      <c r="K241" s="391"/>
    </row>
    <row r="242" spans="1:11" x14ac:dyDescent="0.25">
      <c r="A242" s="43"/>
      <c r="B242" s="273" t="s">
        <v>45</v>
      </c>
      <c r="C242" s="40">
        <f>+SUM(C243:C257)</f>
        <v>5617.3112599999995</v>
      </c>
      <c r="D242" s="40">
        <f>+SUM(D243:D257)</f>
        <v>12979672.270000001</v>
      </c>
      <c r="E242" s="68"/>
      <c r="F242" s="68"/>
      <c r="G242" s="45"/>
      <c r="I242" s="390"/>
      <c r="J242" s="387"/>
      <c r="K242" s="391"/>
    </row>
    <row r="243" spans="1:11" x14ac:dyDescent="0.25">
      <c r="A243" s="43">
        <v>42114</v>
      </c>
      <c r="B243" s="44" t="s">
        <v>156</v>
      </c>
      <c r="C243" s="53">
        <v>801.00243</v>
      </c>
      <c r="D243" s="21">
        <v>801002.43</v>
      </c>
      <c r="E243" s="68">
        <v>15827</v>
      </c>
      <c r="F243" s="68">
        <v>4216</v>
      </c>
      <c r="G243" s="45"/>
      <c r="I243" s="390"/>
      <c r="J243" s="387"/>
      <c r="K243" s="391"/>
    </row>
    <row r="244" spans="1:11" x14ac:dyDescent="0.25">
      <c r="A244" s="43">
        <v>42139</v>
      </c>
      <c r="B244" s="44" t="s">
        <v>169</v>
      </c>
      <c r="C244" s="53">
        <v>359.48018999999999</v>
      </c>
      <c r="D244" s="21">
        <v>359480.19</v>
      </c>
      <c r="E244" s="68">
        <v>15835</v>
      </c>
      <c r="F244" s="68">
        <v>4216</v>
      </c>
      <c r="G244" s="45"/>
      <c r="I244" s="390"/>
      <c r="J244" s="387"/>
      <c r="K244" s="391"/>
    </row>
    <row r="245" spans="1:11" x14ac:dyDescent="0.25">
      <c r="A245" s="43">
        <v>42150</v>
      </c>
      <c r="B245" s="44" t="s">
        <v>218</v>
      </c>
      <c r="C245" s="53">
        <v>547.28240000000005</v>
      </c>
      <c r="D245" s="21">
        <v>547282.4</v>
      </c>
      <c r="E245" s="68">
        <v>15835</v>
      </c>
      <c r="F245" s="68">
        <v>4216</v>
      </c>
      <c r="G245" s="45"/>
      <c r="I245" s="390"/>
      <c r="J245" s="387"/>
      <c r="K245" s="391"/>
    </row>
    <row r="246" spans="1:11" x14ac:dyDescent="0.25">
      <c r="A246" s="43">
        <v>42150</v>
      </c>
      <c r="B246" s="44" t="s">
        <v>219</v>
      </c>
      <c r="C246" s="53">
        <v>362.03313000000003</v>
      </c>
      <c r="D246" s="21">
        <v>362033.13</v>
      </c>
      <c r="E246" s="68">
        <v>15835</v>
      </c>
      <c r="F246" s="68">
        <v>4216</v>
      </c>
      <c r="G246" s="45"/>
      <c r="I246" s="390"/>
      <c r="J246" s="387"/>
      <c r="K246" s="391"/>
    </row>
    <row r="247" spans="1:11" x14ac:dyDescent="0.25">
      <c r="A247" s="43">
        <v>42167</v>
      </c>
      <c r="B247" s="44" t="s">
        <v>232</v>
      </c>
      <c r="C247" s="53">
        <v>486.99520000000001</v>
      </c>
      <c r="D247" s="21">
        <v>486995.20000000001</v>
      </c>
      <c r="E247" s="68">
        <v>15835</v>
      </c>
      <c r="F247" s="68">
        <v>4216</v>
      </c>
      <c r="G247" s="45"/>
      <c r="I247" s="390"/>
      <c r="J247" s="387"/>
      <c r="K247" s="391"/>
    </row>
    <row r="248" spans="1:11" x14ac:dyDescent="0.25">
      <c r="A248" s="43">
        <v>42198</v>
      </c>
      <c r="B248" s="44" t="s">
        <v>280</v>
      </c>
      <c r="C248" s="53">
        <v>2040.8663899999999</v>
      </c>
      <c r="D248" s="21">
        <v>2040866.39</v>
      </c>
      <c r="E248" s="68">
        <v>15835</v>
      </c>
      <c r="F248" s="68">
        <v>4216</v>
      </c>
      <c r="G248" s="45"/>
      <c r="I248" s="390"/>
      <c r="J248" s="387"/>
      <c r="K248" s="391"/>
    </row>
    <row r="249" spans="1:11" x14ac:dyDescent="0.25">
      <c r="A249" s="43">
        <v>42194</v>
      </c>
      <c r="B249" s="44" t="s">
        <v>294</v>
      </c>
      <c r="C249" s="53">
        <v>341.80831999999998</v>
      </c>
      <c r="D249" s="21">
        <v>341808.32</v>
      </c>
      <c r="E249" s="68">
        <v>15835</v>
      </c>
      <c r="F249" s="68">
        <v>4216</v>
      </c>
      <c r="G249" s="45"/>
      <c r="I249" s="390"/>
      <c r="J249" s="387"/>
      <c r="K249" s="391"/>
    </row>
    <row r="250" spans="1:11" x14ac:dyDescent="0.25">
      <c r="A250" s="43">
        <v>42205</v>
      </c>
      <c r="B250" s="44" t="s">
        <v>303</v>
      </c>
      <c r="C250" s="53">
        <v>331.81452999999999</v>
      </c>
      <c r="D250" s="21">
        <v>331814.53000000003</v>
      </c>
      <c r="E250" s="68">
        <v>15835</v>
      </c>
      <c r="F250" s="68">
        <v>4216</v>
      </c>
      <c r="G250" s="45"/>
      <c r="I250" s="390"/>
      <c r="J250" s="387"/>
      <c r="K250" s="391"/>
    </row>
    <row r="251" spans="1:11" x14ac:dyDescent="0.25">
      <c r="A251" s="43">
        <v>42209</v>
      </c>
      <c r="B251" s="44" t="s">
        <v>329</v>
      </c>
      <c r="C251" s="53">
        <v>346.02866999999998</v>
      </c>
      <c r="D251" s="21">
        <v>346028.67</v>
      </c>
      <c r="E251" s="68">
        <v>15835</v>
      </c>
      <c r="F251" s="68">
        <v>4216</v>
      </c>
      <c r="G251" s="45"/>
      <c r="I251" s="390"/>
      <c r="J251" s="387"/>
      <c r="K251" s="391"/>
    </row>
    <row r="252" spans="1:11" x14ac:dyDescent="0.25">
      <c r="A252" s="43">
        <v>42220</v>
      </c>
      <c r="B252" s="44" t="s">
        <v>343</v>
      </c>
      <c r="C252" s="53"/>
      <c r="D252" s="21">
        <v>1231535.95</v>
      </c>
      <c r="E252" s="68">
        <v>15835</v>
      </c>
      <c r="F252" s="68">
        <v>4216</v>
      </c>
      <c r="G252" s="45"/>
      <c r="I252" s="390"/>
      <c r="J252" s="387"/>
      <c r="K252" s="391"/>
    </row>
    <row r="253" spans="1:11" x14ac:dyDescent="0.25">
      <c r="A253" s="43">
        <v>42222</v>
      </c>
      <c r="B253" s="44" t="s">
        <v>368</v>
      </c>
      <c r="C253" s="53"/>
      <c r="D253" s="21">
        <v>3640051.55</v>
      </c>
      <c r="E253" s="68">
        <v>15835</v>
      </c>
      <c r="F253" s="68">
        <v>4216</v>
      </c>
      <c r="G253" s="45"/>
      <c r="I253" s="390"/>
      <c r="J253" s="387"/>
      <c r="K253" s="391"/>
    </row>
    <row r="254" spans="1:11" x14ac:dyDescent="0.25">
      <c r="A254" s="43">
        <v>42223</v>
      </c>
      <c r="B254" s="44" t="s">
        <v>218</v>
      </c>
      <c r="C254" s="53"/>
      <c r="D254" s="21">
        <v>131025.23</v>
      </c>
      <c r="E254" s="68">
        <v>15835</v>
      </c>
      <c r="F254" s="68">
        <v>4216</v>
      </c>
      <c r="G254" s="45"/>
      <c r="I254" s="390"/>
      <c r="J254" s="387"/>
      <c r="K254" s="391"/>
    </row>
    <row r="255" spans="1:11" x14ac:dyDescent="0.25">
      <c r="A255" s="43"/>
      <c r="B255" s="44" t="s">
        <v>284</v>
      </c>
      <c r="C255" s="347">
        <v>0</v>
      </c>
      <c r="D255" s="347">
        <v>1033092.67</v>
      </c>
      <c r="E255" s="68">
        <v>15835</v>
      </c>
      <c r="F255" s="68">
        <v>4216</v>
      </c>
      <c r="G255" s="384" t="s">
        <v>399</v>
      </c>
      <c r="H255" s="384">
        <v>1033092.67</v>
      </c>
      <c r="I255" s="390"/>
      <c r="J255" s="402">
        <v>3690394.27</v>
      </c>
      <c r="K255" s="391">
        <v>1033092.67</v>
      </c>
    </row>
    <row r="256" spans="1:11" x14ac:dyDescent="0.25">
      <c r="A256" s="43"/>
      <c r="B256" s="44" t="s">
        <v>397</v>
      </c>
      <c r="C256" s="347">
        <v>0</v>
      </c>
      <c r="D256" s="21">
        <v>5142.5</v>
      </c>
      <c r="E256" s="68">
        <v>15835</v>
      </c>
      <c r="F256" s="68">
        <v>4216</v>
      </c>
      <c r="G256" s="384" t="s">
        <v>399</v>
      </c>
      <c r="H256" s="384">
        <v>5142.5</v>
      </c>
      <c r="I256" s="390"/>
      <c r="J256" s="402"/>
      <c r="K256" s="391">
        <v>5142.5</v>
      </c>
    </row>
    <row r="257" spans="1:11" x14ac:dyDescent="0.25">
      <c r="A257" s="43"/>
      <c r="B257" s="44" t="s">
        <v>396</v>
      </c>
      <c r="C257" s="53">
        <v>0</v>
      </c>
      <c r="D257" s="21">
        <v>1321513.1100000001</v>
      </c>
      <c r="E257" s="68">
        <v>15835</v>
      </c>
      <c r="F257" s="68">
        <v>4216</v>
      </c>
      <c r="G257" s="384" t="s">
        <v>399</v>
      </c>
      <c r="H257" s="384">
        <v>1321513.1100000001</v>
      </c>
      <c r="I257" s="390"/>
      <c r="J257" s="387"/>
      <c r="K257" s="391">
        <v>1321513.1100000001</v>
      </c>
    </row>
    <row r="258" spans="1:11" x14ac:dyDescent="0.25">
      <c r="A258" s="43"/>
      <c r="B258" s="276"/>
      <c r="C258" s="21"/>
      <c r="D258" s="21"/>
      <c r="E258" s="68"/>
      <c r="F258" s="68">
        <v>4216</v>
      </c>
      <c r="G258" s="45"/>
      <c r="I258" s="390"/>
      <c r="J258" s="387"/>
      <c r="K258" s="391"/>
    </row>
    <row r="259" spans="1:11" x14ac:dyDescent="0.25">
      <c r="A259" s="43"/>
      <c r="B259" s="285" t="s">
        <v>91</v>
      </c>
      <c r="C259" s="40">
        <f>+C261+C260+C262</f>
        <v>27949.130580000001</v>
      </c>
      <c r="D259" s="40">
        <f>+D261+D260+D262</f>
        <v>27949130.579999998</v>
      </c>
      <c r="E259" s="68"/>
      <c r="F259" s="68"/>
      <c r="G259" s="45"/>
      <c r="I259" s="390"/>
      <c r="J259" s="387"/>
      <c r="K259" s="391"/>
    </row>
    <row r="260" spans="1:11" x14ac:dyDescent="0.25">
      <c r="A260" s="43">
        <v>42034</v>
      </c>
      <c r="B260" s="276" t="s">
        <v>103</v>
      </c>
      <c r="C260" s="21">
        <v>4395.5924400000004</v>
      </c>
      <c r="D260" s="21">
        <v>4395592.4400000004</v>
      </c>
      <c r="E260" s="68">
        <v>17871</v>
      </c>
      <c r="F260" s="68">
        <v>4216</v>
      </c>
      <c r="G260" s="45"/>
      <c r="I260" s="390"/>
      <c r="J260" s="387"/>
      <c r="K260" s="391"/>
    </row>
    <row r="261" spans="1:11" x14ac:dyDescent="0.25">
      <c r="A261" s="43">
        <v>42034</v>
      </c>
      <c r="B261" s="276" t="s">
        <v>103</v>
      </c>
      <c r="C261" s="21">
        <v>775.69277999999997</v>
      </c>
      <c r="D261" s="21">
        <v>775692.78</v>
      </c>
      <c r="E261" s="68">
        <v>17870</v>
      </c>
      <c r="F261" s="68">
        <v>4216</v>
      </c>
      <c r="G261" s="45"/>
      <c r="I261" s="390"/>
      <c r="J261" s="387"/>
      <c r="K261" s="391"/>
    </row>
    <row r="262" spans="1:11" x14ac:dyDescent="0.25">
      <c r="A262" s="43">
        <v>42151</v>
      </c>
      <c r="B262" s="276" t="s">
        <v>220</v>
      </c>
      <c r="C262" s="21">
        <v>22777.845359999999</v>
      </c>
      <c r="D262" s="21">
        <v>22777845.359999999</v>
      </c>
      <c r="E262" s="68">
        <v>17871</v>
      </c>
      <c r="F262" s="68">
        <v>4216</v>
      </c>
      <c r="G262" s="45"/>
      <c r="I262" s="390"/>
      <c r="J262" s="387"/>
      <c r="K262" s="391"/>
    </row>
    <row r="263" spans="1:11" x14ac:dyDescent="0.25">
      <c r="A263" s="43"/>
      <c r="B263" s="276"/>
      <c r="C263" s="21"/>
      <c r="D263" s="21"/>
      <c r="E263" s="68"/>
      <c r="F263" s="68"/>
      <c r="G263" s="45"/>
      <c r="I263" s="390"/>
      <c r="J263" s="387"/>
      <c r="K263" s="391"/>
    </row>
    <row r="264" spans="1:11" x14ac:dyDescent="0.25">
      <c r="A264" s="43"/>
      <c r="B264" s="31" t="s">
        <v>149</v>
      </c>
      <c r="C264" s="40">
        <f>+C265</f>
        <v>450</v>
      </c>
      <c r="D264" s="40">
        <f>+D265</f>
        <v>450000</v>
      </c>
      <c r="E264" s="68"/>
      <c r="F264" s="68"/>
      <c r="G264" s="45"/>
      <c r="I264" s="390"/>
      <c r="J264" s="387"/>
      <c r="K264" s="391"/>
    </row>
    <row r="265" spans="1:11" x14ac:dyDescent="0.25">
      <c r="A265" s="43">
        <v>42121</v>
      </c>
      <c r="B265" s="276" t="s">
        <v>155</v>
      </c>
      <c r="C265" s="21">
        <v>450</v>
      </c>
      <c r="D265" s="21">
        <v>450000</v>
      </c>
      <c r="E265" s="68">
        <v>35674</v>
      </c>
      <c r="F265" s="68">
        <v>4216</v>
      </c>
      <c r="G265" s="45"/>
      <c r="I265" s="390"/>
      <c r="J265" s="387"/>
      <c r="K265" s="391"/>
    </row>
    <row r="266" spans="1:11" x14ac:dyDescent="0.25">
      <c r="A266" s="43"/>
      <c r="B266" s="273"/>
      <c r="C266" s="40"/>
      <c r="D266" s="40"/>
      <c r="E266" s="68"/>
      <c r="F266" s="68"/>
      <c r="G266" s="45"/>
      <c r="I266" s="390"/>
      <c r="J266" s="387"/>
      <c r="K266" s="391"/>
    </row>
    <row r="267" spans="1:11" x14ac:dyDescent="0.25">
      <c r="A267" s="43"/>
      <c r="B267" s="304"/>
      <c r="C267" s="53"/>
      <c r="D267" s="55"/>
      <c r="E267" s="268"/>
      <c r="F267" s="68"/>
      <c r="G267" s="45"/>
      <c r="I267" s="390"/>
      <c r="J267" s="387"/>
      <c r="K267" s="391"/>
    </row>
    <row r="268" spans="1:11" x14ac:dyDescent="0.25">
      <c r="A268" s="43"/>
      <c r="B268" s="31" t="s">
        <v>50</v>
      </c>
      <c r="C268" s="31">
        <f>+SUM(C269:C277)</f>
        <v>82091.54595</v>
      </c>
      <c r="D268" s="31">
        <f>+SUM(D269:D277)</f>
        <v>91668864.409999996</v>
      </c>
      <c r="E268" s="68"/>
      <c r="F268" s="68"/>
      <c r="G268" s="45"/>
      <c r="I268" s="390"/>
      <c r="J268" s="387"/>
      <c r="K268" s="391"/>
    </row>
    <row r="269" spans="1:11" x14ac:dyDescent="0.25">
      <c r="A269" s="43">
        <v>42073</v>
      </c>
      <c r="B269" s="276" t="s">
        <v>112</v>
      </c>
      <c r="C269" s="21">
        <v>24568.326000000001</v>
      </c>
      <c r="D269" s="21">
        <v>24568326</v>
      </c>
      <c r="E269" s="68">
        <v>86505</v>
      </c>
      <c r="F269" s="68">
        <v>4223</v>
      </c>
      <c r="G269" s="45"/>
      <c r="I269" s="390"/>
      <c r="J269" s="387"/>
      <c r="K269" s="391"/>
    </row>
    <row r="270" spans="1:11" x14ac:dyDescent="0.25">
      <c r="A270" s="43">
        <v>42073</v>
      </c>
      <c r="B270" s="276" t="s">
        <v>112</v>
      </c>
      <c r="C270" s="21">
        <v>2167.7934799999998</v>
      </c>
      <c r="D270" s="21">
        <v>2167793.48</v>
      </c>
      <c r="E270" s="68">
        <v>86501</v>
      </c>
      <c r="F270" s="68">
        <v>4223</v>
      </c>
      <c r="G270" s="45"/>
      <c r="I270" s="390"/>
      <c r="J270" s="387"/>
      <c r="K270" s="391"/>
    </row>
    <row r="271" spans="1:11" x14ac:dyDescent="0.25">
      <c r="A271" s="43">
        <v>42087</v>
      </c>
      <c r="B271" s="44" t="s">
        <v>123</v>
      </c>
      <c r="C271" s="47">
        <v>17507.565600000002</v>
      </c>
      <c r="D271" s="47">
        <v>17507565.600000001</v>
      </c>
      <c r="E271" s="268">
        <v>86505</v>
      </c>
      <c r="F271" s="68">
        <v>4223</v>
      </c>
      <c r="G271" s="45"/>
      <c r="I271" s="390"/>
      <c r="J271" s="387"/>
      <c r="K271" s="391"/>
    </row>
    <row r="272" spans="1:11" x14ac:dyDescent="0.25">
      <c r="A272" s="43">
        <v>42101</v>
      </c>
      <c r="B272" s="44" t="s">
        <v>138</v>
      </c>
      <c r="C272" s="47">
        <v>3893.92481</v>
      </c>
      <c r="D272" s="47">
        <v>3893924.81</v>
      </c>
      <c r="E272" s="268">
        <v>86505</v>
      </c>
      <c r="F272" s="68">
        <v>4223</v>
      </c>
      <c r="G272" s="45"/>
      <c r="I272" s="390"/>
      <c r="J272" s="387"/>
      <c r="K272" s="391"/>
    </row>
    <row r="273" spans="1:12" x14ac:dyDescent="0.25">
      <c r="A273" s="43">
        <v>42122</v>
      </c>
      <c r="B273" s="44" t="s">
        <v>152</v>
      </c>
      <c r="C273" s="47">
        <v>4191.1944100000001</v>
      </c>
      <c r="D273" s="47">
        <v>4191194.41</v>
      </c>
      <c r="E273" s="268">
        <v>86505</v>
      </c>
      <c r="F273" s="68">
        <v>4223</v>
      </c>
      <c r="G273" s="45"/>
      <c r="I273" s="390"/>
      <c r="J273" s="387"/>
      <c r="K273" s="391"/>
    </row>
    <row r="274" spans="1:12" x14ac:dyDescent="0.25">
      <c r="A274" s="43">
        <v>42143</v>
      </c>
      <c r="B274" s="44" t="s">
        <v>171</v>
      </c>
      <c r="C274" s="47">
        <v>18985.09273</v>
      </c>
      <c r="D274" s="21">
        <v>18985092.73</v>
      </c>
      <c r="E274" s="268">
        <v>86505</v>
      </c>
      <c r="F274" s="68">
        <v>4223</v>
      </c>
      <c r="G274" s="45"/>
      <c r="I274" s="390"/>
      <c r="J274" s="387"/>
      <c r="K274" s="391"/>
    </row>
    <row r="275" spans="1:12" x14ac:dyDescent="0.25">
      <c r="A275" s="43">
        <v>42178</v>
      </c>
      <c r="B275" s="44" t="s">
        <v>246</v>
      </c>
      <c r="C275" s="47">
        <v>10777.64892</v>
      </c>
      <c r="D275" s="21">
        <v>10777648.92</v>
      </c>
      <c r="E275" s="268">
        <v>86505</v>
      </c>
      <c r="F275" s="68">
        <v>4223</v>
      </c>
      <c r="G275" s="45"/>
      <c r="I275" s="390"/>
      <c r="J275" s="387"/>
      <c r="K275" s="391"/>
    </row>
    <row r="276" spans="1:12" x14ac:dyDescent="0.25">
      <c r="A276" s="43">
        <v>42242</v>
      </c>
      <c r="B276" s="44" t="s">
        <v>393</v>
      </c>
      <c r="C276" s="47">
        <v>0</v>
      </c>
      <c r="D276" s="21">
        <v>9577318.4600000009</v>
      </c>
      <c r="E276" s="268">
        <v>86505</v>
      </c>
      <c r="F276" s="68">
        <v>4223</v>
      </c>
      <c r="G276" s="45"/>
      <c r="I276" s="390"/>
      <c r="J276" s="387"/>
      <c r="K276" s="391"/>
    </row>
    <row r="277" spans="1:12" x14ac:dyDescent="0.25">
      <c r="A277" s="43"/>
      <c r="B277" s="44"/>
      <c r="C277" s="47"/>
      <c r="D277" s="21"/>
      <c r="E277" s="268"/>
      <c r="F277" s="68"/>
      <c r="G277" s="45"/>
      <c r="I277" s="390"/>
      <c r="J277" s="387"/>
      <c r="K277" s="391"/>
    </row>
    <row r="278" spans="1:12" x14ac:dyDescent="0.25">
      <c r="A278" s="43"/>
      <c r="B278" s="293" t="s">
        <v>52</v>
      </c>
      <c r="C278" s="31">
        <v>0</v>
      </c>
      <c r="D278" s="40">
        <f>+D279</f>
        <v>876199.86</v>
      </c>
      <c r="E278" s="268"/>
      <c r="F278" s="68"/>
      <c r="G278" s="45"/>
      <c r="I278" s="390"/>
      <c r="J278" s="387"/>
      <c r="K278" s="391"/>
    </row>
    <row r="279" spans="1:12" x14ac:dyDescent="0.25">
      <c r="A279" s="43">
        <v>42174</v>
      </c>
      <c r="B279" s="44" t="s">
        <v>244</v>
      </c>
      <c r="C279" s="47">
        <v>0</v>
      </c>
      <c r="D279" s="21">
        <v>876199.86</v>
      </c>
      <c r="E279" s="268"/>
      <c r="F279" s="68">
        <v>4232</v>
      </c>
      <c r="G279" s="45"/>
      <c r="I279" s="390"/>
      <c r="J279" s="387"/>
      <c r="K279" s="391"/>
    </row>
    <row r="280" spans="1:12" x14ac:dyDescent="0.25">
      <c r="A280" s="43"/>
      <c r="B280" s="44"/>
      <c r="C280" s="47"/>
      <c r="D280" s="21"/>
      <c r="E280" s="268"/>
      <c r="F280" s="68"/>
      <c r="I280" s="390"/>
      <c r="J280" s="387"/>
      <c r="K280" s="391"/>
    </row>
    <row r="281" spans="1:12" x14ac:dyDescent="0.25">
      <c r="A281" s="43"/>
      <c r="B281" s="276"/>
      <c r="C281" s="47"/>
      <c r="D281" s="86"/>
      <c r="E281" s="68"/>
      <c r="F281" s="68"/>
      <c r="I281" s="390"/>
      <c r="J281" s="387"/>
      <c r="K281" s="391"/>
    </row>
    <row r="282" spans="1:12" x14ac:dyDescent="0.25">
      <c r="A282" s="43"/>
      <c r="B282" s="294" t="s">
        <v>55</v>
      </c>
      <c r="C282" s="27">
        <f>+C278+C268+C264+C259+C242+C239+C221</f>
        <v>116579.97355</v>
      </c>
      <c r="D282" s="27">
        <f>+D278+D268+D264+D259+D242+D239+D221</f>
        <v>134928932.91</v>
      </c>
      <c r="E282" s="295"/>
      <c r="F282" s="67"/>
      <c r="I282" s="390"/>
      <c r="J282" s="387"/>
      <c r="K282" s="391"/>
    </row>
    <row r="283" spans="1:12" ht="16.5" thickBot="1" x14ac:dyDescent="0.3">
      <c r="A283" s="296"/>
      <c r="B283" s="297"/>
      <c r="C283" s="75"/>
      <c r="D283" s="75"/>
      <c r="E283" s="298"/>
      <c r="F283" s="298"/>
      <c r="I283" s="390"/>
      <c r="J283" s="387"/>
      <c r="K283" s="391"/>
    </row>
    <row r="284" spans="1:12" ht="16.5" thickBot="1" x14ac:dyDescent="0.3">
      <c r="I284" s="405"/>
      <c r="J284" s="406"/>
      <c r="K284" s="407"/>
    </row>
    <row r="285" spans="1:12" ht="16.5" thickBot="1" x14ac:dyDescent="0.3">
      <c r="A285" s="307"/>
      <c r="B285" s="91"/>
      <c r="C285" s="91"/>
      <c r="D285" s="91"/>
      <c r="E285" s="308"/>
      <c r="F285" s="308"/>
      <c r="I285" s="408">
        <f>SUM(I7:I283)</f>
        <v>0</v>
      </c>
      <c r="J285" s="409">
        <f>SUM(J7:J283)</f>
        <v>62366098.210000001</v>
      </c>
      <c r="K285" s="401">
        <f>SUM(K7:K283)</f>
        <v>2673153.84</v>
      </c>
      <c r="L285" s="45">
        <f>SUM(L6:L283)</f>
        <v>0</v>
      </c>
    </row>
    <row r="286" spans="1:12" x14ac:dyDescent="0.25">
      <c r="A286" s="309"/>
      <c r="B286" s="310"/>
      <c r="C286" s="310"/>
      <c r="D286" s="5"/>
      <c r="E286" s="311"/>
      <c r="F286" s="312"/>
      <c r="G286" s="306"/>
      <c r="H286" s="269"/>
    </row>
    <row r="287" spans="1:12" ht="16.5" thickBot="1" x14ac:dyDescent="0.3">
      <c r="A287" s="309"/>
      <c r="B287" s="10" t="s">
        <v>56</v>
      </c>
      <c r="C287" s="10" t="s">
        <v>3</v>
      </c>
      <c r="D287" s="10" t="s">
        <v>4</v>
      </c>
      <c r="E287" s="311"/>
      <c r="F287" s="312"/>
      <c r="G287" s="306"/>
      <c r="H287" s="269"/>
    </row>
    <row r="288" spans="1:12" x14ac:dyDescent="0.25">
      <c r="A288" s="309"/>
      <c r="B288" s="313"/>
      <c r="C288" s="313"/>
      <c r="D288" s="97"/>
      <c r="E288" s="311"/>
      <c r="F288" s="312"/>
      <c r="G288" s="306"/>
      <c r="H288" s="269"/>
    </row>
    <row r="289" spans="1:13" x14ac:dyDescent="0.25">
      <c r="A289" s="314"/>
      <c r="B289" s="122" t="s">
        <v>57</v>
      </c>
      <c r="C289" s="122">
        <f>+C215</f>
        <v>172407.07824999999</v>
      </c>
      <c r="D289" s="56">
        <f>+D215</f>
        <v>187999452.94</v>
      </c>
      <c r="E289" s="315"/>
      <c r="F289" s="301"/>
      <c r="G289" s="306" t="s">
        <v>61</v>
      </c>
      <c r="H289" s="269">
        <f>'[1]Vstupni Seznam'!$M$1</f>
        <v>951693271.66000009</v>
      </c>
      <c r="I289" s="319" t="s">
        <v>405</v>
      </c>
      <c r="J289" s="45">
        <v>6534090.2699999996</v>
      </c>
      <c r="K289" s="45" t="s">
        <v>406</v>
      </c>
    </row>
    <row r="290" spans="1:13" x14ac:dyDescent="0.25">
      <c r="A290" s="314"/>
      <c r="B290" s="122" t="s">
        <v>58</v>
      </c>
      <c r="C290" s="122">
        <f>+C282</f>
        <v>116579.97355</v>
      </c>
      <c r="D290" s="122">
        <f>+D282</f>
        <v>134928932.91</v>
      </c>
      <c r="E290" s="316"/>
      <c r="F290" s="308"/>
      <c r="G290" s="306" t="s">
        <v>62</v>
      </c>
      <c r="H290" s="269">
        <f>27388800*9</f>
        <v>246499200</v>
      </c>
      <c r="J290" s="45">
        <v>1153074.75</v>
      </c>
      <c r="K290" s="45" t="s">
        <v>406</v>
      </c>
    </row>
    <row r="291" spans="1:13" x14ac:dyDescent="0.25">
      <c r="A291" s="314"/>
      <c r="B291" s="122"/>
      <c r="C291" s="122"/>
      <c r="D291" s="56"/>
      <c r="E291" s="316"/>
      <c r="F291" s="308"/>
      <c r="G291" s="306" t="s">
        <v>64</v>
      </c>
      <c r="H291" s="269" t="e">
        <f>+#REF!+#REF!+#REF!+#REF!+#REF!+#REF!+#REF!+#REF!+#REF!+#REF!+#REF!+#REF!+#REF!+#REF!+#REF!+#REF!+#REF!+#REF!+#REF!+#REF!+#REF!+#REF!+#REF!</f>
        <v>#REF!</v>
      </c>
      <c r="J291" s="45">
        <v>302.5</v>
      </c>
      <c r="K291" s="45" t="s">
        <v>407</v>
      </c>
    </row>
    <row r="292" spans="1:13" x14ac:dyDescent="0.25">
      <c r="A292" s="314"/>
      <c r="B292" s="317" t="s">
        <v>59</v>
      </c>
      <c r="C292" s="317">
        <f>+C289+C290</f>
        <v>288987.05180000002</v>
      </c>
      <c r="D292" s="27">
        <f>SUM(D289:D290)</f>
        <v>322928385.85000002</v>
      </c>
      <c r="E292" s="316"/>
      <c r="F292" s="308"/>
      <c r="G292" s="45" t="s">
        <v>63</v>
      </c>
      <c r="H292" s="269" t="e">
        <f>+H289-H290+H291-H288</f>
        <v>#REF!</v>
      </c>
      <c r="J292" s="45">
        <v>5142.5</v>
      </c>
      <c r="K292" s="45" t="s">
        <v>407</v>
      </c>
    </row>
    <row r="293" spans="1:13" ht="16.5" thickBot="1" x14ac:dyDescent="0.3">
      <c r="A293" s="314"/>
      <c r="B293" s="318"/>
      <c r="C293" s="318"/>
      <c r="D293" s="318"/>
      <c r="E293" s="315"/>
      <c r="F293" s="301"/>
      <c r="G293" s="45"/>
      <c r="H293" s="269" t="e">
        <f>+D292-H292</f>
        <v>#REF!</v>
      </c>
      <c r="I293" s="319"/>
      <c r="J293" s="45">
        <v>974471.4</v>
      </c>
      <c r="K293" s="367" t="s">
        <v>408</v>
      </c>
    </row>
    <row r="294" spans="1:13" x14ac:dyDescent="0.25">
      <c r="C294" s="285"/>
      <c r="D294" s="356"/>
      <c r="E294" s="269"/>
      <c r="F294" s="45"/>
      <c r="H294" s="269">
        <v>0</v>
      </c>
      <c r="I294" s="320"/>
      <c r="J294" s="45">
        <f>175.45+3333.55</f>
        <v>3509</v>
      </c>
      <c r="K294" s="45" t="s">
        <v>409</v>
      </c>
    </row>
    <row r="295" spans="1:13" ht="16.5" thickBot="1" x14ac:dyDescent="0.3">
      <c r="B295" s="321"/>
      <c r="C295" s="154"/>
      <c r="D295" s="154"/>
      <c r="E295" s="305"/>
      <c r="F295" s="305"/>
      <c r="H295" s="269" t="e">
        <f>+H293-H294</f>
        <v>#REF!</v>
      </c>
      <c r="I295" s="45" t="s">
        <v>401</v>
      </c>
      <c r="J295" s="45">
        <v>60000</v>
      </c>
      <c r="K295" s="45" t="s">
        <v>412</v>
      </c>
    </row>
    <row r="296" spans="1:13" ht="16.5" thickBot="1" x14ac:dyDescent="0.3">
      <c r="B296" s="322" t="s">
        <v>79</v>
      </c>
      <c r="C296" s="137" t="s">
        <v>80</v>
      </c>
      <c r="D296" s="137" t="s">
        <v>80</v>
      </c>
      <c r="E296" s="137" t="s">
        <v>82</v>
      </c>
      <c r="F296" s="137" t="s">
        <v>81</v>
      </c>
      <c r="G296" s="323" t="s">
        <v>83</v>
      </c>
      <c r="H296" s="324" t="s">
        <v>84</v>
      </c>
      <c r="J296" s="45">
        <v>15000</v>
      </c>
    </row>
    <row r="297" spans="1:13" s="329" customFormat="1" x14ac:dyDescent="0.25">
      <c r="A297" s="325"/>
      <c r="B297" s="412">
        <v>4111</v>
      </c>
      <c r="C297" s="410"/>
      <c r="D297" s="416"/>
      <c r="E297" s="328">
        <f>SUMIF($F$7:$F$340,B297,$C$7:$C$340)</f>
        <v>0</v>
      </c>
      <c r="F297" s="328">
        <f>SUMIF($F$7:$F$295,B297,$D$7:$D$295)</f>
        <v>0</v>
      </c>
      <c r="G297" s="328">
        <f>C297-E297*1000</f>
        <v>0</v>
      </c>
      <c r="H297" s="328">
        <f>+D297-F297</f>
        <v>0</v>
      </c>
      <c r="M297" s="45"/>
    </row>
    <row r="298" spans="1:13" x14ac:dyDescent="0.25">
      <c r="B298" s="417">
        <v>4113</v>
      </c>
      <c r="C298" s="410">
        <v>38852.85</v>
      </c>
      <c r="D298" s="411">
        <v>53449.7</v>
      </c>
      <c r="E298" s="331">
        <f>+C7+C10</f>
        <v>38.852850000000004</v>
      </c>
      <c r="F298" s="331">
        <f>+D7+D10+D14</f>
        <v>53449.7</v>
      </c>
      <c r="G298" s="328">
        <f t="shared" ref="G298:G307" si="0">C298-E298*1000</f>
        <v>0</v>
      </c>
      <c r="H298" s="328">
        <f t="shared" ref="H298:H307" si="1">+D298-F298</f>
        <v>0</v>
      </c>
      <c r="I298" s="329"/>
      <c r="J298" s="45">
        <f>SUM(J289:J297)</f>
        <v>8745590.4199999999</v>
      </c>
    </row>
    <row r="299" spans="1:13" x14ac:dyDescent="0.25">
      <c r="B299" s="417">
        <v>4116</v>
      </c>
      <c r="C299" s="410">
        <v>74482321.519999996</v>
      </c>
      <c r="D299" s="411">
        <v>88242081.260000005</v>
      </c>
      <c r="E299" s="331">
        <f t="shared" ref="E299:E307" si="2">SUMIF($F$7:$F$340,B299,$C$7:$C$340)</f>
        <v>74482.321519999998</v>
      </c>
      <c r="F299" s="328">
        <f t="shared" ref="F299:F307" si="3">SUMIF($F$7:$F$295,B299,$D$7:$D$295)</f>
        <v>88242081.25999999</v>
      </c>
      <c r="G299" s="328">
        <f>C299-E299*1000</f>
        <v>0</v>
      </c>
      <c r="H299" s="328">
        <f t="shared" si="1"/>
        <v>0</v>
      </c>
      <c r="I299" s="329"/>
      <c r="J299" s="45" t="e">
        <f>+H295+J298</f>
        <v>#REF!</v>
      </c>
    </row>
    <row r="300" spans="1:13" x14ac:dyDescent="0.25">
      <c r="B300" s="417">
        <v>4122</v>
      </c>
      <c r="C300" s="410">
        <v>95495251.670000002</v>
      </c>
      <c r="D300" s="411">
        <v>95495251.670000002</v>
      </c>
      <c r="E300" s="331">
        <f t="shared" si="2"/>
        <v>95495.251669999998</v>
      </c>
      <c r="F300" s="328">
        <f t="shared" si="3"/>
        <v>95495251.670000002</v>
      </c>
      <c r="G300" s="328">
        <f t="shared" si="0"/>
        <v>0</v>
      </c>
      <c r="H300" s="328">
        <f t="shared" si="1"/>
        <v>0</v>
      </c>
      <c r="I300" s="329"/>
    </row>
    <row r="301" spans="1:13" x14ac:dyDescent="0.25">
      <c r="B301" s="417">
        <v>4123</v>
      </c>
      <c r="C301" s="410">
        <v>1808652.21</v>
      </c>
      <c r="D301" s="411">
        <v>1808652.21</v>
      </c>
      <c r="E301" s="331">
        <f t="shared" si="2"/>
        <v>1808.6522100000002</v>
      </c>
      <c r="F301" s="328">
        <f t="shared" si="3"/>
        <v>1808652.21</v>
      </c>
      <c r="G301" s="328">
        <f t="shared" si="0"/>
        <v>0</v>
      </c>
      <c r="H301" s="328">
        <f t="shared" si="1"/>
        <v>0</v>
      </c>
      <c r="I301" s="329"/>
    </row>
    <row r="302" spans="1:13" x14ac:dyDescent="0.25">
      <c r="B302" s="417">
        <v>4152</v>
      </c>
      <c r="C302" s="410">
        <v>582000</v>
      </c>
      <c r="D302" s="411">
        <v>2400018.1</v>
      </c>
      <c r="E302" s="331">
        <f t="shared" si="2"/>
        <v>582</v>
      </c>
      <c r="F302" s="328">
        <f t="shared" si="3"/>
        <v>2400018.1000000006</v>
      </c>
      <c r="G302" s="328">
        <f t="shared" si="0"/>
        <v>0</v>
      </c>
      <c r="H302" s="328">
        <f t="shared" si="1"/>
        <v>0</v>
      </c>
      <c r="I302" s="329"/>
    </row>
    <row r="303" spans="1:13" x14ac:dyDescent="0.25">
      <c r="B303" s="417">
        <v>4213</v>
      </c>
      <c r="C303" s="410">
        <v>471985.76</v>
      </c>
      <c r="D303" s="411">
        <v>905065.79</v>
      </c>
      <c r="E303" s="331">
        <f t="shared" si="2"/>
        <v>471.98576000000008</v>
      </c>
      <c r="F303" s="328">
        <f t="shared" si="3"/>
        <v>905065.79</v>
      </c>
      <c r="G303" s="328">
        <f t="shared" si="0"/>
        <v>0</v>
      </c>
      <c r="H303" s="328">
        <f t="shared" si="1"/>
        <v>0</v>
      </c>
      <c r="I303" s="329"/>
    </row>
    <row r="304" spans="1:13" x14ac:dyDescent="0.25">
      <c r="B304" s="417">
        <v>4216</v>
      </c>
      <c r="C304" s="410">
        <v>34016441.840000004</v>
      </c>
      <c r="D304" s="411">
        <v>41478802.850000001</v>
      </c>
      <c r="E304" s="331">
        <f t="shared" si="2"/>
        <v>34016.44184</v>
      </c>
      <c r="F304" s="328">
        <f t="shared" si="3"/>
        <v>41478802.850000001</v>
      </c>
      <c r="G304" s="328">
        <f t="shared" si="0"/>
        <v>0</v>
      </c>
      <c r="H304" s="328">
        <f t="shared" si="1"/>
        <v>0</v>
      </c>
      <c r="I304" s="329"/>
    </row>
    <row r="305" spans="2:9" x14ac:dyDescent="0.25">
      <c r="B305" s="417">
        <v>4223</v>
      </c>
      <c r="C305" s="410">
        <v>82091545.950000003</v>
      </c>
      <c r="D305" s="411">
        <v>91668864.409999996</v>
      </c>
      <c r="E305" s="331">
        <f t="shared" si="2"/>
        <v>82091.54595</v>
      </c>
      <c r="F305" s="328">
        <f t="shared" si="3"/>
        <v>91668864.409999996</v>
      </c>
      <c r="G305" s="328">
        <f t="shared" si="0"/>
        <v>0</v>
      </c>
      <c r="H305" s="328">
        <f t="shared" si="1"/>
        <v>0</v>
      </c>
      <c r="I305" s="329"/>
    </row>
    <row r="306" spans="2:9" x14ac:dyDescent="0.25">
      <c r="B306" s="417">
        <v>4232</v>
      </c>
      <c r="C306" s="410">
        <v>0</v>
      </c>
      <c r="D306" s="411">
        <v>876199.86</v>
      </c>
      <c r="E306" s="331">
        <f t="shared" si="2"/>
        <v>0</v>
      </c>
      <c r="F306" s="328">
        <f t="shared" si="3"/>
        <v>876199.86</v>
      </c>
      <c r="G306" s="328">
        <f t="shared" si="0"/>
        <v>0</v>
      </c>
      <c r="H306" s="328">
        <f t="shared" si="1"/>
        <v>0</v>
      </c>
      <c r="I306" s="329"/>
    </row>
    <row r="307" spans="2:9" x14ac:dyDescent="0.25">
      <c r="B307" s="417"/>
      <c r="C307" s="410">
        <f>SUM(C297:C306)</f>
        <v>288987051.80000001</v>
      </c>
      <c r="D307" s="410">
        <f>SUM(D297:D306)</f>
        <v>322928385.85000002</v>
      </c>
      <c r="E307" s="331">
        <f t="shared" si="2"/>
        <v>288987051.80000001</v>
      </c>
      <c r="F307" s="328">
        <f t="shared" si="3"/>
        <v>0</v>
      </c>
      <c r="G307" s="328">
        <f t="shared" si="0"/>
        <v>-288698064748.20001</v>
      </c>
      <c r="H307" s="328">
        <f t="shared" si="1"/>
        <v>322928385.85000002</v>
      </c>
      <c r="I307" s="329"/>
    </row>
    <row r="308" spans="2:9" x14ac:dyDescent="0.25">
      <c r="B308" s="417"/>
      <c r="C308" s="410">
        <f>+C292*1000-C307</f>
        <v>0</v>
      </c>
      <c r="D308" s="418">
        <f>+D292-D307</f>
        <v>0</v>
      </c>
      <c r="E308" s="156">
        <f t="shared" ref="E308:H308" si="4">+SUM(E297:E307)</f>
        <v>289276038.85180002</v>
      </c>
      <c r="F308" s="156">
        <f t="shared" si="4"/>
        <v>322928385.85000002</v>
      </c>
      <c r="G308" s="328">
        <f t="shared" si="4"/>
        <v>-288698064748.20001</v>
      </c>
      <c r="H308" s="328">
        <f t="shared" si="4"/>
        <v>322928385.85000002</v>
      </c>
      <c r="I308" s="329"/>
    </row>
    <row r="309" spans="2:9" ht="16.5" thickBot="1" x14ac:dyDescent="0.3">
      <c r="B309" s="333"/>
      <c r="C309" s="157"/>
      <c r="D309" s="157"/>
      <c r="E309" s="334"/>
      <c r="F309" s="334"/>
      <c r="G309" s="335"/>
      <c r="H309" s="336"/>
      <c r="I309" s="329"/>
    </row>
    <row r="311" spans="2:9" x14ac:dyDescent="0.25">
      <c r="B311" s="337"/>
      <c r="C311" s="337"/>
      <c r="D311" s="338"/>
      <c r="E311" s="338"/>
      <c r="F311" s="338"/>
      <c r="G311" s="338"/>
      <c r="H311" s="337"/>
    </row>
    <row r="312" spans="2:9" x14ac:dyDescent="0.25">
      <c r="B312" s="337"/>
      <c r="D312" s="338"/>
      <c r="E312" s="338"/>
      <c r="F312" s="338"/>
      <c r="G312" s="337"/>
      <c r="H312" s="338"/>
    </row>
    <row r="313" spans="2:9" x14ac:dyDescent="0.25">
      <c r="B313" s="337"/>
      <c r="C313" s="45" t="s">
        <v>352</v>
      </c>
      <c r="D313" s="338"/>
      <c r="E313" s="338"/>
      <c r="F313" s="338"/>
      <c r="G313" s="338"/>
    </row>
    <row r="314" spans="2:9" x14ac:dyDescent="0.25">
      <c r="B314" s="337"/>
      <c r="C314" s="337" t="s">
        <v>353</v>
      </c>
      <c r="D314" s="338"/>
      <c r="E314" s="338"/>
      <c r="F314" s="338"/>
      <c r="G314" s="338"/>
    </row>
    <row r="315" spans="2:9" x14ac:dyDescent="0.25">
      <c r="B315" s="337"/>
      <c r="C315" s="337" t="s">
        <v>354</v>
      </c>
      <c r="D315" s="338"/>
      <c r="E315" s="338"/>
      <c r="F315" s="338"/>
      <c r="G315" s="338"/>
      <c r="H315" s="337"/>
    </row>
    <row r="316" spans="2:9" x14ac:dyDescent="0.25">
      <c r="B316" s="337"/>
      <c r="C316" s="337" t="s">
        <v>356</v>
      </c>
      <c r="D316" s="338"/>
      <c r="E316" s="338"/>
      <c r="F316" s="338"/>
      <c r="G316" s="338"/>
      <c r="H316" s="337"/>
    </row>
    <row r="317" spans="2:9" x14ac:dyDescent="0.25">
      <c r="B317" s="337"/>
      <c r="C317" s="337"/>
      <c r="D317" s="338"/>
      <c r="E317" s="338"/>
      <c r="F317" s="338"/>
      <c r="G317" s="337"/>
      <c r="H317" s="337"/>
    </row>
    <row r="318" spans="2:9" x14ac:dyDescent="0.25">
      <c r="B318" s="337"/>
      <c r="C318" s="337"/>
      <c r="D318" s="338"/>
      <c r="E318" s="338"/>
      <c r="F318" s="338"/>
      <c r="G318" s="338"/>
      <c r="H318" s="337"/>
    </row>
    <row r="319" spans="2:9" x14ac:dyDescent="0.25">
      <c r="B319" s="337"/>
      <c r="C319" s="337" t="s">
        <v>357</v>
      </c>
      <c r="D319" s="338"/>
      <c r="E319" s="338"/>
      <c r="F319" s="338"/>
      <c r="G319" s="338"/>
      <c r="H319" s="337"/>
    </row>
    <row r="320" spans="2:9" x14ac:dyDescent="0.25">
      <c r="B320" s="337"/>
      <c r="C320" s="337"/>
      <c r="D320" s="338"/>
      <c r="E320" s="338"/>
      <c r="F320" s="338"/>
      <c r="G320" s="338"/>
      <c r="H320" s="337"/>
    </row>
    <row r="321" spans="2:8" x14ac:dyDescent="0.25">
      <c r="B321" s="337"/>
      <c r="C321" s="337"/>
      <c r="D321" s="337"/>
      <c r="E321" s="338"/>
      <c r="F321" s="338"/>
      <c r="G321" s="338"/>
      <c r="H321" s="337"/>
    </row>
    <row r="322" spans="2:8" x14ac:dyDescent="0.25">
      <c r="B322" s="337"/>
      <c r="C322" s="337"/>
      <c r="D322" s="337"/>
      <c r="E322" s="338"/>
      <c r="F322" s="338"/>
      <c r="G322" s="338"/>
      <c r="H322" s="337"/>
    </row>
    <row r="323" spans="2:8" x14ac:dyDescent="0.25">
      <c r="B323" s="337"/>
      <c r="C323" s="337"/>
      <c r="D323" s="337"/>
      <c r="E323" s="337"/>
      <c r="F323" s="337"/>
      <c r="G323" s="338"/>
      <c r="H323" s="337"/>
    </row>
    <row r="324" spans="2:8" x14ac:dyDescent="0.25">
      <c r="B324" s="337"/>
      <c r="C324" s="337"/>
      <c r="D324" s="337"/>
      <c r="E324" s="338"/>
      <c r="F324" s="338"/>
      <c r="G324" s="338"/>
      <c r="H324" s="337"/>
    </row>
    <row r="325" spans="2:8" x14ac:dyDescent="0.25">
      <c r="B325" s="337"/>
      <c r="C325" s="337"/>
      <c r="D325" s="337"/>
      <c r="E325" s="338"/>
      <c r="F325" s="338"/>
      <c r="G325" s="338"/>
      <c r="H325" s="337"/>
    </row>
    <row r="326" spans="2:8" x14ac:dyDescent="0.25">
      <c r="B326" s="337"/>
      <c r="C326" s="337"/>
      <c r="D326" s="337"/>
      <c r="E326" s="338"/>
      <c r="F326" s="338"/>
      <c r="G326" s="338"/>
      <c r="H326" s="337"/>
    </row>
    <row r="327" spans="2:8" x14ac:dyDescent="0.25">
      <c r="B327" s="337"/>
      <c r="C327" s="337"/>
      <c r="D327" s="337"/>
      <c r="E327" s="337"/>
      <c r="F327" s="337"/>
      <c r="G327" s="337"/>
      <c r="H327" s="337"/>
    </row>
    <row r="328" spans="2:8" x14ac:dyDescent="0.25">
      <c r="B328" s="337"/>
      <c r="C328" s="337"/>
      <c r="D328" s="337"/>
      <c r="E328" s="338"/>
      <c r="F328" s="338"/>
      <c r="G328" s="337"/>
      <c r="H328" s="337"/>
    </row>
    <row r="329" spans="2:8" x14ac:dyDescent="0.25">
      <c r="B329" s="337"/>
      <c r="C329" s="337"/>
      <c r="D329" s="337"/>
      <c r="E329" s="338"/>
      <c r="F329" s="338"/>
      <c r="G329" s="338"/>
      <c r="H329" s="337"/>
    </row>
    <row r="330" spans="2:8" x14ac:dyDescent="0.25">
      <c r="B330" s="337"/>
      <c r="C330" s="337"/>
      <c r="D330" s="337"/>
      <c r="E330" s="338"/>
      <c r="F330" s="338"/>
      <c r="G330" s="338"/>
      <c r="H330" s="337"/>
    </row>
    <row r="331" spans="2:8" x14ac:dyDescent="0.25">
      <c r="B331" s="337"/>
      <c r="C331" s="337"/>
      <c r="D331" s="337"/>
      <c r="E331" s="337"/>
      <c r="F331" s="337"/>
      <c r="G331" s="338"/>
      <c r="H331" s="337"/>
    </row>
    <row r="332" spans="2:8" x14ac:dyDescent="0.25">
      <c r="B332" s="337"/>
      <c r="C332" s="337"/>
      <c r="D332" s="337"/>
      <c r="E332" s="337"/>
      <c r="F332" s="337"/>
      <c r="G332" s="338"/>
      <c r="H332" s="337"/>
    </row>
    <row r="333" spans="2:8" x14ac:dyDescent="0.25">
      <c r="B333" s="337"/>
      <c r="C333" s="337"/>
      <c r="D333" s="337"/>
      <c r="E333" s="338"/>
      <c r="F333" s="338"/>
      <c r="G333" s="338"/>
      <c r="H333" s="337"/>
    </row>
    <row r="334" spans="2:8" x14ac:dyDescent="0.25">
      <c r="B334" s="337"/>
      <c r="C334" s="337"/>
      <c r="D334" s="337"/>
      <c r="E334" s="337"/>
      <c r="F334" s="337"/>
      <c r="G334" s="338"/>
      <c r="H334" s="337"/>
    </row>
    <row r="335" spans="2:8" x14ac:dyDescent="0.25">
      <c r="B335" s="337"/>
      <c r="C335" s="337"/>
      <c r="D335" s="337"/>
      <c r="E335" s="337"/>
      <c r="F335" s="337"/>
      <c r="G335" s="337"/>
      <c r="H335" s="337"/>
    </row>
    <row r="336" spans="2:8" x14ac:dyDescent="0.25">
      <c r="B336" s="337"/>
      <c r="C336" s="337"/>
      <c r="D336" s="337"/>
      <c r="E336" s="337"/>
      <c r="F336" s="337"/>
      <c r="G336" s="337"/>
      <c r="H336" s="337"/>
    </row>
    <row r="337" spans="2:8" x14ac:dyDescent="0.25">
      <c r="B337" s="337"/>
      <c r="C337" s="337"/>
      <c r="D337" s="337"/>
      <c r="E337" s="337"/>
      <c r="F337" s="337"/>
      <c r="G337" s="338"/>
      <c r="H337" s="337"/>
    </row>
    <row r="338" spans="2:8" x14ac:dyDescent="0.25">
      <c r="B338" s="337"/>
      <c r="C338" s="337"/>
      <c r="D338" s="337"/>
      <c r="E338" s="337"/>
      <c r="F338" s="337"/>
      <c r="G338" s="337"/>
      <c r="H338" s="337"/>
    </row>
    <row r="339" spans="2:8" x14ac:dyDescent="0.25">
      <c r="B339" s="337"/>
      <c r="C339" s="337"/>
      <c r="D339" s="337"/>
      <c r="E339" s="337"/>
      <c r="F339" s="337"/>
      <c r="G339" s="337"/>
      <c r="H339" s="337"/>
    </row>
    <row r="376" spans="1:8" x14ac:dyDescent="0.25">
      <c r="A376" s="339"/>
      <c r="B376" s="340"/>
      <c r="C376" s="340"/>
      <c r="D376" s="341"/>
      <c r="E376" s="342"/>
      <c r="F376" s="343"/>
      <c r="G376" s="341"/>
      <c r="H376" s="194"/>
    </row>
    <row r="377" spans="1:8" x14ac:dyDescent="0.25">
      <c r="A377" s="339"/>
      <c r="B377" s="340"/>
      <c r="C377" s="340"/>
      <c r="D377" s="341"/>
      <c r="E377" s="342"/>
      <c r="F377" s="343"/>
      <c r="G377" s="341"/>
      <c r="H377" s="194"/>
    </row>
    <row r="378" spans="1:8" x14ac:dyDescent="0.25">
      <c r="A378" s="339"/>
      <c r="B378" s="340"/>
      <c r="C378" s="340"/>
      <c r="D378" s="341"/>
      <c r="E378" s="342"/>
      <c r="F378" s="343"/>
      <c r="G378" s="341"/>
      <c r="H378" s="194"/>
    </row>
    <row r="379" spans="1:8" x14ac:dyDescent="0.25">
      <c r="A379" s="339"/>
      <c r="B379" s="340"/>
      <c r="C379" s="340"/>
      <c r="D379" s="341"/>
      <c r="E379" s="342"/>
      <c r="F379" s="343"/>
      <c r="G379" s="341"/>
      <c r="H379" s="194"/>
    </row>
    <row r="380" spans="1:8" x14ac:dyDescent="0.25">
      <c r="A380" s="339"/>
      <c r="B380" s="340"/>
      <c r="C380" s="340"/>
      <c r="D380" s="341"/>
      <c r="E380" s="342"/>
      <c r="F380" s="343"/>
      <c r="G380" s="341"/>
      <c r="H380" s="194"/>
    </row>
    <row r="381" spans="1:8" x14ac:dyDescent="0.25">
      <c r="A381" s="339"/>
      <c r="B381" s="340"/>
      <c r="C381" s="340"/>
      <c r="D381" s="341"/>
      <c r="E381" s="342"/>
      <c r="F381" s="343"/>
      <c r="G381" s="341"/>
      <c r="H381" s="194"/>
    </row>
    <row r="382" spans="1:8" x14ac:dyDescent="0.25">
      <c r="A382" s="339"/>
      <c r="B382" s="340"/>
      <c r="C382" s="340"/>
      <c r="D382" s="341"/>
      <c r="E382" s="342"/>
      <c r="F382" s="343"/>
      <c r="G382" s="341"/>
      <c r="H382" s="194"/>
    </row>
    <row r="383" spans="1:8" x14ac:dyDescent="0.25">
      <c r="A383" s="339"/>
      <c r="B383" s="340"/>
      <c r="C383" s="340"/>
      <c r="D383" s="341"/>
      <c r="E383" s="342"/>
      <c r="F383" s="343"/>
      <c r="G383" s="341"/>
      <c r="H383" s="194"/>
    </row>
    <row r="384" spans="1:8" x14ac:dyDescent="0.25">
      <c r="A384" s="339"/>
      <c r="B384" s="340"/>
      <c r="C384" s="340"/>
      <c r="D384" s="341"/>
      <c r="E384" s="342"/>
      <c r="F384" s="343"/>
      <c r="G384" s="341"/>
      <c r="H384" s="194"/>
    </row>
    <row r="385" spans="1:8" x14ac:dyDescent="0.25">
      <c r="A385" s="339"/>
      <c r="B385" s="340"/>
      <c r="C385" s="340"/>
      <c r="D385" s="341"/>
      <c r="E385" s="342"/>
      <c r="F385" s="343"/>
      <c r="G385" s="341"/>
      <c r="H385" s="194"/>
    </row>
    <row r="386" spans="1:8" x14ac:dyDescent="0.25">
      <c r="A386" s="339"/>
      <c r="B386" s="340"/>
      <c r="C386" s="340"/>
      <c r="D386" s="341"/>
      <c r="E386" s="342"/>
      <c r="F386" s="343"/>
      <c r="G386" s="341"/>
      <c r="H386" s="194"/>
    </row>
    <row r="387" spans="1:8" x14ac:dyDescent="0.25">
      <c r="A387" s="339"/>
      <c r="B387" s="340"/>
      <c r="C387" s="340"/>
      <c r="D387" s="341"/>
      <c r="E387" s="342"/>
      <c r="F387" s="343"/>
      <c r="G387" s="341"/>
      <c r="H387" s="194"/>
    </row>
    <row r="388" spans="1:8" x14ac:dyDescent="0.25">
      <c r="A388" s="339"/>
      <c r="B388" s="340"/>
      <c r="C388" s="340"/>
      <c r="D388" s="341"/>
      <c r="E388" s="342"/>
      <c r="F388" s="343"/>
      <c r="G388" s="341"/>
      <c r="H388" s="194"/>
    </row>
    <row r="389" spans="1:8" x14ac:dyDescent="0.25">
      <c r="A389" s="339"/>
      <c r="B389" s="340"/>
      <c r="C389" s="340"/>
      <c r="D389" s="341"/>
      <c r="E389" s="342"/>
      <c r="F389" s="343"/>
      <c r="G389" s="341"/>
      <c r="H389" s="194"/>
    </row>
    <row r="390" spans="1:8" x14ac:dyDescent="0.25">
      <c r="A390" s="339"/>
      <c r="B390" s="340"/>
      <c r="C390" s="340"/>
      <c r="D390" s="341"/>
      <c r="E390" s="342"/>
      <c r="F390" s="343"/>
      <c r="G390" s="341"/>
      <c r="H390" s="194"/>
    </row>
    <row r="391" spans="1:8" x14ac:dyDescent="0.25">
      <c r="A391" s="339"/>
      <c r="B391" s="340"/>
      <c r="C391" s="340"/>
      <c r="D391" s="341"/>
      <c r="E391" s="342"/>
      <c r="F391" s="343"/>
      <c r="G391" s="341"/>
      <c r="H391" s="194"/>
    </row>
    <row r="392" spans="1:8" x14ac:dyDescent="0.25">
      <c r="A392" s="339"/>
      <c r="B392" s="340"/>
      <c r="C392" s="340"/>
      <c r="D392" s="341"/>
      <c r="E392" s="342"/>
      <c r="F392" s="343"/>
      <c r="G392" s="341"/>
      <c r="H392" s="194"/>
    </row>
    <row r="393" spans="1:8" x14ac:dyDescent="0.25">
      <c r="A393" s="339"/>
      <c r="B393" s="340"/>
      <c r="C393" s="340"/>
      <c r="D393" s="341"/>
      <c r="E393" s="342"/>
      <c r="F393" s="343"/>
      <c r="G393" s="341"/>
      <c r="H393" s="194"/>
    </row>
    <row r="394" spans="1:8" x14ac:dyDescent="0.25">
      <c r="A394" s="339"/>
      <c r="B394" s="340"/>
      <c r="C394" s="340"/>
      <c r="D394" s="341"/>
      <c r="E394" s="342"/>
      <c r="F394" s="343"/>
      <c r="G394" s="341"/>
      <c r="H394" s="194"/>
    </row>
    <row r="395" spans="1:8" x14ac:dyDescent="0.25">
      <c r="A395" s="339"/>
      <c r="B395" s="340"/>
      <c r="C395" s="340"/>
      <c r="D395" s="341"/>
      <c r="E395" s="342"/>
      <c r="F395" s="343"/>
      <c r="G395" s="341"/>
      <c r="H395" s="194"/>
    </row>
    <row r="396" spans="1:8" x14ac:dyDescent="0.25">
      <c r="A396" s="339"/>
      <c r="B396" s="340"/>
      <c r="C396" s="340"/>
      <c r="D396" s="341"/>
      <c r="E396" s="342"/>
      <c r="F396" s="343"/>
      <c r="G396" s="341"/>
      <c r="H396" s="194"/>
    </row>
    <row r="397" spans="1:8" x14ac:dyDescent="0.25">
      <c r="A397" s="339"/>
      <c r="B397" s="340"/>
      <c r="C397" s="340"/>
      <c r="D397" s="341"/>
      <c r="E397" s="342"/>
      <c r="F397" s="343"/>
      <c r="G397" s="341"/>
      <c r="H397" s="194"/>
    </row>
    <row r="398" spans="1:8" x14ac:dyDescent="0.25">
      <c r="A398" s="339"/>
      <c r="B398" s="340"/>
      <c r="C398" s="340"/>
      <c r="D398" s="341"/>
      <c r="E398" s="342"/>
      <c r="F398" s="343"/>
      <c r="G398" s="341"/>
      <c r="H398" s="194"/>
    </row>
    <row r="399" spans="1:8" x14ac:dyDescent="0.25">
      <c r="A399" s="339"/>
      <c r="B399" s="340"/>
      <c r="C399" s="340"/>
      <c r="D399" s="341"/>
      <c r="E399" s="342"/>
      <c r="F399" s="343"/>
      <c r="G399" s="341"/>
      <c r="H399" s="194"/>
    </row>
    <row r="400" spans="1:8" x14ac:dyDescent="0.25">
      <c r="A400" s="339"/>
      <c r="B400" s="340"/>
      <c r="C400" s="340"/>
      <c r="D400" s="341"/>
      <c r="E400" s="342"/>
      <c r="F400" s="343"/>
      <c r="G400" s="341"/>
      <c r="H400" s="194"/>
    </row>
    <row r="401" spans="1:8" x14ac:dyDescent="0.25">
      <c r="A401" s="339"/>
      <c r="B401" s="340"/>
      <c r="C401" s="340"/>
      <c r="D401" s="341"/>
      <c r="E401" s="342"/>
      <c r="F401" s="343"/>
      <c r="G401" s="341"/>
      <c r="H401" s="194"/>
    </row>
    <row r="402" spans="1:8" x14ac:dyDescent="0.25">
      <c r="A402" s="339"/>
      <c r="B402" s="340"/>
      <c r="C402" s="340"/>
      <c r="D402" s="341"/>
      <c r="E402" s="342"/>
      <c r="F402" s="343"/>
      <c r="G402" s="341"/>
      <c r="H402" s="194"/>
    </row>
    <row r="403" spans="1:8" x14ac:dyDescent="0.25">
      <c r="A403" s="339"/>
      <c r="B403" s="340"/>
      <c r="C403" s="340"/>
      <c r="D403" s="341"/>
      <c r="E403" s="342"/>
      <c r="F403" s="343"/>
      <c r="G403" s="341"/>
      <c r="H403" s="194"/>
    </row>
    <row r="404" spans="1:8" x14ac:dyDescent="0.25">
      <c r="A404" s="339"/>
      <c r="B404" s="340"/>
      <c r="C404" s="340"/>
      <c r="D404" s="341"/>
      <c r="E404" s="342"/>
      <c r="F404" s="343"/>
      <c r="G404" s="341"/>
      <c r="H404" s="194"/>
    </row>
    <row r="405" spans="1:8" x14ac:dyDescent="0.25">
      <c r="A405" s="339"/>
      <c r="B405" s="340"/>
      <c r="C405" s="340"/>
      <c r="D405" s="341"/>
      <c r="E405" s="342"/>
      <c r="F405" s="343"/>
      <c r="G405" s="341"/>
      <c r="H405" s="194"/>
    </row>
    <row r="406" spans="1:8" x14ac:dyDescent="0.25">
      <c r="A406" s="339"/>
      <c r="B406" s="340"/>
      <c r="C406" s="340"/>
      <c r="D406" s="341"/>
      <c r="E406" s="342"/>
      <c r="F406" s="343"/>
      <c r="G406" s="341"/>
      <c r="H406" s="194"/>
    </row>
    <row r="407" spans="1:8" x14ac:dyDescent="0.25">
      <c r="A407" s="339"/>
      <c r="B407" s="340"/>
      <c r="C407" s="340"/>
      <c r="D407" s="341"/>
      <c r="E407" s="342"/>
      <c r="F407" s="343"/>
      <c r="G407" s="341"/>
      <c r="H407" s="194"/>
    </row>
    <row r="408" spans="1:8" x14ac:dyDescent="0.25">
      <c r="A408" s="339"/>
      <c r="B408" s="340"/>
      <c r="C408" s="340"/>
      <c r="D408" s="341"/>
      <c r="E408" s="342"/>
      <c r="F408" s="343"/>
      <c r="G408" s="341"/>
      <c r="H408" s="194"/>
    </row>
    <row r="409" spans="1:8" x14ac:dyDescent="0.25">
      <c r="A409" s="339"/>
      <c r="B409" s="340"/>
      <c r="C409" s="340"/>
      <c r="D409" s="341"/>
      <c r="E409" s="342"/>
      <c r="F409" s="343"/>
      <c r="G409" s="341"/>
      <c r="H409" s="194"/>
    </row>
    <row r="410" spans="1:8" x14ac:dyDescent="0.25">
      <c r="A410" s="339"/>
      <c r="B410" s="340"/>
      <c r="C410" s="340"/>
      <c r="D410" s="341"/>
      <c r="E410" s="342"/>
      <c r="F410" s="343"/>
      <c r="G410" s="341"/>
      <c r="H410" s="194"/>
    </row>
    <row r="411" spans="1:8" x14ac:dyDescent="0.25">
      <c r="A411" s="339"/>
      <c r="B411" s="340"/>
      <c r="C411" s="340"/>
      <c r="D411" s="341"/>
      <c r="E411" s="342"/>
      <c r="F411" s="343"/>
      <c r="G411" s="341"/>
      <c r="H411" s="194"/>
    </row>
    <row r="412" spans="1:8" x14ac:dyDescent="0.25">
      <c r="A412" s="339"/>
      <c r="B412" s="340"/>
      <c r="C412" s="340"/>
      <c r="D412" s="341"/>
      <c r="E412" s="342"/>
      <c r="F412" s="343"/>
      <c r="G412" s="341"/>
      <c r="H412" s="194"/>
    </row>
    <row r="413" spans="1:8" x14ac:dyDescent="0.25">
      <c r="A413" s="339"/>
      <c r="B413" s="340"/>
      <c r="C413" s="340"/>
      <c r="D413" s="341"/>
      <c r="E413" s="342"/>
      <c r="F413" s="343"/>
      <c r="G413" s="341"/>
      <c r="H413" s="194"/>
    </row>
    <row r="414" spans="1:8" x14ac:dyDescent="0.25">
      <c r="A414" s="339"/>
      <c r="B414" s="340"/>
      <c r="C414" s="340"/>
      <c r="D414" s="341"/>
      <c r="E414" s="342"/>
      <c r="F414" s="343"/>
      <c r="G414" s="341"/>
      <c r="H414" s="194"/>
    </row>
    <row r="415" spans="1:8" x14ac:dyDescent="0.25">
      <c r="A415" s="339"/>
      <c r="B415" s="340"/>
      <c r="C415" s="340"/>
      <c r="D415" s="341"/>
      <c r="E415" s="342"/>
      <c r="F415" s="343"/>
      <c r="G415" s="341"/>
      <c r="H415" s="194"/>
    </row>
    <row r="416" spans="1:8" x14ac:dyDescent="0.25">
      <c r="A416" s="339"/>
      <c r="B416" s="340"/>
      <c r="C416" s="340"/>
      <c r="D416" s="341"/>
      <c r="E416" s="342"/>
      <c r="F416" s="343"/>
      <c r="G416" s="341"/>
      <c r="H416" s="194"/>
    </row>
    <row r="417" spans="1:8" x14ac:dyDescent="0.25">
      <c r="A417" s="339"/>
      <c r="B417" s="340"/>
      <c r="C417" s="340"/>
      <c r="D417" s="341"/>
      <c r="E417" s="342"/>
      <c r="F417" s="343"/>
      <c r="G417" s="341"/>
      <c r="H417" s="194"/>
    </row>
    <row r="418" spans="1:8" x14ac:dyDescent="0.25">
      <c r="A418" s="339"/>
      <c r="B418" s="340"/>
      <c r="C418" s="340"/>
      <c r="D418" s="341"/>
      <c r="E418" s="342"/>
      <c r="F418" s="343"/>
      <c r="G418" s="341"/>
      <c r="H418" s="194"/>
    </row>
    <row r="419" spans="1:8" x14ac:dyDescent="0.25">
      <c r="A419" s="339"/>
      <c r="B419" s="340"/>
      <c r="C419" s="340"/>
      <c r="D419" s="341"/>
      <c r="E419" s="342"/>
      <c r="F419" s="343"/>
      <c r="G419" s="341"/>
      <c r="H419" s="194"/>
    </row>
    <row r="420" spans="1:8" x14ac:dyDescent="0.25">
      <c r="A420" s="339"/>
      <c r="B420" s="340"/>
      <c r="C420" s="340"/>
      <c r="D420" s="341"/>
      <c r="E420" s="342"/>
      <c r="F420" s="343"/>
      <c r="G420" s="341"/>
      <c r="H420" s="194"/>
    </row>
    <row r="421" spans="1:8" x14ac:dyDescent="0.25">
      <c r="A421" s="339"/>
      <c r="B421" s="340"/>
      <c r="C421" s="340"/>
      <c r="D421" s="341"/>
      <c r="E421" s="342"/>
      <c r="F421" s="343"/>
      <c r="G421" s="341"/>
      <c r="H421" s="194"/>
    </row>
    <row r="422" spans="1:8" x14ac:dyDescent="0.25">
      <c r="A422" s="339"/>
      <c r="B422" s="340"/>
      <c r="C422" s="340"/>
      <c r="D422" s="341"/>
      <c r="E422" s="342"/>
      <c r="F422" s="343"/>
      <c r="G422" s="341"/>
      <c r="H422" s="194"/>
    </row>
    <row r="423" spans="1:8" x14ac:dyDescent="0.25">
      <c r="A423" s="339"/>
      <c r="B423" s="340"/>
      <c r="C423" s="340"/>
      <c r="D423" s="341"/>
      <c r="E423" s="342"/>
      <c r="F423" s="343"/>
      <c r="G423" s="341"/>
      <c r="H423" s="194"/>
    </row>
    <row r="424" spans="1:8" x14ac:dyDescent="0.25">
      <c r="A424" s="339"/>
      <c r="B424" s="340"/>
      <c r="C424" s="340"/>
      <c r="D424" s="341"/>
      <c r="E424" s="342"/>
      <c r="F424" s="343"/>
      <c r="G424" s="341"/>
      <c r="H424" s="194"/>
    </row>
    <row r="425" spans="1:8" x14ac:dyDescent="0.25">
      <c r="A425" s="339"/>
      <c r="B425" s="340"/>
      <c r="C425" s="340"/>
      <c r="D425" s="341"/>
      <c r="E425" s="342"/>
      <c r="F425" s="343"/>
      <c r="G425" s="341"/>
      <c r="H425" s="194"/>
    </row>
    <row r="426" spans="1:8" x14ac:dyDescent="0.25">
      <c r="A426" s="339"/>
      <c r="B426" s="340"/>
      <c r="C426" s="340"/>
      <c r="D426" s="341"/>
      <c r="E426" s="342"/>
      <c r="F426" s="343"/>
      <c r="G426" s="341"/>
      <c r="H426" s="194"/>
    </row>
    <row r="427" spans="1:8" x14ac:dyDescent="0.25">
      <c r="A427" s="339"/>
      <c r="B427" s="340"/>
      <c r="C427" s="340"/>
      <c r="D427" s="341"/>
      <c r="E427" s="342"/>
      <c r="F427" s="343"/>
      <c r="G427" s="341"/>
      <c r="H427" s="194"/>
    </row>
    <row r="428" spans="1:8" x14ac:dyDescent="0.25">
      <c r="A428" s="339"/>
      <c r="B428" s="340"/>
      <c r="C428" s="340"/>
      <c r="D428" s="341"/>
      <c r="E428" s="342"/>
      <c r="F428" s="343"/>
      <c r="G428" s="341"/>
      <c r="H428" s="194"/>
    </row>
    <row r="429" spans="1:8" x14ac:dyDescent="0.25">
      <c r="A429" s="339"/>
      <c r="B429" s="340"/>
      <c r="C429" s="340"/>
      <c r="D429" s="341"/>
      <c r="E429" s="342"/>
      <c r="F429" s="343"/>
      <c r="G429" s="341"/>
      <c r="H429" s="194"/>
    </row>
    <row r="430" spans="1:8" x14ac:dyDescent="0.25">
      <c r="A430" s="339"/>
      <c r="B430" s="340"/>
      <c r="C430" s="340"/>
      <c r="D430" s="341"/>
      <c r="E430" s="342"/>
      <c r="F430" s="343"/>
      <c r="G430" s="341"/>
      <c r="H430" s="194"/>
    </row>
    <row r="431" spans="1:8" x14ac:dyDescent="0.25">
      <c r="A431" s="339"/>
      <c r="B431" s="340"/>
      <c r="C431" s="340"/>
      <c r="D431" s="341"/>
      <c r="E431" s="342"/>
      <c r="F431" s="343"/>
      <c r="G431" s="341"/>
      <c r="H431" s="194"/>
    </row>
    <row r="432" spans="1:8" x14ac:dyDescent="0.25">
      <c r="A432" s="339"/>
      <c r="B432" s="340"/>
      <c r="C432" s="340"/>
      <c r="D432" s="341"/>
      <c r="E432" s="342"/>
      <c r="F432" s="343"/>
      <c r="G432" s="341"/>
      <c r="H432" s="194"/>
    </row>
    <row r="433" spans="1:8" x14ac:dyDescent="0.25">
      <c r="A433" s="339"/>
      <c r="B433" s="340"/>
      <c r="C433" s="340"/>
      <c r="D433" s="341"/>
      <c r="E433" s="342"/>
      <c r="F433" s="343"/>
      <c r="G433" s="341"/>
      <c r="H433" s="194"/>
    </row>
    <row r="434" spans="1:8" x14ac:dyDescent="0.25">
      <c r="A434" s="339"/>
      <c r="B434" s="340"/>
      <c r="C434" s="340"/>
      <c r="D434" s="341"/>
      <c r="E434" s="342"/>
      <c r="F434" s="343"/>
      <c r="G434" s="341"/>
      <c r="H434" s="194"/>
    </row>
    <row r="435" spans="1:8" x14ac:dyDescent="0.25">
      <c r="A435" s="339"/>
      <c r="B435" s="340"/>
      <c r="C435" s="340"/>
      <c r="D435" s="341"/>
      <c r="E435" s="342"/>
      <c r="F435" s="343"/>
      <c r="G435" s="341"/>
      <c r="H435" s="194"/>
    </row>
    <row r="436" spans="1:8" x14ac:dyDescent="0.25">
      <c r="A436" s="339"/>
      <c r="B436" s="340"/>
      <c r="C436" s="340"/>
      <c r="D436" s="341"/>
      <c r="E436" s="342"/>
      <c r="F436" s="343"/>
      <c r="G436" s="341"/>
      <c r="H436" s="194"/>
    </row>
    <row r="437" spans="1:8" x14ac:dyDescent="0.25">
      <c r="A437" s="339"/>
      <c r="B437" s="340"/>
      <c r="C437" s="340"/>
      <c r="D437" s="341"/>
      <c r="E437" s="342"/>
      <c r="F437" s="343"/>
      <c r="G437" s="341"/>
      <c r="H437" s="194"/>
    </row>
    <row r="438" spans="1:8" x14ac:dyDescent="0.25">
      <c r="A438" s="339"/>
      <c r="B438" s="340"/>
      <c r="C438" s="340"/>
      <c r="D438" s="341"/>
      <c r="E438" s="342"/>
      <c r="F438" s="343"/>
      <c r="G438" s="341"/>
      <c r="H438" s="194"/>
    </row>
    <row r="439" spans="1:8" x14ac:dyDescent="0.25">
      <c r="A439" s="339"/>
      <c r="B439" s="340"/>
      <c r="C439" s="340"/>
      <c r="D439" s="341"/>
      <c r="E439" s="342"/>
      <c r="F439" s="343"/>
      <c r="G439" s="341"/>
      <c r="H439" s="194"/>
    </row>
    <row r="440" spans="1:8" x14ac:dyDescent="0.25">
      <c r="A440" s="339"/>
      <c r="B440" s="340"/>
      <c r="C440" s="340"/>
      <c r="D440" s="341"/>
      <c r="E440" s="342"/>
      <c r="F440" s="343"/>
      <c r="G440" s="341"/>
      <c r="H440" s="194"/>
    </row>
    <row r="441" spans="1:8" x14ac:dyDescent="0.25">
      <c r="A441" s="339"/>
      <c r="B441" s="340"/>
      <c r="C441" s="340"/>
      <c r="D441" s="341"/>
      <c r="E441" s="342"/>
      <c r="F441" s="343"/>
      <c r="G441" s="341"/>
      <c r="H441" s="194"/>
    </row>
    <row r="442" spans="1:8" x14ac:dyDescent="0.25">
      <c r="A442" s="339"/>
      <c r="B442" s="340"/>
      <c r="C442" s="340"/>
      <c r="D442" s="341"/>
      <c r="E442" s="342"/>
      <c r="F442" s="343"/>
      <c r="G442" s="341"/>
      <c r="H442" s="194"/>
    </row>
    <row r="443" spans="1:8" x14ac:dyDescent="0.25">
      <c r="A443" s="339"/>
      <c r="B443" s="340"/>
      <c r="C443" s="340"/>
      <c r="D443" s="341"/>
      <c r="E443" s="342"/>
      <c r="F443" s="343"/>
      <c r="G443" s="341"/>
      <c r="H443" s="194"/>
    </row>
    <row r="444" spans="1:8" x14ac:dyDescent="0.25">
      <c r="A444" s="339"/>
      <c r="B444" s="340"/>
      <c r="C444" s="340"/>
      <c r="D444" s="341"/>
      <c r="E444" s="342"/>
      <c r="F444" s="343"/>
      <c r="G444" s="341"/>
      <c r="H444" s="194"/>
    </row>
    <row r="445" spans="1:8" x14ac:dyDescent="0.25">
      <c r="A445" s="339"/>
      <c r="B445" s="340"/>
      <c r="C445" s="340"/>
      <c r="D445" s="341"/>
      <c r="E445" s="342"/>
      <c r="F445" s="343"/>
      <c r="G445" s="341"/>
      <c r="H445" s="194"/>
    </row>
    <row r="446" spans="1:8" x14ac:dyDescent="0.25">
      <c r="A446" s="339"/>
      <c r="B446" s="340"/>
      <c r="C446" s="340"/>
      <c r="D446" s="341"/>
      <c r="E446" s="342"/>
      <c r="F446" s="343"/>
      <c r="G446" s="341"/>
      <c r="H446" s="194"/>
    </row>
    <row r="447" spans="1:8" x14ac:dyDescent="0.25">
      <c r="A447" s="339"/>
      <c r="B447" s="340"/>
      <c r="C447" s="340"/>
      <c r="D447" s="341"/>
      <c r="E447" s="342"/>
      <c r="F447" s="343"/>
      <c r="G447" s="341"/>
      <c r="H447" s="194"/>
    </row>
    <row r="448" spans="1:8" x14ac:dyDescent="0.25">
      <c r="A448" s="339"/>
      <c r="B448" s="340"/>
      <c r="C448" s="340"/>
      <c r="D448" s="341"/>
      <c r="E448" s="342"/>
      <c r="F448" s="343"/>
      <c r="G448" s="341"/>
      <c r="H448" s="194"/>
    </row>
    <row r="449" spans="1:8" x14ac:dyDescent="0.25">
      <c r="A449" s="339"/>
      <c r="B449" s="340"/>
      <c r="C449" s="340"/>
      <c r="D449" s="341"/>
      <c r="E449" s="342"/>
      <c r="F449" s="343"/>
      <c r="G449" s="341"/>
      <c r="H449" s="194"/>
    </row>
    <row r="450" spans="1:8" x14ac:dyDescent="0.25">
      <c r="A450" s="339"/>
      <c r="B450" s="340"/>
      <c r="C450" s="340"/>
      <c r="D450" s="341"/>
      <c r="E450" s="342"/>
      <c r="F450" s="343"/>
      <c r="G450" s="341"/>
      <c r="H450" s="194"/>
    </row>
    <row r="451" spans="1:8" x14ac:dyDescent="0.25">
      <c r="A451" s="339"/>
      <c r="B451" s="340"/>
      <c r="C451" s="340"/>
      <c r="D451" s="341"/>
      <c r="E451" s="342"/>
      <c r="F451" s="343"/>
      <c r="G451" s="341"/>
      <c r="H451" s="194"/>
    </row>
    <row r="452" spans="1:8" x14ac:dyDescent="0.25">
      <c r="A452" s="339"/>
      <c r="B452" s="340"/>
      <c r="C452" s="340"/>
      <c r="D452" s="341"/>
      <c r="E452" s="342"/>
      <c r="F452" s="343"/>
      <c r="G452" s="341"/>
      <c r="H452" s="194"/>
    </row>
    <row r="453" spans="1:8" x14ac:dyDescent="0.25">
      <c r="A453" s="339"/>
      <c r="B453" s="340"/>
      <c r="C453" s="340"/>
      <c r="D453" s="341"/>
      <c r="E453" s="342"/>
      <c r="F453" s="343"/>
      <c r="G453" s="341"/>
      <c r="H453" s="194"/>
    </row>
    <row r="454" spans="1:8" x14ac:dyDescent="0.25">
      <c r="A454" s="339"/>
      <c r="B454" s="340"/>
      <c r="C454" s="340"/>
      <c r="D454" s="341"/>
      <c r="E454" s="342"/>
      <c r="F454" s="343"/>
      <c r="G454" s="341"/>
      <c r="H454" s="194"/>
    </row>
    <row r="455" spans="1:8" x14ac:dyDescent="0.25">
      <c r="A455" s="339"/>
      <c r="B455" s="340"/>
      <c r="C455" s="340"/>
      <c r="D455" s="341"/>
      <c r="E455" s="342"/>
      <c r="F455" s="343"/>
      <c r="G455" s="341"/>
      <c r="H455" s="194"/>
    </row>
    <row r="456" spans="1:8" x14ac:dyDescent="0.25">
      <c r="A456" s="339"/>
      <c r="B456" s="340"/>
      <c r="C456" s="340"/>
      <c r="D456" s="341"/>
      <c r="E456" s="342"/>
      <c r="F456" s="343"/>
      <c r="G456" s="341"/>
      <c r="H456" s="194"/>
    </row>
    <row r="457" spans="1:8" x14ac:dyDescent="0.25">
      <c r="A457" s="339"/>
      <c r="B457" s="340"/>
      <c r="C457" s="340"/>
      <c r="D457" s="341"/>
      <c r="E457" s="342"/>
      <c r="F457" s="343"/>
      <c r="G457" s="341"/>
      <c r="H457" s="194"/>
    </row>
    <row r="458" spans="1:8" x14ac:dyDescent="0.25">
      <c r="A458" s="339"/>
      <c r="B458" s="340"/>
      <c r="C458" s="340"/>
      <c r="D458" s="341"/>
      <c r="E458" s="342"/>
      <c r="F458" s="343"/>
      <c r="G458" s="341"/>
      <c r="H458" s="194"/>
    </row>
    <row r="459" spans="1:8" x14ac:dyDescent="0.25">
      <c r="A459" s="339"/>
      <c r="B459" s="340"/>
      <c r="C459" s="340"/>
      <c r="D459" s="341"/>
      <c r="E459" s="342"/>
      <c r="F459" s="343"/>
      <c r="G459" s="341"/>
      <c r="H459" s="194"/>
    </row>
    <row r="460" spans="1:8" x14ac:dyDescent="0.25">
      <c r="A460" s="339"/>
      <c r="B460" s="340"/>
      <c r="C460" s="340"/>
      <c r="D460" s="341"/>
      <c r="E460" s="342"/>
      <c r="F460" s="343"/>
      <c r="G460" s="341"/>
      <c r="H460" s="194"/>
    </row>
    <row r="461" spans="1:8" x14ac:dyDescent="0.25">
      <c r="A461" s="339"/>
      <c r="B461" s="340"/>
      <c r="C461" s="340"/>
      <c r="D461" s="341"/>
      <c r="E461" s="342"/>
      <c r="F461" s="343"/>
      <c r="G461" s="341"/>
      <c r="H461" s="194"/>
    </row>
    <row r="462" spans="1:8" x14ac:dyDescent="0.25">
      <c r="A462" s="339"/>
      <c r="B462" s="340"/>
      <c r="C462" s="340"/>
      <c r="D462" s="341"/>
      <c r="E462" s="342"/>
      <c r="F462" s="343"/>
      <c r="G462" s="341"/>
      <c r="H462" s="194"/>
    </row>
    <row r="463" spans="1:8" x14ac:dyDescent="0.25">
      <c r="A463" s="339"/>
      <c r="B463" s="340"/>
      <c r="C463" s="340"/>
      <c r="D463" s="341"/>
      <c r="E463" s="342"/>
      <c r="F463" s="343"/>
      <c r="G463" s="341"/>
      <c r="H463" s="194"/>
    </row>
    <row r="464" spans="1:8" x14ac:dyDescent="0.25">
      <c r="A464" s="339"/>
      <c r="B464" s="340"/>
      <c r="C464" s="340"/>
      <c r="D464" s="341"/>
      <c r="E464" s="342"/>
      <c r="F464" s="343"/>
      <c r="G464" s="341"/>
      <c r="H464" s="194"/>
    </row>
    <row r="465" spans="1:8" x14ac:dyDescent="0.25">
      <c r="A465" s="339"/>
      <c r="B465" s="340"/>
      <c r="C465" s="340"/>
      <c r="D465" s="341"/>
      <c r="E465" s="342"/>
      <c r="F465" s="343"/>
      <c r="G465" s="341"/>
      <c r="H465" s="194"/>
    </row>
    <row r="466" spans="1:8" x14ac:dyDescent="0.25">
      <c r="A466" s="339"/>
      <c r="B466" s="340"/>
      <c r="C466" s="340"/>
      <c r="D466" s="341"/>
      <c r="E466" s="342"/>
      <c r="F466" s="343"/>
      <c r="G466" s="341"/>
      <c r="H466" s="194"/>
    </row>
    <row r="467" spans="1:8" x14ac:dyDescent="0.25">
      <c r="A467" s="339"/>
      <c r="B467" s="340"/>
      <c r="C467" s="340"/>
      <c r="D467" s="341"/>
      <c r="E467" s="342"/>
      <c r="F467" s="343"/>
      <c r="G467" s="341"/>
      <c r="H467" s="194"/>
    </row>
    <row r="468" spans="1:8" x14ac:dyDescent="0.25">
      <c r="A468" s="339"/>
      <c r="B468" s="340"/>
      <c r="C468" s="340"/>
      <c r="D468" s="341"/>
      <c r="E468" s="342"/>
      <c r="F468" s="343"/>
      <c r="G468" s="341"/>
      <c r="H468" s="194"/>
    </row>
    <row r="469" spans="1:8" x14ac:dyDescent="0.25">
      <c r="A469" s="339"/>
      <c r="B469" s="340"/>
      <c r="C469" s="340"/>
      <c r="D469" s="341"/>
      <c r="E469" s="342"/>
      <c r="F469" s="343"/>
      <c r="G469" s="341"/>
      <c r="H469" s="194"/>
    </row>
    <row r="470" spans="1:8" x14ac:dyDescent="0.25">
      <c r="A470" s="339"/>
      <c r="B470" s="340"/>
      <c r="C470" s="340"/>
      <c r="D470" s="341"/>
      <c r="E470" s="342"/>
      <c r="F470" s="343"/>
      <c r="G470" s="341"/>
      <c r="H470" s="194"/>
    </row>
    <row r="471" spans="1:8" x14ac:dyDescent="0.25">
      <c r="A471" s="339"/>
      <c r="B471" s="340"/>
      <c r="C471" s="340"/>
      <c r="D471" s="341"/>
      <c r="E471" s="342"/>
      <c r="F471" s="343"/>
      <c r="G471" s="341"/>
      <c r="H471" s="194"/>
    </row>
    <row r="472" spans="1:8" x14ac:dyDescent="0.25">
      <c r="A472" s="339"/>
      <c r="B472" s="340"/>
      <c r="C472" s="340"/>
      <c r="D472" s="341"/>
      <c r="E472" s="342"/>
      <c r="F472" s="343"/>
      <c r="G472" s="341"/>
      <c r="H472" s="194"/>
    </row>
    <row r="473" spans="1:8" x14ac:dyDescent="0.25">
      <c r="A473" s="339"/>
      <c r="B473" s="340"/>
      <c r="C473" s="340"/>
      <c r="D473" s="341"/>
      <c r="E473" s="342"/>
      <c r="F473" s="343"/>
      <c r="G473" s="341"/>
      <c r="H473" s="194"/>
    </row>
    <row r="474" spans="1:8" x14ac:dyDescent="0.25">
      <c r="A474" s="339"/>
      <c r="B474" s="340"/>
      <c r="C474" s="340"/>
      <c r="D474" s="341"/>
      <c r="E474" s="342"/>
      <c r="F474" s="343"/>
      <c r="G474" s="341"/>
      <c r="H474" s="194"/>
    </row>
    <row r="475" spans="1:8" x14ac:dyDescent="0.25">
      <c r="A475" s="339"/>
      <c r="B475" s="340"/>
      <c r="C475" s="340"/>
      <c r="D475" s="341"/>
      <c r="E475" s="342"/>
      <c r="F475" s="343"/>
      <c r="G475" s="341"/>
      <c r="H475" s="194"/>
    </row>
    <row r="476" spans="1:8" x14ac:dyDescent="0.25">
      <c r="A476" s="339"/>
      <c r="B476" s="340"/>
      <c r="C476" s="340"/>
      <c r="D476" s="341"/>
      <c r="E476" s="342"/>
      <c r="F476" s="343"/>
      <c r="G476" s="341"/>
      <c r="H476" s="194"/>
    </row>
    <row r="477" spans="1:8" x14ac:dyDescent="0.25">
      <c r="A477" s="339"/>
      <c r="B477" s="340"/>
      <c r="C477" s="340"/>
      <c r="D477" s="341"/>
      <c r="E477" s="342"/>
      <c r="F477" s="343"/>
      <c r="G477" s="341"/>
      <c r="H477" s="194"/>
    </row>
    <row r="478" spans="1:8" x14ac:dyDescent="0.25">
      <c r="A478" s="339"/>
      <c r="B478" s="340"/>
      <c r="C478" s="340"/>
      <c r="D478" s="341"/>
      <c r="E478" s="342"/>
      <c r="F478" s="343"/>
      <c r="G478" s="341"/>
      <c r="H478" s="194"/>
    </row>
    <row r="479" spans="1:8" x14ac:dyDescent="0.25">
      <c r="A479" s="339"/>
      <c r="B479" s="340"/>
      <c r="C479" s="340"/>
      <c r="D479" s="341"/>
      <c r="E479" s="342"/>
      <c r="F479" s="343"/>
      <c r="G479" s="341"/>
      <c r="H479" s="194"/>
    </row>
    <row r="480" spans="1:8" x14ac:dyDescent="0.25">
      <c r="A480" s="339"/>
      <c r="B480" s="340"/>
      <c r="C480" s="340"/>
      <c r="D480" s="341"/>
      <c r="E480" s="342"/>
      <c r="F480" s="343"/>
      <c r="G480" s="341"/>
      <c r="H480" s="194"/>
    </row>
    <row r="481" spans="1:8" x14ac:dyDescent="0.25">
      <c r="A481" s="339"/>
      <c r="B481" s="340"/>
      <c r="C481" s="340"/>
      <c r="D481" s="341"/>
      <c r="E481" s="342"/>
      <c r="F481" s="343"/>
      <c r="G481" s="341"/>
      <c r="H481" s="194"/>
    </row>
    <row r="482" spans="1:8" x14ac:dyDescent="0.25">
      <c r="A482" s="339"/>
      <c r="B482" s="340"/>
      <c r="C482" s="340"/>
      <c r="D482" s="341"/>
      <c r="E482" s="342"/>
      <c r="F482" s="343"/>
      <c r="G482" s="341"/>
      <c r="H482" s="194"/>
    </row>
    <row r="483" spans="1:8" x14ac:dyDescent="0.25">
      <c r="A483" s="339"/>
      <c r="B483" s="340"/>
      <c r="C483" s="340"/>
      <c r="D483" s="341"/>
      <c r="E483" s="342"/>
      <c r="F483" s="343"/>
      <c r="G483" s="341"/>
      <c r="H483" s="194"/>
    </row>
    <row r="484" spans="1:8" x14ac:dyDescent="0.25">
      <c r="A484" s="339"/>
      <c r="B484" s="340"/>
      <c r="C484" s="340"/>
      <c r="D484" s="341"/>
      <c r="E484" s="342"/>
      <c r="F484" s="343"/>
      <c r="G484" s="341"/>
      <c r="H484" s="194"/>
    </row>
    <row r="485" spans="1:8" x14ac:dyDescent="0.25">
      <c r="A485" s="339"/>
      <c r="B485" s="340"/>
      <c r="C485" s="340"/>
      <c r="D485" s="341"/>
      <c r="E485" s="342"/>
      <c r="F485" s="343"/>
      <c r="G485" s="341"/>
      <c r="H485" s="194"/>
    </row>
    <row r="486" spans="1:8" x14ac:dyDescent="0.25">
      <c r="A486" s="339"/>
      <c r="B486" s="340"/>
      <c r="C486" s="340"/>
      <c r="D486" s="341"/>
      <c r="E486" s="342"/>
      <c r="F486" s="343"/>
      <c r="G486" s="341"/>
      <c r="H486" s="194"/>
    </row>
    <row r="487" spans="1:8" x14ac:dyDescent="0.25">
      <c r="A487" s="339"/>
      <c r="B487" s="340"/>
      <c r="C487" s="340"/>
      <c r="D487" s="341"/>
      <c r="E487" s="342"/>
      <c r="F487" s="343"/>
      <c r="G487" s="341"/>
      <c r="H487" s="194"/>
    </row>
    <row r="488" spans="1:8" x14ac:dyDescent="0.25">
      <c r="A488" s="339"/>
      <c r="B488" s="340"/>
      <c r="C488" s="340"/>
      <c r="D488" s="341"/>
      <c r="E488" s="342"/>
      <c r="F488" s="343"/>
      <c r="G488" s="341"/>
      <c r="H488" s="194"/>
    </row>
    <row r="489" spans="1:8" x14ac:dyDescent="0.25">
      <c r="A489" s="339"/>
      <c r="B489" s="340"/>
      <c r="C489" s="340"/>
      <c r="D489" s="341"/>
      <c r="E489" s="342"/>
      <c r="F489" s="343"/>
      <c r="G489" s="341"/>
      <c r="H489" s="194"/>
    </row>
    <row r="490" spans="1:8" x14ac:dyDescent="0.25">
      <c r="A490" s="339"/>
      <c r="B490" s="340"/>
      <c r="C490" s="340"/>
      <c r="D490" s="341"/>
      <c r="E490" s="342"/>
      <c r="F490" s="343"/>
      <c r="G490" s="341"/>
      <c r="H490" s="194"/>
    </row>
    <row r="491" spans="1:8" x14ac:dyDescent="0.25">
      <c r="A491" s="339"/>
      <c r="B491" s="340"/>
      <c r="C491" s="340"/>
      <c r="D491" s="341"/>
      <c r="E491" s="342"/>
      <c r="F491" s="343"/>
      <c r="G491" s="341"/>
      <c r="H491" s="194"/>
    </row>
    <row r="492" spans="1:8" x14ac:dyDescent="0.25">
      <c r="A492" s="339"/>
      <c r="B492" s="340"/>
      <c r="C492" s="340"/>
      <c r="D492" s="341"/>
      <c r="E492" s="342"/>
      <c r="F492" s="343"/>
      <c r="G492" s="341"/>
      <c r="H492" s="194"/>
    </row>
    <row r="493" spans="1:8" x14ac:dyDescent="0.25">
      <c r="A493" s="339"/>
      <c r="B493" s="340"/>
      <c r="C493" s="340"/>
      <c r="D493" s="341"/>
      <c r="E493" s="342"/>
      <c r="F493" s="343"/>
      <c r="G493" s="341"/>
      <c r="H493" s="194"/>
    </row>
    <row r="494" spans="1:8" x14ac:dyDescent="0.25">
      <c r="A494" s="339"/>
      <c r="B494" s="340"/>
      <c r="C494" s="340"/>
      <c r="D494" s="341"/>
      <c r="E494" s="342"/>
      <c r="F494" s="343"/>
      <c r="G494" s="341"/>
      <c r="H494" s="194"/>
    </row>
    <row r="495" spans="1:8" x14ac:dyDescent="0.25">
      <c r="A495" s="339"/>
      <c r="B495" s="340"/>
      <c r="C495" s="340"/>
      <c r="D495" s="341"/>
      <c r="E495" s="342"/>
      <c r="F495" s="343"/>
      <c r="G495" s="341"/>
      <c r="H495" s="194"/>
    </row>
    <row r="496" spans="1:8" x14ac:dyDescent="0.25">
      <c r="A496" s="339"/>
      <c r="B496" s="340"/>
      <c r="C496" s="340"/>
      <c r="D496" s="341"/>
      <c r="E496" s="342"/>
      <c r="F496" s="343"/>
      <c r="G496" s="341"/>
      <c r="H496" s="194"/>
    </row>
    <row r="497" spans="1:8" x14ac:dyDescent="0.25">
      <c r="A497" s="339"/>
      <c r="B497" s="340"/>
      <c r="C497" s="340"/>
      <c r="D497" s="341"/>
      <c r="E497" s="342"/>
      <c r="F497" s="343"/>
      <c r="G497" s="341"/>
      <c r="H497" s="194"/>
    </row>
    <row r="498" spans="1:8" x14ac:dyDescent="0.25">
      <c r="A498" s="339"/>
      <c r="B498" s="340"/>
      <c r="C498" s="340"/>
      <c r="D498" s="341"/>
      <c r="E498" s="342"/>
      <c r="F498" s="343"/>
      <c r="G498" s="341"/>
      <c r="H498" s="194"/>
    </row>
    <row r="499" spans="1:8" x14ac:dyDescent="0.25">
      <c r="A499" s="339"/>
      <c r="B499" s="340"/>
      <c r="C499" s="340"/>
      <c r="D499" s="341"/>
      <c r="E499" s="342"/>
      <c r="F499" s="343"/>
      <c r="G499" s="341"/>
      <c r="H499" s="194"/>
    </row>
    <row r="500" spans="1:8" x14ac:dyDescent="0.25">
      <c r="A500" s="339"/>
      <c r="B500" s="340"/>
      <c r="C500" s="340"/>
      <c r="D500" s="341"/>
      <c r="E500" s="342"/>
      <c r="F500" s="343"/>
      <c r="G500" s="341"/>
      <c r="H500" s="194"/>
    </row>
    <row r="501" spans="1:8" x14ac:dyDescent="0.25">
      <c r="A501" s="339"/>
      <c r="B501" s="340"/>
      <c r="C501" s="340"/>
      <c r="D501" s="341"/>
      <c r="E501" s="342"/>
      <c r="F501" s="343"/>
      <c r="G501" s="341"/>
      <c r="H501" s="194"/>
    </row>
    <row r="502" spans="1:8" x14ac:dyDescent="0.25">
      <c r="A502" s="339"/>
      <c r="B502" s="340"/>
      <c r="C502" s="340"/>
      <c r="D502" s="341"/>
      <c r="E502" s="342"/>
      <c r="F502" s="343"/>
      <c r="G502" s="341"/>
      <c r="H502" s="194"/>
    </row>
    <row r="503" spans="1:8" x14ac:dyDescent="0.25">
      <c r="A503" s="339"/>
      <c r="B503" s="340"/>
      <c r="C503" s="340"/>
      <c r="D503" s="341"/>
      <c r="E503" s="342"/>
      <c r="F503" s="343"/>
      <c r="G503" s="341"/>
      <c r="H503" s="194"/>
    </row>
    <row r="504" spans="1:8" x14ac:dyDescent="0.25">
      <c r="A504" s="339"/>
      <c r="B504" s="340"/>
      <c r="C504" s="340"/>
      <c r="D504" s="341"/>
      <c r="E504" s="342"/>
      <c r="F504" s="343"/>
      <c r="G504" s="341"/>
      <c r="H504" s="194"/>
    </row>
    <row r="505" spans="1:8" x14ac:dyDescent="0.25">
      <c r="A505" s="339"/>
      <c r="B505" s="340"/>
      <c r="C505" s="340"/>
      <c r="D505" s="341"/>
      <c r="E505" s="342"/>
      <c r="F505" s="343"/>
      <c r="G505" s="341"/>
      <c r="H505" s="194"/>
    </row>
    <row r="506" spans="1:8" x14ac:dyDescent="0.25">
      <c r="A506" s="339"/>
      <c r="B506" s="340"/>
      <c r="C506" s="340"/>
      <c r="D506" s="341"/>
      <c r="E506" s="342"/>
      <c r="F506" s="343"/>
      <c r="G506" s="341"/>
      <c r="H506" s="194"/>
    </row>
    <row r="507" spans="1:8" x14ac:dyDescent="0.25">
      <c r="A507" s="339"/>
      <c r="B507" s="340"/>
      <c r="C507" s="340"/>
      <c r="D507" s="341"/>
      <c r="E507" s="342"/>
      <c r="F507" s="343"/>
      <c r="G507" s="341"/>
      <c r="H507" s="194"/>
    </row>
    <row r="508" spans="1:8" x14ac:dyDescent="0.25">
      <c r="A508" s="339"/>
      <c r="B508" s="340"/>
      <c r="C508" s="340"/>
      <c r="D508" s="341"/>
      <c r="E508" s="342"/>
      <c r="F508" s="343"/>
      <c r="G508" s="341"/>
      <c r="H508" s="194"/>
    </row>
    <row r="509" spans="1:8" x14ac:dyDescent="0.25">
      <c r="A509" s="339"/>
      <c r="B509" s="340"/>
      <c r="C509" s="340"/>
      <c r="D509" s="341"/>
      <c r="E509" s="342"/>
      <c r="F509" s="343"/>
      <c r="G509" s="341"/>
      <c r="H509" s="194"/>
    </row>
    <row r="510" spans="1:8" x14ac:dyDescent="0.25">
      <c r="A510" s="339"/>
      <c r="B510" s="340"/>
      <c r="C510" s="340"/>
      <c r="D510" s="341"/>
      <c r="E510" s="342"/>
      <c r="F510" s="343"/>
      <c r="G510" s="341"/>
      <c r="H510" s="194"/>
    </row>
    <row r="511" spans="1:8" x14ac:dyDescent="0.25">
      <c r="A511" s="339"/>
      <c r="B511" s="340"/>
      <c r="C511" s="340"/>
      <c r="D511" s="341"/>
      <c r="E511" s="342"/>
      <c r="F511" s="343"/>
      <c r="G511" s="341"/>
      <c r="H511" s="194"/>
    </row>
    <row r="512" spans="1:8" x14ac:dyDescent="0.25">
      <c r="A512" s="339"/>
      <c r="B512" s="340"/>
      <c r="C512" s="340"/>
      <c r="D512" s="341"/>
      <c r="E512" s="342"/>
      <c r="F512" s="343"/>
      <c r="G512" s="341"/>
      <c r="H512" s="194"/>
    </row>
    <row r="513" spans="1:8" x14ac:dyDescent="0.25">
      <c r="A513" s="339"/>
      <c r="B513" s="340"/>
      <c r="C513" s="340"/>
      <c r="D513" s="341"/>
      <c r="E513" s="342"/>
      <c r="F513" s="343"/>
      <c r="G513" s="341"/>
      <c r="H513" s="194"/>
    </row>
    <row r="514" spans="1:8" x14ac:dyDescent="0.25">
      <c r="A514" s="339"/>
      <c r="B514" s="340"/>
      <c r="C514" s="340"/>
      <c r="D514" s="341"/>
      <c r="E514" s="342"/>
      <c r="F514" s="343"/>
      <c r="G514" s="341"/>
      <c r="H514" s="194"/>
    </row>
    <row r="515" spans="1:8" x14ac:dyDescent="0.25">
      <c r="A515" s="339"/>
      <c r="B515" s="340"/>
      <c r="C515" s="340"/>
      <c r="D515" s="341"/>
      <c r="E515" s="342"/>
      <c r="F515" s="343"/>
      <c r="G515" s="341"/>
      <c r="H515" s="194"/>
    </row>
    <row r="516" spans="1:8" x14ac:dyDescent="0.25">
      <c r="A516" s="339"/>
      <c r="B516" s="340"/>
      <c r="C516" s="340"/>
      <c r="D516" s="341"/>
      <c r="E516" s="342"/>
      <c r="F516" s="343"/>
      <c r="G516" s="341"/>
      <c r="H516" s="194"/>
    </row>
    <row r="517" spans="1:8" x14ac:dyDescent="0.25">
      <c r="A517" s="339"/>
      <c r="B517" s="340"/>
      <c r="C517" s="340"/>
      <c r="D517" s="341"/>
      <c r="E517" s="342"/>
      <c r="F517" s="343"/>
      <c r="G517" s="341"/>
      <c r="H517" s="194"/>
    </row>
    <row r="518" spans="1:8" x14ac:dyDescent="0.25">
      <c r="A518" s="339"/>
      <c r="B518" s="340"/>
      <c r="C518" s="340"/>
      <c r="D518" s="341"/>
      <c r="E518" s="342"/>
      <c r="F518" s="343"/>
      <c r="G518" s="341"/>
      <c r="H518" s="194"/>
    </row>
    <row r="519" spans="1:8" x14ac:dyDescent="0.25">
      <c r="A519" s="339"/>
      <c r="B519" s="340"/>
      <c r="C519" s="340"/>
      <c r="D519" s="341"/>
      <c r="E519" s="342"/>
      <c r="F519" s="343"/>
      <c r="G519" s="341"/>
      <c r="H519" s="194"/>
    </row>
    <row r="520" spans="1:8" x14ac:dyDescent="0.25">
      <c r="A520" s="339"/>
      <c r="B520" s="340"/>
      <c r="C520" s="340"/>
      <c r="D520" s="341"/>
      <c r="E520" s="342"/>
      <c r="F520" s="343"/>
      <c r="G520" s="341"/>
      <c r="H520" s="194"/>
    </row>
    <row r="521" spans="1:8" x14ac:dyDescent="0.25">
      <c r="A521" s="339"/>
      <c r="B521" s="340"/>
      <c r="C521" s="340"/>
      <c r="D521" s="341"/>
      <c r="E521" s="342"/>
      <c r="F521" s="343"/>
      <c r="G521" s="341"/>
      <c r="H521" s="194"/>
    </row>
    <row r="522" spans="1:8" x14ac:dyDescent="0.25">
      <c r="A522" s="339"/>
      <c r="B522" s="340"/>
      <c r="C522" s="340"/>
      <c r="D522" s="341"/>
      <c r="E522" s="342"/>
      <c r="F522" s="343"/>
      <c r="G522" s="341"/>
      <c r="H522" s="194"/>
    </row>
    <row r="523" spans="1:8" x14ac:dyDescent="0.25">
      <c r="A523" s="339"/>
      <c r="B523" s="340"/>
      <c r="C523" s="340"/>
      <c r="D523" s="341"/>
      <c r="E523" s="342"/>
      <c r="F523" s="343"/>
      <c r="G523" s="341"/>
      <c r="H523" s="194"/>
    </row>
    <row r="524" spans="1:8" x14ac:dyDescent="0.25">
      <c r="A524" s="339"/>
      <c r="B524" s="340"/>
      <c r="C524" s="340"/>
      <c r="D524" s="341"/>
      <c r="E524" s="342"/>
      <c r="F524" s="343"/>
      <c r="G524" s="341"/>
      <c r="H524" s="194"/>
    </row>
    <row r="525" spans="1:8" x14ac:dyDescent="0.25">
      <c r="A525" s="339"/>
      <c r="B525" s="340"/>
      <c r="C525" s="340"/>
      <c r="D525" s="341"/>
      <c r="E525" s="342"/>
      <c r="F525" s="343"/>
      <c r="G525" s="341"/>
      <c r="H525" s="194"/>
    </row>
    <row r="526" spans="1:8" x14ac:dyDescent="0.25">
      <c r="A526" s="339"/>
      <c r="B526" s="340"/>
      <c r="C526" s="340"/>
      <c r="D526" s="341"/>
      <c r="E526" s="342"/>
      <c r="F526" s="343"/>
      <c r="G526" s="341"/>
      <c r="H526" s="194"/>
    </row>
    <row r="527" spans="1:8" x14ac:dyDescent="0.25">
      <c r="A527" s="339"/>
      <c r="B527" s="340"/>
      <c r="C527" s="340"/>
      <c r="D527" s="341"/>
      <c r="E527" s="342"/>
      <c r="F527" s="343"/>
      <c r="G527" s="341"/>
      <c r="H527" s="194"/>
    </row>
    <row r="528" spans="1:8" x14ac:dyDescent="0.25">
      <c r="A528" s="339"/>
      <c r="B528" s="340"/>
      <c r="C528" s="340"/>
      <c r="D528" s="341"/>
      <c r="E528" s="342"/>
      <c r="F528" s="343"/>
      <c r="G528" s="341"/>
      <c r="H528" s="194"/>
    </row>
    <row r="529" spans="1:8" x14ac:dyDescent="0.25">
      <c r="A529" s="339"/>
      <c r="B529" s="340"/>
      <c r="C529" s="340"/>
      <c r="D529" s="341"/>
      <c r="E529" s="342"/>
      <c r="F529" s="343"/>
      <c r="G529" s="341"/>
      <c r="H529" s="194"/>
    </row>
    <row r="530" spans="1:8" x14ac:dyDescent="0.25">
      <c r="A530" s="339"/>
      <c r="B530" s="340"/>
      <c r="C530" s="340"/>
      <c r="D530" s="341"/>
      <c r="E530" s="342"/>
      <c r="F530" s="343"/>
      <c r="G530" s="341"/>
      <c r="H530" s="194"/>
    </row>
    <row r="531" spans="1:8" x14ac:dyDescent="0.25">
      <c r="A531" s="339"/>
      <c r="B531" s="340"/>
      <c r="C531" s="340"/>
      <c r="D531" s="341"/>
      <c r="E531" s="342"/>
      <c r="F531" s="343"/>
      <c r="G531" s="341"/>
      <c r="H531" s="194"/>
    </row>
    <row r="532" spans="1:8" x14ac:dyDescent="0.25">
      <c r="A532" s="339"/>
      <c r="B532" s="340"/>
      <c r="C532" s="340"/>
      <c r="D532" s="341"/>
      <c r="E532" s="342"/>
      <c r="F532" s="343"/>
      <c r="G532" s="341"/>
      <c r="H532" s="194"/>
    </row>
    <row r="533" spans="1:8" x14ac:dyDescent="0.25">
      <c r="A533" s="339"/>
      <c r="B533" s="340"/>
      <c r="C533" s="340"/>
      <c r="D533" s="341"/>
      <c r="E533" s="342"/>
      <c r="F533" s="343"/>
      <c r="G533" s="341"/>
      <c r="H533" s="194"/>
    </row>
    <row r="534" spans="1:8" x14ac:dyDescent="0.25">
      <c r="A534" s="339"/>
      <c r="B534" s="340"/>
      <c r="C534" s="340"/>
      <c r="D534" s="341"/>
      <c r="E534" s="342"/>
      <c r="F534" s="343"/>
      <c r="G534" s="341"/>
      <c r="H534" s="194"/>
    </row>
    <row r="535" spans="1:8" x14ac:dyDescent="0.25">
      <c r="A535" s="339"/>
      <c r="B535" s="340"/>
      <c r="C535" s="340"/>
      <c r="D535" s="341"/>
      <c r="E535" s="342"/>
      <c r="F535" s="343"/>
      <c r="G535" s="341"/>
      <c r="H535" s="194"/>
    </row>
    <row r="536" spans="1:8" x14ac:dyDescent="0.25">
      <c r="A536" s="339"/>
      <c r="B536" s="340"/>
      <c r="C536" s="340"/>
      <c r="D536" s="341"/>
      <c r="E536" s="342"/>
      <c r="F536" s="343"/>
      <c r="G536" s="341"/>
      <c r="H536" s="194"/>
    </row>
    <row r="537" spans="1:8" x14ac:dyDescent="0.25">
      <c r="A537" s="339"/>
      <c r="B537" s="340"/>
      <c r="C537" s="340"/>
      <c r="D537" s="341"/>
      <c r="E537" s="342"/>
      <c r="F537" s="343"/>
      <c r="G537" s="341"/>
      <c r="H537" s="194"/>
    </row>
    <row r="538" spans="1:8" x14ac:dyDescent="0.25">
      <c r="A538" s="339"/>
      <c r="B538" s="340"/>
      <c r="C538" s="340"/>
      <c r="D538" s="341"/>
      <c r="E538" s="342"/>
      <c r="F538" s="343"/>
      <c r="G538" s="341"/>
      <c r="H538" s="194"/>
    </row>
    <row r="539" spans="1:8" x14ac:dyDescent="0.25">
      <c r="A539" s="339"/>
      <c r="B539" s="340"/>
      <c r="C539" s="340"/>
      <c r="D539" s="341"/>
      <c r="E539" s="342"/>
      <c r="F539" s="343"/>
      <c r="G539" s="341"/>
      <c r="H539" s="194"/>
    </row>
    <row r="540" spans="1:8" x14ac:dyDescent="0.25">
      <c r="A540" s="339"/>
      <c r="B540" s="340"/>
      <c r="C540" s="340"/>
      <c r="D540" s="341"/>
      <c r="E540" s="342"/>
      <c r="F540" s="343"/>
      <c r="G540" s="341"/>
      <c r="H540" s="194"/>
    </row>
    <row r="541" spans="1:8" x14ac:dyDescent="0.25">
      <c r="A541" s="339"/>
      <c r="B541" s="340"/>
      <c r="C541" s="340"/>
      <c r="D541" s="341"/>
      <c r="E541" s="342"/>
      <c r="F541" s="343"/>
      <c r="G541" s="341"/>
      <c r="H541" s="194"/>
    </row>
    <row r="542" spans="1:8" x14ac:dyDescent="0.25">
      <c r="A542" s="339"/>
      <c r="B542" s="340"/>
      <c r="C542" s="340"/>
      <c r="D542" s="341"/>
      <c r="E542" s="342"/>
      <c r="F542" s="343"/>
      <c r="G542" s="341"/>
      <c r="H542" s="194"/>
    </row>
    <row r="543" spans="1:8" x14ac:dyDescent="0.25">
      <c r="A543" s="339"/>
      <c r="B543" s="340"/>
      <c r="C543" s="340"/>
      <c r="D543" s="341"/>
      <c r="E543" s="342"/>
      <c r="F543" s="343"/>
      <c r="G543" s="341"/>
      <c r="H543" s="194"/>
    </row>
    <row r="544" spans="1:8" x14ac:dyDescent="0.25">
      <c r="A544" s="339"/>
      <c r="B544" s="340"/>
      <c r="C544" s="340"/>
      <c r="D544" s="341"/>
      <c r="E544" s="342"/>
      <c r="F544" s="343"/>
      <c r="G544" s="341"/>
      <c r="H544" s="194"/>
    </row>
    <row r="545" spans="1:8" x14ac:dyDescent="0.25">
      <c r="A545" s="339"/>
      <c r="B545" s="340"/>
      <c r="C545" s="340"/>
      <c r="D545" s="341"/>
      <c r="E545" s="342"/>
      <c r="F545" s="343"/>
      <c r="G545" s="341"/>
      <c r="H545" s="194"/>
    </row>
    <row r="546" spans="1:8" x14ac:dyDescent="0.25">
      <c r="A546" s="339"/>
      <c r="B546" s="340"/>
      <c r="C546" s="340"/>
      <c r="D546" s="341"/>
      <c r="E546" s="342"/>
      <c r="F546" s="343"/>
      <c r="G546" s="341"/>
      <c r="H546" s="194"/>
    </row>
    <row r="547" spans="1:8" x14ac:dyDescent="0.25">
      <c r="A547" s="339"/>
      <c r="B547" s="340"/>
      <c r="C547" s="340"/>
      <c r="D547" s="341"/>
      <c r="E547" s="342"/>
      <c r="F547" s="343"/>
      <c r="G547" s="341"/>
      <c r="H547" s="194"/>
    </row>
    <row r="548" spans="1:8" x14ac:dyDescent="0.25">
      <c r="A548" s="339"/>
      <c r="B548" s="340"/>
      <c r="C548" s="340"/>
      <c r="D548" s="341"/>
      <c r="E548" s="342"/>
      <c r="F548" s="343"/>
      <c r="G548" s="341"/>
      <c r="H548" s="194"/>
    </row>
    <row r="549" spans="1:8" x14ac:dyDescent="0.25">
      <c r="A549" s="339"/>
      <c r="B549" s="340"/>
      <c r="C549" s="340"/>
      <c r="D549" s="341"/>
      <c r="E549" s="342"/>
      <c r="F549" s="343"/>
      <c r="G549" s="341"/>
      <c r="H549" s="194"/>
    </row>
    <row r="550" spans="1:8" x14ac:dyDescent="0.25">
      <c r="A550" s="339"/>
      <c r="B550" s="340"/>
      <c r="C550" s="340"/>
      <c r="D550" s="341"/>
      <c r="E550" s="342"/>
      <c r="F550" s="343"/>
      <c r="G550" s="341"/>
      <c r="H550" s="194"/>
    </row>
    <row r="551" spans="1:8" x14ac:dyDescent="0.25">
      <c r="A551" s="339"/>
      <c r="B551" s="340"/>
      <c r="C551" s="340"/>
      <c r="D551" s="341"/>
      <c r="E551" s="342"/>
      <c r="F551" s="343"/>
      <c r="G551" s="341"/>
      <c r="H551" s="194"/>
    </row>
    <row r="552" spans="1:8" x14ac:dyDescent="0.25">
      <c r="A552" s="339"/>
      <c r="B552" s="340"/>
      <c r="C552" s="340"/>
      <c r="D552" s="341"/>
      <c r="E552" s="342"/>
      <c r="F552" s="343"/>
      <c r="G552" s="341"/>
      <c r="H552" s="194"/>
    </row>
    <row r="553" spans="1:8" x14ac:dyDescent="0.25">
      <c r="A553" s="339"/>
      <c r="B553" s="340"/>
      <c r="C553" s="340"/>
      <c r="D553" s="341"/>
      <c r="E553" s="342"/>
      <c r="F553" s="343"/>
      <c r="G553" s="341"/>
      <c r="H553" s="194"/>
    </row>
    <row r="554" spans="1:8" x14ac:dyDescent="0.25">
      <c r="A554" s="339"/>
      <c r="B554" s="340"/>
      <c r="C554" s="340"/>
      <c r="D554" s="341"/>
      <c r="E554" s="342"/>
      <c r="F554" s="343"/>
      <c r="G554" s="341"/>
      <c r="H554" s="194"/>
    </row>
    <row r="555" spans="1:8" x14ac:dyDescent="0.25">
      <c r="A555" s="339"/>
      <c r="B555" s="340"/>
      <c r="C555" s="340"/>
      <c r="D555" s="341"/>
      <c r="E555" s="342"/>
      <c r="F555" s="343"/>
      <c r="G555" s="341"/>
      <c r="H555" s="194"/>
    </row>
    <row r="556" spans="1:8" x14ac:dyDescent="0.25">
      <c r="A556" s="339"/>
      <c r="B556" s="340"/>
      <c r="C556" s="340"/>
      <c r="D556" s="341"/>
      <c r="E556" s="342"/>
      <c r="F556" s="343"/>
      <c r="G556" s="341"/>
      <c r="H556" s="194"/>
    </row>
    <row r="557" spans="1:8" x14ac:dyDescent="0.25">
      <c r="A557" s="339"/>
      <c r="B557" s="340"/>
      <c r="C557" s="340"/>
      <c r="D557" s="341"/>
      <c r="E557" s="342"/>
      <c r="F557" s="343"/>
      <c r="G557" s="341"/>
      <c r="H557" s="194"/>
    </row>
    <row r="558" spans="1:8" x14ac:dyDescent="0.25">
      <c r="A558" s="339"/>
      <c r="B558" s="340"/>
      <c r="C558" s="340"/>
      <c r="D558" s="341"/>
      <c r="E558" s="342"/>
      <c r="F558" s="343"/>
      <c r="G558" s="341"/>
      <c r="H558" s="194"/>
    </row>
    <row r="559" spans="1:8" x14ac:dyDescent="0.25">
      <c r="A559" s="339"/>
      <c r="B559" s="340"/>
      <c r="C559" s="340"/>
      <c r="D559" s="341"/>
      <c r="E559" s="342"/>
      <c r="F559" s="343"/>
      <c r="G559" s="341"/>
      <c r="H559" s="194"/>
    </row>
    <row r="560" spans="1:8" x14ac:dyDescent="0.25">
      <c r="A560" s="339"/>
      <c r="B560" s="340"/>
      <c r="C560" s="340"/>
      <c r="D560" s="341"/>
      <c r="E560" s="342"/>
      <c r="F560" s="343"/>
      <c r="G560" s="341"/>
      <c r="H560" s="194"/>
    </row>
    <row r="561" spans="1:8" x14ac:dyDescent="0.25">
      <c r="A561" s="339"/>
      <c r="B561" s="340"/>
      <c r="C561" s="340"/>
      <c r="D561" s="341"/>
      <c r="E561" s="342"/>
      <c r="F561" s="343"/>
      <c r="G561" s="341"/>
      <c r="H561" s="194"/>
    </row>
    <row r="562" spans="1:8" x14ac:dyDescent="0.25">
      <c r="A562" s="339"/>
      <c r="B562" s="340"/>
      <c r="C562" s="340"/>
      <c r="D562" s="341"/>
      <c r="E562" s="342"/>
      <c r="F562" s="343"/>
      <c r="G562" s="341"/>
      <c r="H562" s="194"/>
    </row>
    <row r="563" spans="1:8" x14ac:dyDescent="0.25">
      <c r="A563" s="339"/>
      <c r="B563" s="340"/>
      <c r="C563" s="340"/>
      <c r="D563" s="341"/>
      <c r="E563" s="342"/>
      <c r="F563" s="343"/>
      <c r="G563" s="341"/>
      <c r="H563" s="194"/>
    </row>
    <row r="564" spans="1:8" x14ac:dyDescent="0.25">
      <c r="A564" s="339"/>
      <c r="B564" s="340"/>
      <c r="C564" s="340"/>
      <c r="D564" s="341"/>
      <c r="E564" s="342"/>
      <c r="F564" s="343"/>
      <c r="G564" s="341"/>
      <c r="H564" s="194"/>
    </row>
    <row r="565" spans="1:8" x14ac:dyDescent="0.25">
      <c r="A565" s="339"/>
      <c r="B565" s="340"/>
      <c r="C565" s="340"/>
      <c r="D565" s="341"/>
      <c r="E565" s="342"/>
      <c r="F565" s="343"/>
      <c r="G565" s="341"/>
      <c r="H565" s="194"/>
    </row>
    <row r="566" spans="1:8" x14ac:dyDescent="0.25">
      <c r="A566" s="339"/>
      <c r="B566" s="340"/>
      <c r="C566" s="340"/>
      <c r="D566" s="341"/>
      <c r="E566" s="342"/>
      <c r="F566" s="343"/>
      <c r="G566" s="341"/>
      <c r="H566" s="194"/>
    </row>
    <row r="567" spans="1:8" x14ac:dyDescent="0.25">
      <c r="A567" s="339"/>
      <c r="B567" s="340"/>
      <c r="C567" s="340"/>
      <c r="D567" s="341"/>
      <c r="E567" s="342"/>
      <c r="F567" s="343"/>
      <c r="G567" s="341"/>
      <c r="H567" s="194"/>
    </row>
    <row r="568" spans="1:8" x14ac:dyDescent="0.25">
      <c r="A568" s="339"/>
      <c r="B568" s="340"/>
      <c r="C568" s="340"/>
      <c r="D568" s="341"/>
      <c r="E568" s="342"/>
      <c r="F568" s="343"/>
      <c r="G568" s="341"/>
      <c r="H568" s="194"/>
    </row>
    <row r="569" spans="1:8" x14ac:dyDescent="0.25">
      <c r="A569" s="339"/>
      <c r="B569" s="340"/>
      <c r="C569" s="340"/>
      <c r="D569" s="341"/>
      <c r="E569" s="342"/>
      <c r="F569" s="343"/>
      <c r="G569" s="341"/>
      <c r="H569" s="194"/>
    </row>
    <row r="570" spans="1:8" x14ac:dyDescent="0.25">
      <c r="A570" s="339"/>
      <c r="B570" s="340"/>
      <c r="C570" s="340"/>
      <c r="D570" s="341"/>
      <c r="E570" s="342"/>
      <c r="F570" s="343"/>
      <c r="G570" s="341"/>
      <c r="H570" s="194"/>
    </row>
    <row r="571" spans="1:8" x14ac:dyDescent="0.25">
      <c r="A571" s="339"/>
      <c r="B571" s="340"/>
      <c r="C571" s="340"/>
      <c r="D571" s="341"/>
      <c r="E571" s="342"/>
      <c r="F571" s="343"/>
      <c r="G571" s="341"/>
      <c r="H571" s="194"/>
    </row>
    <row r="572" spans="1:8" x14ac:dyDescent="0.25">
      <c r="A572" s="339"/>
      <c r="B572" s="340"/>
      <c r="C572" s="340"/>
      <c r="D572" s="341"/>
      <c r="E572" s="342"/>
      <c r="F572" s="343"/>
      <c r="G572" s="341"/>
      <c r="H572" s="194"/>
    </row>
    <row r="573" spans="1:8" x14ac:dyDescent="0.25">
      <c r="A573" s="339"/>
      <c r="B573" s="340"/>
      <c r="C573" s="340"/>
      <c r="D573" s="341"/>
      <c r="E573" s="342"/>
      <c r="F573" s="343"/>
      <c r="G573" s="341"/>
      <c r="H573" s="194"/>
    </row>
    <row r="574" spans="1:8" x14ac:dyDescent="0.25">
      <c r="A574" s="339"/>
      <c r="B574" s="340"/>
      <c r="C574" s="340"/>
      <c r="D574" s="341"/>
      <c r="E574" s="342"/>
      <c r="F574" s="343"/>
      <c r="G574" s="341"/>
      <c r="H574" s="194"/>
    </row>
    <row r="575" spans="1:8" x14ac:dyDescent="0.25">
      <c r="A575" s="339"/>
      <c r="B575" s="340"/>
      <c r="C575" s="340"/>
      <c r="D575" s="341"/>
      <c r="E575" s="342"/>
      <c r="F575" s="343"/>
      <c r="G575" s="341"/>
      <c r="H575" s="194"/>
    </row>
    <row r="576" spans="1:8" x14ac:dyDescent="0.25">
      <c r="A576" s="339"/>
      <c r="B576" s="340"/>
      <c r="C576" s="340"/>
      <c r="D576" s="341"/>
      <c r="E576" s="342"/>
      <c r="F576" s="343"/>
      <c r="G576" s="341"/>
      <c r="H576" s="194"/>
    </row>
    <row r="577" spans="1:8" x14ac:dyDescent="0.25">
      <c r="A577" s="339"/>
      <c r="B577" s="340"/>
      <c r="C577" s="340"/>
      <c r="D577" s="341"/>
      <c r="E577" s="342"/>
      <c r="F577" s="343"/>
      <c r="G577" s="341"/>
      <c r="H577" s="194"/>
    </row>
    <row r="578" spans="1:8" x14ac:dyDescent="0.25">
      <c r="A578" s="339"/>
      <c r="B578" s="340"/>
      <c r="C578" s="340"/>
      <c r="D578" s="341"/>
      <c r="E578" s="342"/>
      <c r="F578" s="343"/>
      <c r="G578" s="341"/>
      <c r="H578" s="194"/>
    </row>
    <row r="579" spans="1:8" x14ac:dyDescent="0.25">
      <c r="A579" s="339"/>
      <c r="B579" s="340"/>
      <c r="C579" s="340"/>
      <c r="D579" s="341"/>
      <c r="E579" s="342"/>
      <c r="F579" s="343"/>
      <c r="G579" s="341"/>
      <c r="H579" s="194"/>
    </row>
    <row r="580" spans="1:8" x14ac:dyDescent="0.25">
      <c r="A580" s="339"/>
      <c r="B580" s="340"/>
      <c r="C580" s="340"/>
      <c r="D580" s="341"/>
      <c r="E580" s="342"/>
      <c r="F580" s="343"/>
      <c r="G580" s="341"/>
      <c r="H580" s="194"/>
    </row>
    <row r="581" spans="1:8" x14ac:dyDescent="0.25">
      <c r="A581" s="339"/>
      <c r="B581" s="340"/>
      <c r="C581" s="340"/>
      <c r="D581" s="341"/>
      <c r="E581" s="342"/>
      <c r="F581" s="343"/>
      <c r="G581" s="341"/>
      <c r="H581" s="194"/>
    </row>
    <row r="582" spans="1:8" x14ac:dyDescent="0.25">
      <c r="A582" s="339"/>
      <c r="B582" s="340"/>
      <c r="C582" s="340"/>
      <c r="D582" s="341"/>
      <c r="E582" s="342"/>
      <c r="F582" s="343"/>
      <c r="G582" s="341"/>
      <c r="H582" s="194"/>
    </row>
    <row r="583" spans="1:8" x14ac:dyDescent="0.25">
      <c r="A583" s="339"/>
      <c r="B583" s="340"/>
      <c r="C583" s="340"/>
      <c r="D583" s="341"/>
      <c r="E583" s="342"/>
      <c r="F583" s="343"/>
      <c r="G583" s="341"/>
      <c r="H583" s="194"/>
    </row>
    <row r="584" spans="1:8" x14ac:dyDescent="0.25">
      <c r="A584" s="339"/>
      <c r="B584" s="340"/>
      <c r="C584" s="340"/>
      <c r="D584" s="341"/>
      <c r="E584" s="342"/>
      <c r="F584" s="343"/>
      <c r="G584" s="341"/>
      <c r="H584" s="194"/>
    </row>
    <row r="585" spans="1:8" x14ac:dyDescent="0.25">
      <c r="A585" s="339"/>
      <c r="B585" s="340"/>
      <c r="C585" s="340"/>
      <c r="D585" s="341"/>
      <c r="E585" s="342"/>
      <c r="F585" s="343"/>
      <c r="G585" s="341"/>
      <c r="H585" s="194"/>
    </row>
    <row r="586" spans="1:8" x14ac:dyDescent="0.25">
      <c r="A586" s="339"/>
      <c r="B586" s="340"/>
      <c r="C586" s="340"/>
      <c r="D586" s="341"/>
      <c r="E586" s="342"/>
      <c r="F586" s="343"/>
      <c r="G586" s="341"/>
      <c r="H586" s="194"/>
    </row>
    <row r="587" spans="1:8" x14ac:dyDescent="0.25">
      <c r="A587" s="339"/>
      <c r="B587" s="340"/>
      <c r="C587" s="340"/>
      <c r="D587" s="341"/>
      <c r="E587" s="342"/>
      <c r="F587" s="343"/>
      <c r="G587" s="341"/>
      <c r="H587" s="194"/>
    </row>
    <row r="588" spans="1:8" x14ac:dyDescent="0.25">
      <c r="A588" s="339"/>
      <c r="B588" s="340"/>
      <c r="C588" s="340"/>
      <c r="D588" s="341"/>
      <c r="E588" s="342"/>
      <c r="F588" s="343"/>
      <c r="G588" s="341"/>
      <c r="H588" s="194"/>
    </row>
    <row r="589" spans="1:8" x14ac:dyDescent="0.25">
      <c r="A589" s="339"/>
      <c r="B589" s="340"/>
      <c r="C589" s="340"/>
      <c r="D589" s="341"/>
      <c r="E589" s="342"/>
      <c r="F589" s="343"/>
      <c r="G589" s="341"/>
      <c r="H589" s="194"/>
    </row>
  </sheetData>
  <mergeCells count="4">
    <mergeCell ref="A1:F1"/>
    <mergeCell ref="A2:F2"/>
    <mergeCell ref="A5:A6"/>
    <mergeCell ref="A219:A220"/>
  </mergeCells>
  <conditionalFormatting sqref="A297">
    <cfRule type="cellIs" dxfId="371" priority="55" operator="equal">
      <formula>"x"</formula>
    </cfRule>
  </conditionalFormatting>
  <conditionalFormatting sqref="D119:D120 D122:D124 D28:D50 D56 D52:D53 D26">
    <cfRule type="cellIs" dxfId="370" priority="54" operator="notEqual">
      <formula>#REF!</formula>
    </cfRule>
  </conditionalFormatting>
  <conditionalFormatting sqref="A297">
    <cfRule type="iconSet" priority="53">
      <iconSet iconSet="3Flags" showValue="0">
        <cfvo type="percent" val="0"/>
        <cfvo type="num" val="0"/>
        <cfvo type="num" val="1"/>
      </iconSet>
    </cfRule>
  </conditionalFormatting>
  <conditionalFormatting sqref="D132:D136 D138:D158">
    <cfRule type="cellIs" dxfId="369" priority="52" operator="notEqual">
      <formula>#REF!</formula>
    </cfRule>
  </conditionalFormatting>
  <conditionalFormatting sqref="D127:D128">
    <cfRule type="cellIs" dxfId="368" priority="50" operator="notEqual">
      <formula>#REF!</formula>
    </cfRule>
  </conditionalFormatting>
  <conditionalFormatting sqref="D130">
    <cfRule type="cellIs" dxfId="367" priority="49" operator="notEqual">
      <formula>#REF!</formula>
    </cfRule>
  </conditionalFormatting>
  <conditionalFormatting sqref="D121 D131:D132 D151">
    <cfRule type="cellIs" dxfId="366" priority="48" operator="notEqual">
      <formula>#REF!</formula>
    </cfRule>
  </conditionalFormatting>
  <conditionalFormatting sqref="D137">
    <cfRule type="cellIs" dxfId="365" priority="47" operator="notEqual">
      <formula>#REF!</formula>
    </cfRule>
  </conditionalFormatting>
  <conditionalFormatting sqref="D148:D150">
    <cfRule type="cellIs" dxfId="364" priority="43" operator="notEqual">
      <formula>#REF!</formula>
    </cfRule>
  </conditionalFormatting>
  <conditionalFormatting sqref="D133:D135">
    <cfRule type="cellIs" dxfId="363" priority="41" operator="notEqual">
      <formula>#REF!</formula>
    </cfRule>
  </conditionalFormatting>
  <conditionalFormatting sqref="D136">
    <cfRule type="cellIs" dxfId="362" priority="40" operator="notEqual">
      <formula>#REF!</formula>
    </cfRule>
  </conditionalFormatting>
  <conditionalFormatting sqref="D137">
    <cfRule type="cellIs" dxfId="361" priority="38" operator="notEqual">
      <formula>#REF!</formula>
    </cfRule>
  </conditionalFormatting>
  <conditionalFormatting sqref="D139">
    <cfRule type="cellIs" dxfId="360" priority="37" operator="notEqual">
      <formula>#REF!</formula>
    </cfRule>
  </conditionalFormatting>
  <conditionalFormatting sqref="D138">
    <cfRule type="cellIs" dxfId="359" priority="36" operator="notEqual">
      <formula>#REF!</formula>
    </cfRule>
  </conditionalFormatting>
  <conditionalFormatting sqref="D140:D141">
    <cfRule type="cellIs" dxfId="358" priority="35" operator="notEqual">
      <formula>#REF!</formula>
    </cfRule>
  </conditionalFormatting>
  <conditionalFormatting sqref="D139">
    <cfRule type="cellIs" dxfId="357" priority="34" operator="notEqual">
      <formula>#REF!</formula>
    </cfRule>
  </conditionalFormatting>
  <conditionalFormatting sqref="D51">
    <cfRule type="cellIs" dxfId="356" priority="33" operator="notEqual">
      <formula>#REF!</formula>
    </cfRule>
  </conditionalFormatting>
  <conditionalFormatting sqref="J121">
    <cfRule type="cellIs" dxfId="355" priority="32" operator="notEqual">
      <formula>#REF!</formula>
    </cfRule>
  </conditionalFormatting>
  <conditionalFormatting sqref="J120">
    <cfRule type="cellIs" dxfId="354" priority="31" operator="notEqual">
      <formula>#REF!</formula>
    </cfRule>
  </conditionalFormatting>
  <conditionalFormatting sqref="J138:J139">
    <cfRule type="cellIs" dxfId="353" priority="30" operator="notEqual">
      <formula>#REF!</formula>
    </cfRule>
  </conditionalFormatting>
  <conditionalFormatting sqref="J138">
    <cfRule type="cellIs" dxfId="352" priority="29" operator="notEqual">
      <formula>#REF!</formula>
    </cfRule>
  </conditionalFormatting>
  <conditionalFormatting sqref="J139">
    <cfRule type="cellIs" dxfId="351" priority="28" operator="notEqual">
      <formula>#REF!</formula>
    </cfRule>
  </conditionalFormatting>
  <conditionalFormatting sqref="J138">
    <cfRule type="cellIs" dxfId="350" priority="27" operator="notEqual">
      <formula>#REF!</formula>
    </cfRule>
  </conditionalFormatting>
  <conditionalFormatting sqref="D133:D134">
    <cfRule type="cellIs" dxfId="349" priority="25" operator="notEqual">
      <formula>#REF!</formula>
    </cfRule>
  </conditionalFormatting>
  <conditionalFormatting sqref="D136">
    <cfRule type="cellIs" dxfId="348" priority="24" operator="notEqual">
      <formula>#REF!</formula>
    </cfRule>
  </conditionalFormatting>
  <conditionalFormatting sqref="D147">
    <cfRule type="cellIs" dxfId="347" priority="22" operator="notEqual">
      <formula>#REF!</formula>
    </cfRule>
  </conditionalFormatting>
  <conditionalFormatting sqref="D137">
    <cfRule type="cellIs" dxfId="346" priority="21" operator="notEqual">
      <formula>#REF!</formula>
    </cfRule>
  </conditionalFormatting>
  <conditionalFormatting sqref="D139">
    <cfRule type="cellIs" dxfId="345" priority="20" operator="notEqual">
      <formula>#REF!</formula>
    </cfRule>
  </conditionalFormatting>
  <conditionalFormatting sqref="D138">
    <cfRule type="cellIs" dxfId="344" priority="19" operator="notEqual">
      <formula>#REF!</formula>
    </cfRule>
  </conditionalFormatting>
  <conditionalFormatting sqref="D158">
    <cfRule type="cellIs" dxfId="343" priority="18" operator="notEqual">
      <formula>#REF!</formula>
    </cfRule>
  </conditionalFormatting>
  <conditionalFormatting sqref="D137:D138 D140:D142">
    <cfRule type="cellIs" dxfId="342" priority="17" operator="notEqual">
      <formula>#REF!</formula>
    </cfRule>
  </conditionalFormatting>
  <conditionalFormatting sqref="D143:D145">
    <cfRule type="cellIs" dxfId="341" priority="16" operator="notEqual">
      <formula>#REF!</formula>
    </cfRule>
  </conditionalFormatting>
  <conditionalFormatting sqref="D146">
    <cfRule type="cellIs" dxfId="340" priority="15" operator="notEqual">
      <formula>#REF!</formula>
    </cfRule>
  </conditionalFormatting>
  <conditionalFormatting sqref="D139">
    <cfRule type="cellIs" dxfId="339" priority="14" operator="notEqual">
      <formula>#REF!</formula>
    </cfRule>
  </conditionalFormatting>
  <conditionalFormatting sqref="D147">
    <cfRule type="cellIs" dxfId="338" priority="13" operator="notEqual">
      <formula>#REF!</formula>
    </cfRule>
  </conditionalFormatting>
  <conditionalFormatting sqref="D148:D150">
    <cfRule type="cellIs" dxfId="337" priority="11" operator="notEqual">
      <formula>#REF!</formula>
    </cfRule>
  </conditionalFormatting>
  <conditionalFormatting sqref="J148:J150">
    <cfRule type="cellIs" dxfId="336" priority="6" operator="notEqual">
      <formula>#REF!</formula>
    </cfRule>
  </conditionalFormatting>
  <conditionalFormatting sqref="J148:J150">
    <cfRule type="cellIs" dxfId="335" priority="5" operator="notEqual">
      <formula>#REF!</formula>
    </cfRule>
  </conditionalFormatting>
  <conditionalFormatting sqref="J148:J150">
    <cfRule type="cellIs" dxfId="334" priority="3" operator="notEqual">
      <formula>#REF!</formula>
    </cfRule>
  </conditionalFormatting>
  <conditionalFormatting sqref="D125:D126">
    <cfRule type="cellIs" dxfId="333" priority="2" operator="notEqual">
      <formula>#REF!</formula>
    </cfRule>
  </conditionalFormatting>
  <conditionalFormatting sqref="D54:D55">
    <cfRule type="cellIs" dxfId="332" priority="1" operator="notEqual">
      <formula>#REF!</formula>
    </cfRule>
  </conditionalFormatting>
  <pageMargins left="0.7" right="0.7" top="0.78740157499999996" bottom="0.78740157499999996" header="0.3" footer="0.3"/>
  <legacy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K498"/>
  <sheetViews>
    <sheetView topLeftCell="A5" zoomScale="115" zoomScaleNormal="115" workbookViewId="0">
      <selection activeCell="K495" sqref="K495"/>
    </sheetView>
  </sheetViews>
  <sheetFormatPr defaultRowHeight="12.75" x14ac:dyDescent="0.2"/>
  <cols>
    <col min="1" max="1" width="60.5703125" bestFit="1" customWidth="1"/>
    <col min="2" max="2" width="26.140625" bestFit="1" customWidth="1"/>
    <col min="3" max="3" width="17.7109375" customWidth="1"/>
    <col min="4" max="4" width="11.140625" bestFit="1" customWidth="1"/>
    <col min="5" max="5" width="15.42578125" bestFit="1" customWidth="1"/>
  </cols>
  <sheetData>
    <row r="2" spans="1:5" ht="13.5" thickBot="1" x14ac:dyDescent="0.25">
      <c r="A2">
        <v>13</v>
      </c>
    </row>
    <row r="3" spans="1:5" x14ac:dyDescent="0.2">
      <c r="B3" s="682" t="s">
        <v>71</v>
      </c>
      <c r="C3" s="683"/>
      <c r="D3" s="151" t="s">
        <v>3</v>
      </c>
      <c r="E3" s="146" t="s">
        <v>4</v>
      </c>
    </row>
    <row r="4" spans="1:5" ht="13.5" thickBot="1" x14ac:dyDescent="0.25">
      <c r="B4" s="684" t="str">
        <f>INDEX($A$16:$A$28,A2)</f>
        <v>4232 Investiční přijaté transfery od mezinárodních institucí</v>
      </c>
      <c r="C4" s="685"/>
      <c r="D4" s="124">
        <f>SUMIF('MB 8'!F7:F483,INDEX('MB 8'!B496:B508,$A$2),'MB 8'!$C$7:$C$483)</f>
        <v>0</v>
      </c>
      <c r="E4" s="124">
        <f>SUMIF('MB 8'!F$7:F$483, INDEX('MB 8'!$B496:$B508,$A$2),'MB 8'!$D7:$D483)</f>
        <v>0</v>
      </c>
    </row>
    <row r="14" spans="1:5" ht="13.5" thickBot="1" x14ac:dyDescent="0.25"/>
    <row r="15" spans="1:5" ht="13.5" thickBot="1" x14ac:dyDescent="0.25">
      <c r="A15" s="127" t="s">
        <v>71</v>
      </c>
      <c r="B15" s="152" t="s">
        <v>90</v>
      </c>
      <c r="C15" s="153" t="s">
        <v>4</v>
      </c>
    </row>
    <row r="16" spans="1:5" x14ac:dyDescent="0.2">
      <c r="A16" s="125" t="s">
        <v>70</v>
      </c>
      <c r="B16" s="126">
        <f>+SUMIF('MB 8'!$F$7:$F$483,'MB 8'!$B496,'MB 8'!$C$7:$C$483)</f>
        <v>0</v>
      </c>
      <c r="C16" s="126">
        <f>+SUMIF('MB 8'!$F$7:$F$483,'MB 8'!$B496,'MB 8'!$D$7:$D$483)</f>
        <v>0</v>
      </c>
    </row>
    <row r="17" spans="1:3" x14ac:dyDescent="0.2">
      <c r="A17" s="123" t="s">
        <v>87</v>
      </c>
      <c r="B17" s="126">
        <f>+SUMIF('MB 8'!$F$7:$F$495,'MB 8'!$B497,'MB 8'!$C$7:$C$495)</f>
        <v>5947.4719100000011</v>
      </c>
      <c r="C17" s="126">
        <f>+SUMIF('MB 8'!$F$7:$F$483,'MB 8'!$B497,'MB 8'!$D$7:$D$483)</f>
        <v>2804598.7600000002</v>
      </c>
    </row>
    <row r="18" spans="1:3" x14ac:dyDescent="0.2">
      <c r="A18" s="123" t="s">
        <v>88</v>
      </c>
      <c r="B18" s="126">
        <f>+SUMIF('MB 8'!$F$7:$F$483,'MB 8'!$B498,'MB 8'!$C$7:$C$483)</f>
        <v>135365.02752999999</v>
      </c>
      <c r="C18" s="126">
        <f>+SUMIF('MB 8'!$F$7:$F$483,'MB 8'!$B498,'MB 8'!$D$7:$D$483)</f>
        <v>141060468.27000001</v>
      </c>
    </row>
    <row r="19" spans="1:3" x14ac:dyDescent="0.2">
      <c r="A19" s="123" t="s">
        <v>89</v>
      </c>
      <c r="B19" s="126">
        <f>+SUMIF('MB 8'!$F$7:$F$483,'MB 8'!$B499,'MB 8'!$C$7:$C$483)</f>
        <v>113137.30556000001</v>
      </c>
      <c r="C19" s="126">
        <f>+SUMIF('MB 8'!$F$7:$F$483,'MB 8'!$B499,'MB 8'!$D$7:$D$483)</f>
        <v>113137305.56</v>
      </c>
    </row>
    <row r="20" spans="1:3" x14ac:dyDescent="0.2">
      <c r="A20" s="123" t="s">
        <v>72</v>
      </c>
      <c r="B20" s="126">
        <f>+SUMIF('MB 8'!$F$7:$F$483,'MB 8'!$B500,'MB 8'!$C$7:$C$483)</f>
        <v>1808.6522100000002</v>
      </c>
      <c r="C20" s="126">
        <f>+SUMIF('MB 8'!$F$7:$F$483,'MB 8'!$B500,'MB 8'!$D$7:$D$483)</f>
        <v>1808652.21</v>
      </c>
    </row>
    <row r="21" spans="1:3" x14ac:dyDescent="0.2">
      <c r="A21" s="123" t="s">
        <v>73</v>
      </c>
      <c r="B21" s="126">
        <f>+SUMIF('MB 8'!$F$7:$F$483,'MB 8'!$B501,'MB 8'!$C$7:$C$483)</f>
        <v>582</v>
      </c>
      <c r="C21" s="126">
        <f>+SUMIF('MB 8'!$F$7:$F$483,'MB 8'!$B501,'MB 8'!$D$7:$D$483)</f>
        <v>2400018.1000000006</v>
      </c>
    </row>
    <row r="22" spans="1:3" x14ac:dyDescent="0.2">
      <c r="A22" s="123" t="s">
        <v>74</v>
      </c>
      <c r="B22" s="126">
        <f>+SUMIF('MB 8'!$F$7:$F$483,'MB 8'!$B502,'MB 8'!$C$7:$C$483)</f>
        <v>1203.8456900000001</v>
      </c>
      <c r="C22" s="126">
        <f>+SUMIF('MB 8'!$F$7:$F$483,'MB 8'!$B502,'MB 8'!$D$7:$D$483)</f>
        <v>1636925.7200000002</v>
      </c>
    </row>
    <row r="23" spans="1:3" x14ac:dyDescent="0.2">
      <c r="A23" s="123" t="s">
        <v>75</v>
      </c>
      <c r="B23" s="126">
        <f>+SUMIF('MB 8'!$F$7:$F$483,'MB 8'!$B503,'MB 8'!$C$7:$C$483)</f>
        <v>39793.483189999999</v>
      </c>
      <c r="C23" s="126">
        <f>+SUMIF('MB 8'!$F$7:$F$483,'MB 8'!$B503,'MB 8'!$D$7:$D$483)</f>
        <v>47255844.200000003</v>
      </c>
    </row>
    <row r="24" spans="1:3" x14ac:dyDescent="0.2">
      <c r="A24" s="123" t="s">
        <v>86</v>
      </c>
      <c r="B24" s="126">
        <f>+SUMIF('MB 8'!$F$7:$F$483,'MB 8'!$B504,'MB 8'!$C$7:$C$483)</f>
        <v>1520</v>
      </c>
      <c r="C24" s="126">
        <f>+SUMIF('MB 8'!$F$7:$F$483,'MB 8'!$B504,'MB 8'!$D$7:$D$483)</f>
        <v>2720000</v>
      </c>
    </row>
    <row r="25" spans="1:3" x14ac:dyDescent="0.2">
      <c r="A25" s="123" t="s">
        <v>76</v>
      </c>
      <c r="B25" s="126">
        <f>+SUMIF('MB 8'!$F$7:$F$483,'MB 8'!$B505,'MB 8'!$C$7:$C$483)</f>
        <v>87703.473750000005</v>
      </c>
      <c r="C25" s="126">
        <f>+SUMIF('MB 8'!$F$7:$F$483,'MB 8'!$B505,'MB 8'!$D$7:$D$483)</f>
        <v>97280792.209999993</v>
      </c>
    </row>
    <row r="26" spans="1:3" x14ac:dyDescent="0.2">
      <c r="A26" s="123" t="s">
        <v>77</v>
      </c>
      <c r="B26" s="126">
        <f>+SUMIF('MB 8'!$F$7:$F$483,'MB 8'!$B506,'MB 8'!$C$7:$C$483)</f>
        <v>0</v>
      </c>
      <c r="C26" s="126">
        <f>+SUMIF('MB 8'!$F$7:$F$483,'MB 8'!$B506,'MB 8'!$D$7:$D$483)</f>
        <v>876199.86</v>
      </c>
    </row>
    <row r="27" spans="1:3" x14ac:dyDescent="0.2">
      <c r="A27" s="123" t="s">
        <v>78</v>
      </c>
      <c r="B27" s="126">
        <f>+SUMIF('MB 8'!$F$7:$F$483,'MB 8'!#REF!,'MB 8'!$C$7:$C$483)</f>
        <v>0</v>
      </c>
      <c r="C27" s="126">
        <f>+SUMIF('MB 8'!$F$7:$F$483,'MB 8'!#REF!,'MB 8'!$D$7:$D$483)</f>
        <v>0</v>
      </c>
    </row>
    <row r="28" spans="1:3" ht="13.5" thickBot="1" x14ac:dyDescent="0.25">
      <c r="A28" s="148" t="s">
        <v>263</v>
      </c>
      <c r="B28" s="126">
        <f>+SUMIF('MB 8'!$F$7:$F$483,'MB 8'!#REF!,'MB 8'!$C$7:$C$483)</f>
        <v>0</v>
      </c>
      <c r="C28" s="126">
        <f>+SUMIF('MB 8'!$F$7:$F$483,'MB 8'!#REF!,'MB 8'!$D$7:$D$483)</f>
        <v>0</v>
      </c>
    </row>
    <row r="29" spans="1:3" s="147" customFormat="1" ht="13.5" thickBot="1" x14ac:dyDescent="0.25">
      <c r="A29" s="127" t="s">
        <v>85</v>
      </c>
      <c r="B29" s="128">
        <f>+SUM(B16:B28)</f>
        <v>387061.25983999996</v>
      </c>
      <c r="C29" s="129">
        <f>+SUM(C16:C28)</f>
        <v>410980804.88999999</v>
      </c>
    </row>
    <row r="32" spans="1:3" x14ac:dyDescent="0.2">
      <c r="B32" s="178"/>
      <c r="C32" s="178"/>
    </row>
    <row r="364" spans="4:4" x14ac:dyDescent="0.2">
      <c r="D364" s="414"/>
    </row>
    <row r="365" spans="4:4" x14ac:dyDescent="0.2">
      <c r="D365" s="414"/>
    </row>
    <row r="366" spans="4:4" x14ac:dyDescent="0.2">
      <c r="D366" s="414"/>
    </row>
    <row r="367" spans="4:4" x14ac:dyDescent="0.2">
      <c r="D367" s="414"/>
    </row>
    <row r="368" spans="4:4" x14ac:dyDescent="0.2">
      <c r="D368" s="414"/>
    </row>
    <row r="369" spans="3:4" x14ac:dyDescent="0.2">
      <c r="D369" s="414"/>
    </row>
    <row r="370" spans="3:4" x14ac:dyDescent="0.2">
      <c r="D370" s="414"/>
    </row>
    <row r="371" spans="3:4" x14ac:dyDescent="0.2">
      <c r="D371" s="414"/>
    </row>
    <row r="372" spans="3:4" x14ac:dyDescent="0.2">
      <c r="C372">
        <v>19.5185</v>
      </c>
      <c r="D372" s="414"/>
    </row>
    <row r="373" spans="3:4" x14ac:dyDescent="0.2">
      <c r="D373" s="414"/>
    </row>
    <row r="374" spans="3:4" x14ac:dyDescent="0.2">
      <c r="D374" s="414"/>
    </row>
    <row r="375" spans="3:4" x14ac:dyDescent="0.2">
      <c r="D375" s="414"/>
    </row>
    <row r="376" spans="3:4" x14ac:dyDescent="0.2">
      <c r="D376" s="414"/>
    </row>
    <row r="389" spans="3:8" x14ac:dyDescent="0.2">
      <c r="C389">
        <v>1.42302</v>
      </c>
    </row>
    <row r="391" spans="3:8" x14ac:dyDescent="0.2">
      <c r="H391" s="414"/>
    </row>
    <row r="392" spans="3:8" x14ac:dyDescent="0.2">
      <c r="H392" s="414"/>
    </row>
    <row r="393" spans="3:8" x14ac:dyDescent="0.2">
      <c r="H393" s="414"/>
    </row>
    <row r="394" spans="3:8" x14ac:dyDescent="0.2">
      <c r="H394" s="414"/>
    </row>
    <row r="395" spans="3:8" x14ac:dyDescent="0.2">
      <c r="H395" s="414"/>
    </row>
    <row r="396" spans="3:8" x14ac:dyDescent="0.2">
      <c r="H396" s="414"/>
    </row>
    <row r="423" spans="3:3" x14ac:dyDescent="0.2">
      <c r="C423">
        <v>24.19134</v>
      </c>
    </row>
    <row r="489" spans="8:11" x14ac:dyDescent="0.2">
      <c r="H489">
        <f>27388800*9</f>
        <v>246499200</v>
      </c>
    </row>
    <row r="494" spans="8:11" x14ac:dyDescent="0.2">
      <c r="J494">
        <v>60000</v>
      </c>
      <c r="K494" t="s">
        <v>412</v>
      </c>
    </row>
    <row r="497" spans="10:10" x14ac:dyDescent="0.2">
      <c r="J497">
        <f>SUM(J488:J496)</f>
        <v>60000</v>
      </c>
    </row>
    <row r="498" spans="10:10" x14ac:dyDescent="0.2">
      <c r="J498">
        <f>+H494+J497</f>
        <v>60000</v>
      </c>
    </row>
  </sheetData>
  <mergeCells count="2">
    <mergeCell ref="B3:C3"/>
    <mergeCell ref="B4:C4"/>
  </mergeCells>
  <pageMargins left="0.7" right="0.7" top="0.78740157499999996" bottom="0.78740157499999996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1137" r:id="rId3" name="Drop Down 1">
              <controlPr defaultSize="0" autoLine="0" autoPict="0">
                <anchor moveWithCells="1">
                  <from>
                    <xdr:col>0</xdr:col>
                    <xdr:colOff>47625</xdr:colOff>
                    <xdr:row>6</xdr:row>
                    <xdr:rowOff>0</xdr:rowOff>
                  </from>
                  <to>
                    <xdr:col>0</xdr:col>
                    <xdr:colOff>2695575</xdr:colOff>
                    <xdr:row>11</xdr:row>
                    <xdr:rowOff>104775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E29"/>
  <sheetViews>
    <sheetView workbookViewId="0">
      <selection activeCell="I23" sqref="I23"/>
    </sheetView>
  </sheetViews>
  <sheetFormatPr defaultRowHeight="12.75" x14ac:dyDescent="0.2"/>
  <cols>
    <col min="1" max="1" width="60.5703125" bestFit="1" customWidth="1"/>
    <col min="2" max="2" width="26.140625" bestFit="1" customWidth="1"/>
    <col min="3" max="3" width="17.7109375" customWidth="1"/>
    <col min="4" max="4" width="11.140625" bestFit="1" customWidth="1"/>
    <col min="5" max="5" width="15.42578125" bestFit="1" customWidth="1"/>
  </cols>
  <sheetData>
    <row r="2" spans="1:5" ht="13.5" thickBot="1" x14ac:dyDescent="0.25">
      <c r="A2">
        <v>10</v>
      </c>
    </row>
    <row r="3" spans="1:5" x14ac:dyDescent="0.2">
      <c r="B3" s="682" t="s">
        <v>71</v>
      </c>
      <c r="C3" s="683"/>
      <c r="D3" s="151" t="s">
        <v>3</v>
      </c>
      <c r="E3" s="146" t="s">
        <v>4</v>
      </c>
    </row>
    <row r="4" spans="1:5" ht="13.5" thickBot="1" x14ac:dyDescent="0.25">
      <c r="B4" s="684" t="str">
        <f>INDEX($A$16:$A$27,A2)</f>
        <v>4216 Ostatní investiční přijaté transfery ze státního rozpočtu</v>
      </c>
      <c r="C4" s="685"/>
      <c r="D4" s="124">
        <f>SUMIF('MB 1-2'!F7:F474,INDEX('MB 1-2'!B488:B500,$A$2),'MB 1-2'!$C$7:$C$474)</f>
        <v>0</v>
      </c>
      <c r="E4" s="124">
        <f>SUMIF('MB 1-2'!F$7:F$474, INDEX('MB 1-2'!$B488:$B500,$A$2),'MB 1-2'!$D7:$D474)</f>
        <v>5171285.2200000007</v>
      </c>
    </row>
    <row r="14" spans="1:5" ht="13.5" thickBot="1" x14ac:dyDescent="0.25"/>
    <row r="15" spans="1:5" ht="13.5" thickBot="1" x14ac:dyDescent="0.25">
      <c r="A15" s="127" t="s">
        <v>71</v>
      </c>
      <c r="B15" s="152" t="s">
        <v>90</v>
      </c>
      <c r="C15" s="153" t="s">
        <v>4</v>
      </c>
    </row>
    <row r="16" spans="1:5" x14ac:dyDescent="0.2">
      <c r="A16" s="125" t="s">
        <v>70</v>
      </c>
      <c r="B16" s="126">
        <f>+SUMIF('MB 1-2'!$F$7:$F$474,'MB 1-2'!$B488,'MB 1-2'!$C$7:$C$474)</f>
        <v>0</v>
      </c>
      <c r="C16" s="126">
        <f>+SUMIF('MB 1-2'!$F$7:$F$474,'MB 1-2'!$B488,'MB 1-2'!$D$7:$D$474)</f>
        <v>0</v>
      </c>
    </row>
    <row r="17" spans="1:3" x14ac:dyDescent="0.2">
      <c r="A17" s="123" t="s">
        <v>87</v>
      </c>
      <c r="B17" s="126">
        <f>+SUMIF('MB 1-2'!$F$7:$F$474,'MB 1-2'!$B489,'MB 1-2'!$C$7:$C$474)</f>
        <v>5906.7448200000008</v>
      </c>
      <c r="C17" s="126">
        <f>+SUMIF('MB 1-2'!$F$7:$F$474,'MB 1-2'!$B489,'MB 1-2'!$D$7:$D$474)</f>
        <v>567737.81999999995</v>
      </c>
    </row>
    <row r="18" spans="1:3" x14ac:dyDescent="0.2">
      <c r="A18" s="123" t="s">
        <v>88</v>
      </c>
      <c r="B18" s="126">
        <f>+SUMIF('MB 1-2'!$F$7:$F$474,'MB 1-2'!$B490,'MB 1-2'!$C$7:$C$474)</f>
        <v>5694</v>
      </c>
      <c r="C18" s="126">
        <f>+SUMIF('MB 1-2'!$F$7:$F$474,'MB 1-2'!$B490,'MB 1-2'!$D$7:$D$474)</f>
        <v>10884883.280000001</v>
      </c>
    </row>
    <row r="19" spans="1:3" x14ac:dyDescent="0.2">
      <c r="A19" s="123" t="s">
        <v>89</v>
      </c>
      <c r="B19" s="126">
        <f>+SUMIF('MB 1-2'!$F$7:$F$474,'MB 1-2'!$B491,'MB 1-2'!$C$7:$C$474)</f>
        <v>0</v>
      </c>
      <c r="C19" s="126">
        <f>+SUMIF('MB 1-2'!$F$7:$F$474,'MB 1-2'!$B491,'MB 1-2'!$D$7:$D$474)</f>
        <v>0</v>
      </c>
    </row>
    <row r="20" spans="1:3" x14ac:dyDescent="0.2">
      <c r="A20" s="123" t="s">
        <v>72</v>
      </c>
      <c r="B20" s="126">
        <f>+SUMIF('MB 1-2'!$F$7:$F$474,'MB 1-2'!$B492,'MB 1-2'!$C$7:$C$474)</f>
        <v>0</v>
      </c>
      <c r="C20" s="126">
        <f>+SUMIF('MB 1-2'!$F$7:$F$474,'MB 1-2'!$B492,'MB 1-2'!$D$7:$D$474)</f>
        <v>1020382.33</v>
      </c>
    </row>
    <row r="21" spans="1:3" x14ac:dyDescent="0.2">
      <c r="A21" s="123" t="s">
        <v>73</v>
      </c>
      <c r="B21" s="126">
        <f>+SUMIF('MB 1-2'!$F$7:$F$474,'MB 1-2'!$B493,'MB 1-2'!$C$7:$C$474)</f>
        <v>0</v>
      </c>
      <c r="C21" s="126">
        <f>+SUMIF('MB 1-2'!$F$7:$F$474,'MB 1-2'!$B493,'MB 1-2'!$D$7:$D$474)</f>
        <v>0</v>
      </c>
    </row>
    <row r="22" spans="1:3" x14ac:dyDescent="0.2">
      <c r="A22" s="123" t="s">
        <v>74</v>
      </c>
      <c r="B22" s="126">
        <f>+SUMIF('MB 1-2'!$F$7:$F$474,'MB 1-2'!$B494,'MB 1-2'!$C$7:$C$474)</f>
        <v>0</v>
      </c>
      <c r="C22" s="126">
        <f>+SUMIF('MB 1-2'!$F$7:$F$474,'MB 1-2'!$B494,'MB 1-2'!$D$7:$D$474)</f>
        <v>0</v>
      </c>
    </row>
    <row r="23" spans="1:3" x14ac:dyDescent="0.2">
      <c r="A23" s="123" t="s">
        <v>75</v>
      </c>
      <c r="B23" s="126">
        <f>+SUMIF('MB 1-2'!$F$7:$F$474,'MB 1-2'!$B495,'MB 1-2'!$C$7:$C$474)</f>
        <v>0</v>
      </c>
      <c r="C23" s="126">
        <f>+SUMIF('MB 1-2'!$F$7:$F$474,'MB 1-2'!$B495,'MB 1-2'!$D$7:$D$474)</f>
        <v>0</v>
      </c>
    </row>
    <row r="24" spans="1:3" x14ac:dyDescent="0.2">
      <c r="A24" s="123" t="s">
        <v>86</v>
      </c>
      <c r="B24" s="126">
        <f>+SUMIF('MB 1-2'!$F$7:$F$474,'MB 1-2'!$B496,'MB 1-2'!$C$7:$C$474)</f>
        <v>0</v>
      </c>
      <c r="C24" s="126">
        <f>+SUMIF('MB 1-2'!$F$7:$F$474,'MB 1-2'!$B496,'MB 1-2'!$D$7:$D$474)</f>
        <v>392034</v>
      </c>
    </row>
    <row r="25" spans="1:3" x14ac:dyDescent="0.2">
      <c r="A25" s="123" t="s">
        <v>76</v>
      </c>
      <c r="B25" s="126">
        <f>+SUMIF('MB 1-2'!$F$7:$F$474,'MB 1-2'!$B497,'MB 1-2'!$C$7:$C$474)</f>
        <v>0</v>
      </c>
      <c r="C25" s="126">
        <f>+SUMIF('MB 1-2'!$F$7:$F$474,'MB 1-2'!$B497,'MB 1-2'!$D$7:$D$474)</f>
        <v>5171285.2200000007</v>
      </c>
    </row>
    <row r="26" spans="1:3" x14ac:dyDescent="0.2">
      <c r="A26" s="123" t="s">
        <v>77</v>
      </c>
      <c r="B26" s="126">
        <f>+SUMIF('MB 1-2'!$F$7:$F$474,'MB 1-2'!$B498,'MB 1-2'!$C$7:$C$474)</f>
        <v>0</v>
      </c>
      <c r="C26" s="126">
        <f>+SUMIF('MB 1-2'!$F$7:$F$474,'MB 1-2'!$B498,'MB 1-2'!$D$7:$D$474)</f>
        <v>0</v>
      </c>
    </row>
    <row r="27" spans="1:3" x14ac:dyDescent="0.2">
      <c r="A27" s="123" t="s">
        <v>78</v>
      </c>
      <c r="B27" s="126">
        <f>+SUMIF('MB 1-2'!$F$7:$F$474,'MB 1-2'!$B499,'MB 1-2'!$C$7:$C$474)</f>
        <v>0</v>
      </c>
      <c r="C27" s="126">
        <f>+SUMIF('MB 1-2'!$F$7:$F$474,'MB 1-2'!$B499,'MB 1-2'!$D$7:$D$474)</f>
        <v>0</v>
      </c>
    </row>
    <row r="28" spans="1:3" ht="13.5" thickBot="1" x14ac:dyDescent="0.25">
      <c r="A28" s="148"/>
      <c r="B28" s="149"/>
      <c r="C28" s="150"/>
    </row>
    <row r="29" spans="1:3" s="147" customFormat="1" ht="13.5" thickBot="1" x14ac:dyDescent="0.25">
      <c r="A29" s="127" t="s">
        <v>85</v>
      </c>
      <c r="B29" s="128">
        <f>+SUM(B16:B28)</f>
        <v>11600.74482</v>
      </c>
      <c r="C29" s="129">
        <f>+SUM(C16:C28)</f>
        <v>18036322.650000002</v>
      </c>
    </row>
  </sheetData>
  <mergeCells count="2">
    <mergeCell ref="B3:C3"/>
    <mergeCell ref="B4:C4"/>
  </mergeCells>
  <pageMargins left="0.7" right="0.7" top="0.78740157499999996" bottom="0.78740157499999996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6865" r:id="rId4" name="Drop Down 1">
              <controlPr defaultSize="0" autoLine="0" autoPict="0">
                <anchor moveWithCells="1">
                  <from>
                    <xdr:col>0</xdr:col>
                    <xdr:colOff>47625</xdr:colOff>
                    <xdr:row>6</xdr:row>
                    <xdr:rowOff>0</xdr:rowOff>
                  </from>
                  <to>
                    <xdr:col>0</xdr:col>
                    <xdr:colOff>2695575</xdr:colOff>
                    <xdr:row>11</xdr:row>
                    <xdr:rowOff>104775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N790"/>
  <sheetViews>
    <sheetView topLeftCell="C88" zoomScale="115" zoomScaleNormal="115" workbookViewId="0">
      <selection activeCell="K495" sqref="K495"/>
    </sheetView>
  </sheetViews>
  <sheetFormatPr defaultColWidth="9.140625" defaultRowHeight="15.75" x14ac:dyDescent="0.25"/>
  <cols>
    <col min="1" max="1" width="11.28515625" style="305" customWidth="1"/>
    <col min="2" max="2" width="93.42578125" style="45" customWidth="1"/>
    <col min="3" max="3" width="17.5703125" style="2" customWidth="1"/>
    <col min="4" max="4" width="16.7109375" style="2" customWidth="1"/>
    <col min="5" max="5" width="16.5703125" style="88" customWidth="1"/>
    <col min="6" max="6" width="17.140625" style="88" customWidth="1"/>
    <col min="7" max="7" width="18.7109375" style="269" customWidth="1"/>
    <col min="8" max="8" width="20.28515625" style="45" bestFit="1" customWidth="1"/>
    <col min="9" max="9" width="25" style="45" bestFit="1" customWidth="1"/>
    <col min="10" max="10" width="18.5703125" style="45" bestFit="1" customWidth="1"/>
    <col min="11" max="11" width="19.42578125" style="45" bestFit="1" customWidth="1"/>
    <col min="12" max="12" width="18.7109375" style="45" bestFit="1" customWidth="1"/>
    <col min="13" max="13" width="14.7109375" style="45" customWidth="1"/>
    <col min="14" max="14" width="9.140625" style="45"/>
    <col min="15" max="15" width="92.140625" style="45" bestFit="1" customWidth="1"/>
    <col min="16" max="16" width="9.140625" style="45"/>
    <col min="17" max="17" width="11" style="45" bestFit="1" customWidth="1"/>
    <col min="18" max="16384" width="9.140625" style="45"/>
  </cols>
  <sheetData>
    <row r="1" spans="1:11" ht="22.5" x14ac:dyDescent="0.3">
      <c r="A1" s="689" t="s">
        <v>0</v>
      </c>
      <c r="B1" s="689"/>
      <c r="C1" s="689"/>
      <c r="D1" s="689"/>
      <c r="E1" s="689"/>
      <c r="F1" s="689"/>
    </row>
    <row r="2" spans="1:11" ht="22.5" x14ac:dyDescent="0.3">
      <c r="A2" s="689" t="s">
        <v>429</v>
      </c>
      <c r="B2" s="689"/>
      <c r="C2" s="689"/>
      <c r="D2" s="689"/>
      <c r="E2" s="689"/>
      <c r="F2" s="689"/>
    </row>
    <row r="3" spans="1:11" ht="22.5" x14ac:dyDescent="0.3">
      <c r="A3" s="413"/>
      <c r="B3" s="270"/>
      <c r="C3" s="162"/>
      <c r="D3" s="420"/>
      <c r="E3" s="420"/>
      <c r="F3" s="420"/>
    </row>
    <row r="4" spans="1:11" ht="23.25" thickBot="1" x14ac:dyDescent="0.35">
      <c r="A4" s="413"/>
      <c r="B4" s="413"/>
      <c r="C4" s="420"/>
      <c r="D4" s="421">
        <v>42277</v>
      </c>
      <c r="E4" s="420"/>
      <c r="F4" s="1"/>
    </row>
    <row r="5" spans="1:11" x14ac:dyDescent="0.25">
      <c r="A5" s="690" t="s">
        <v>193</v>
      </c>
      <c r="B5" s="5"/>
      <c r="C5" s="4"/>
      <c r="D5" s="359"/>
      <c r="E5" s="6"/>
      <c r="F5" s="6"/>
      <c r="G5" s="79"/>
    </row>
    <row r="6" spans="1:11" ht="16.5" thickBot="1" x14ac:dyDescent="0.3">
      <c r="A6" s="691"/>
      <c r="B6" s="10" t="s">
        <v>2</v>
      </c>
      <c r="C6" s="9" t="s">
        <v>3</v>
      </c>
      <c r="D6" s="360" t="s">
        <v>4</v>
      </c>
      <c r="E6" s="11" t="s">
        <v>5</v>
      </c>
      <c r="F6" s="11" t="s">
        <v>6</v>
      </c>
    </row>
    <row r="7" spans="1:11" s="275" customFormat="1" ht="16.5" thickBot="1" x14ac:dyDescent="0.3">
      <c r="A7" s="272"/>
      <c r="B7" s="273" t="s">
        <v>7</v>
      </c>
      <c r="C7" s="14">
        <f>+SUM(C8:C10)</f>
        <v>0</v>
      </c>
      <c r="D7" s="14">
        <f>+SUM(D8:D10)</f>
        <v>0</v>
      </c>
      <c r="E7" s="17"/>
      <c r="F7" s="17"/>
      <c r="G7" s="45"/>
      <c r="H7" s="45"/>
      <c r="I7" s="399" t="s">
        <v>64</v>
      </c>
      <c r="J7" s="400" t="s">
        <v>355</v>
      </c>
      <c r="K7" s="401" t="s">
        <v>359</v>
      </c>
    </row>
    <row r="8" spans="1:11" x14ac:dyDescent="0.25">
      <c r="A8" s="272"/>
      <c r="B8" s="107"/>
      <c r="C8" s="20"/>
      <c r="D8" s="20"/>
      <c r="E8" s="22"/>
      <c r="F8" s="22">
        <v>4111</v>
      </c>
      <c r="G8" s="45"/>
      <c r="I8" s="397"/>
      <c r="J8" s="155"/>
      <c r="K8" s="398"/>
    </row>
    <row r="9" spans="1:11" x14ac:dyDescent="0.25">
      <c r="A9" s="272"/>
      <c r="B9" s="107"/>
      <c r="C9" s="20"/>
      <c r="D9" s="20"/>
      <c r="E9" s="22"/>
      <c r="F9" s="22">
        <v>4111</v>
      </c>
      <c r="G9" s="45"/>
      <c r="I9" s="392"/>
      <c r="J9" s="388"/>
      <c r="K9" s="393"/>
    </row>
    <row r="10" spans="1:11" x14ac:dyDescent="0.25">
      <c r="A10" s="272"/>
      <c r="B10" s="44"/>
      <c r="C10" s="20"/>
      <c r="D10" s="20"/>
      <c r="E10" s="22"/>
      <c r="F10" s="22"/>
      <c r="G10" s="45"/>
      <c r="I10" s="390"/>
      <c r="J10" s="387"/>
      <c r="K10" s="391"/>
    </row>
    <row r="11" spans="1:11" x14ac:dyDescent="0.25">
      <c r="A11" s="272"/>
      <c r="B11" s="276"/>
      <c r="C11" s="20"/>
      <c r="D11" s="20"/>
      <c r="E11" s="22"/>
      <c r="F11" s="22"/>
      <c r="G11" s="45"/>
      <c r="I11" s="390"/>
      <c r="J11" s="387"/>
      <c r="K11" s="391"/>
    </row>
    <row r="12" spans="1:11" x14ac:dyDescent="0.25">
      <c r="A12" s="43"/>
      <c r="B12" s="273" t="s">
        <v>8</v>
      </c>
      <c r="C12" s="26">
        <f>+SUM(C13:C16)</f>
        <v>5902.2090000000007</v>
      </c>
      <c r="D12" s="26">
        <f>+SUM(D13:D16)</f>
        <v>3535507</v>
      </c>
      <c r="E12" s="28"/>
      <c r="F12" s="29"/>
      <c r="G12" s="45"/>
      <c r="I12" s="390"/>
      <c r="J12" s="387"/>
      <c r="K12" s="391"/>
    </row>
    <row r="13" spans="1:11" x14ac:dyDescent="0.25">
      <c r="A13" s="43"/>
      <c r="B13" s="107" t="s">
        <v>9</v>
      </c>
      <c r="C13" s="174">
        <v>111.04</v>
      </c>
      <c r="D13" s="174">
        <v>55520</v>
      </c>
      <c r="E13" s="22">
        <v>92241</v>
      </c>
      <c r="F13" s="29" t="s">
        <v>10</v>
      </c>
      <c r="G13" s="45"/>
      <c r="I13" s="390"/>
      <c r="J13" s="389">
        <v>55520</v>
      </c>
      <c r="K13" s="391"/>
    </row>
    <row r="14" spans="1:11" x14ac:dyDescent="0.25">
      <c r="A14" s="43"/>
      <c r="B14" s="107" t="s">
        <v>11</v>
      </c>
      <c r="C14" s="174">
        <v>2001.1780000000001</v>
      </c>
      <c r="D14" s="174">
        <f>108171+109620+15221+509931+48588+64784+72882+72882+108171+109620+12241</f>
        <v>1232111</v>
      </c>
      <c r="E14" s="22">
        <v>92241</v>
      </c>
      <c r="F14" s="29" t="s">
        <v>10</v>
      </c>
      <c r="G14" s="384"/>
      <c r="H14" s="384"/>
      <c r="I14" s="390"/>
      <c r="J14" s="389">
        <f>1219870+12241</f>
        <v>1232111</v>
      </c>
      <c r="K14" s="391"/>
    </row>
    <row r="15" spans="1:11" x14ac:dyDescent="0.25">
      <c r="A15" s="43"/>
      <c r="B15" s="107" t="s">
        <v>12</v>
      </c>
      <c r="C15" s="174">
        <v>1575.905</v>
      </c>
      <c r="D15" s="174">
        <f>345411+345411</f>
        <v>690822</v>
      </c>
      <c r="E15" s="22">
        <v>92241</v>
      </c>
      <c r="F15" s="29" t="s">
        <v>10</v>
      </c>
      <c r="G15" s="45"/>
      <c r="I15" s="390"/>
      <c r="J15" s="389">
        <v>690822</v>
      </c>
      <c r="K15" s="391"/>
    </row>
    <row r="16" spans="1:11" x14ac:dyDescent="0.25">
      <c r="A16" s="43"/>
      <c r="B16" s="107" t="s">
        <v>13</v>
      </c>
      <c r="C16" s="174">
        <v>2214.0859999999998</v>
      </c>
      <c r="D16" s="174">
        <f>778527+778527</f>
        <v>1557054</v>
      </c>
      <c r="E16" s="22">
        <v>92241</v>
      </c>
      <c r="F16" s="29" t="s">
        <v>10</v>
      </c>
      <c r="G16" s="45"/>
      <c r="I16" s="390"/>
      <c r="J16" s="389">
        <f>+D16</f>
        <v>1557054</v>
      </c>
      <c r="K16" s="391"/>
    </row>
    <row r="17" spans="1:11" x14ac:dyDescent="0.25">
      <c r="A17" s="272"/>
      <c r="B17" s="107"/>
      <c r="C17" s="20"/>
      <c r="D17" s="20"/>
      <c r="E17" s="22"/>
      <c r="F17" s="29"/>
      <c r="G17" s="45"/>
      <c r="I17" s="390"/>
      <c r="J17" s="387"/>
      <c r="K17" s="391"/>
    </row>
    <row r="18" spans="1:11" x14ac:dyDescent="0.25">
      <c r="A18" s="272"/>
      <c r="B18" s="273" t="s">
        <v>14</v>
      </c>
      <c r="C18" s="30">
        <f>+SUM(C19:C31)</f>
        <v>40.727090000000004</v>
      </c>
      <c r="D18" s="30">
        <f>+SUM(D19:D31)</f>
        <v>40902.539999999994</v>
      </c>
      <c r="E18" s="22"/>
      <c r="F18" s="29"/>
      <c r="G18" s="45"/>
      <c r="I18" s="390"/>
      <c r="J18" s="387"/>
      <c r="K18" s="391"/>
    </row>
    <row r="19" spans="1:11" x14ac:dyDescent="0.25">
      <c r="A19" s="272">
        <v>42117</v>
      </c>
      <c r="B19" s="276" t="s">
        <v>146</v>
      </c>
      <c r="C19" s="20">
        <v>33.306150000000002</v>
      </c>
      <c r="D19" s="20">
        <v>33306.15</v>
      </c>
      <c r="E19" s="22">
        <v>90001</v>
      </c>
      <c r="F19" s="29">
        <v>4113</v>
      </c>
      <c r="G19" s="45"/>
      <c r="I19" s="390"/>
      <c r="J19" s="387"/>
      <c r="K19" s="391"/>
    </row>
    <row r="20" spans="1:11" x14ac:dyDescent="0.25">
      <c r="A20" s="272">
        <v>42194</v>
      </c>
      <c r="B20" s="276" t="s">
        <v>279</v>
      </c>
      <c r="C20" s="20">
        <v>5.5467000000000004</v>
      </c>
      <c r="D20" s="20">
        <v>5546.7</v>
      </c>
      <c r="E20" s="22">
        <v>90001</v>
      </c>
      <c r="F20" s="29">
        <v>4113</v>
      </c>
      <c r="G20" s="45"/>
      <c r="I20" s="390"/>
      <c r="J20" s="387"/>
      <c r="K20" s="391"/>
    </row>
    <row r="21" spans="1:11" x14ac:dyDescent="0.25">
      <c r="A21" s="272"/>
      <c r="B21" s="276"/>
      <c r="C21" s="20"/>
      <c r="D21" s="20"/>
      <c r="E21" s="22"/>
      <c r="F21" s="29">
        <v>4113</v>
      </c>
      <c r="G21" s="45"/>
      <c r="I21" s="390"/>
      <c r="J21" s="387"/>
      <c r="K21" s="391"/>
    </row>
    <row r="22" spans="1:11" x14ac:dyDescent="0.25">
      <c r="A22" s="272"/>
      <c r="B22" s="276"/>
      <c r="C22" s="20"/>
      <c r="D22" s="20"/>
      <c r="E22" s="22"/>
      <c r="F22" s="29">
        <v>4113</v>
      </c>
      <c r="G22" s="45"/>
      <c r="I22" s="390"/>
      <c r="J22" s="387"/>
      <c r="K22" s="391"/>
    </row>
    <row r="23" spans="1:11" x14ac:dyDescent="0.25">
      <c r="A23" s="272"/>
      <c r="B23" s="276"/>
      <c r="C23" s="20"/>
      <c r="D23" s="20"/>
      <c r="E23" s="22"/>
      <c r="F23" s="29">
        <v>4113</v>
      </c>
      <c r="G23" s="45"/>
      <c r="I23" s="390"/>
      <c r="J23" s="387"/>
      <c r="K23" s="391"/>
    </row>
    <row r="24" spans="1:11" x14ac:dyDescent="0.25">
      <c r="A24" s="272"/>
      <c r="B24" s="276"/>
      <c r="C24" s="20"/>
      <c r="D24" s="20"/>
      <c r="E24" s="22"/>
      <c r="F24" s="29">
        <v>4113</v>
      </c>
      <c r="G24" s="45"/>
      <c r="I24" s="390"/>
      <c r="J24" s="387"/>
      <c r="K24" s="391"/>
    </row>
    <row r="25" spans="1:11" x14ac:dyDescent="0.25">
      <c r="A25" s="272"/>
      <c r="B25" s="276"/>
      <c r="C25" s="20"/>
      <c r="D25" s="20"/>
      <c r="E25" s="22"/>
      <c r="F25" s="29">
        <v>4113</v>
      </c>
      <c r="G25" s="45"/>
      <c r="I25" s="390"/>
      <c r="J25" s="387"/>
      <c r="K25" s="391"/>
    </row>
    <row r="26" spans="1:11" x14ac:dyDescent="0.25">
      <c r="A26" s="272"/>
      <c r="B26" s="276"/>
      <c r="C26" s="20"/>
      <c r="D26" s="20"/>
      <c r="E26" s="22"/>
      <c r="F26" s="29">
        <v>4113</v>
      </c>
      <c r="G26" s="45"/>
      <c r="I26" s="390"/>
      <c r="J26" s="387"/>
      <c r="K26" s="391"/>
    </row>
    <row r="27" spans="1:11" x14ac:dyDescent="0.25">
      <c r="A27" s="272"/>
      <c r="B27" s="276"/>
      <c r="C27" s="20"/>
      <c r="D27" s="20"/>
      <c r="E27" s="22"/>
      <c r="F27" s="29">
        <v>4113</v>
      </c>
      <c r="G27" s="45"/>
      <c r="I27" s="390"/>
      <c r="J27" s="387"/>
      <c r="K27" s="391"/>
    </row>
    <row r="28" spans="1:11" x14ac:dyDescent="0.25">
      <c r="A28" s="272"/>
      <c r="B28" s="276"/>
      <c r="C28" s="20"/>
      <c r="D28" s="20"/>
      <c r="E28" s="22"/>
      <c r="F28" s="29">
        <v>4113</v>
      </c>
      <c r="G28" s="45"/>
      <c r="I28" s="390"/>
      <c r="J28" s="387"/>
      <c r="K28" s="391"/>
    </row>
    <row r="29" spans="1:11" x14ac:dyDescent="0.25">
      <c r="A29" s="272"/>
      <c r="B29" s="276" t="s">
        <v>446</v>
      </c>
      <c r="C29" s="174">
        <v>0</v>
      </c>
      <c r="D29" s="174">
        <v>175.45</v>
      </c>
      <c r="E29" s="22">
        <v>90001</v>
      </c>
      <c r="F29" s="29">
        <v>4113</v>
      </c>
      <c r="G29" s="45"/>
      <c r="I29" s="390"/>
      <c r="J29" s="387">
        <v>175.45</v>
      </c>
      <c r="K29" s="391"/>
    </row>
    <row r="30" spans="1:11" x14ac:dyDescent="0.25">
      <c r="A30" s="272"/>
      <c r="B30" s="276" t="s">
        <v>445</v>
      </c>
      <c r="C30" s="174">
        <v>1.8742399999999999</v>
      </c>
      <c r="D30" s="174">
        <v>1874.24</v>
      </c>
      <c r="E30" s="22">
        <v>90001</v>
      </c>
      <c r="F30" s="29">
        <v>4113</v>
      </c>
      <c r="G30" s="45"/>
      <c r="I30" s="390"/>
      <c r="J30" s="402">
        <v>1874.24</v>
      </c>
      <c r="K30" s="391"/>
    </row>
    <row r="31" spans="1:11" x14ac:dyDescent="0.25">
      <c r="A31" s="272"/>
      <c r="B31" s="276"/>
      <c r="C31" s="20"/>
      <c r="D31" s="20"/>
      <c r="E31" s="22"/>
      <c r="F31" s="29">
        <v>4113</v>
      </c>
      <c r="G31" s="45"/>
      <c r="I31" s="390"/>
      <c r="J31" s="387"/>
      <c r="K31" s="391"/>
    </row>
    <row r="32" spans="1:11" x14ac:dyDescent="0.25">
      <c r="A32" s="272"/>
      <c r="B32" s="107"/>
      <c r="C32" s="20"/>
      <c r="D32" s="20"/>
      <c r="E32" s="22"/>
      <c r="F32" s="29"/>
      <c r="G32" s="45"/>
      <c r="I32" s="390"/>
      <c r="J32" s="387"/>
      <c r="K32" s="391"/>
    </row>
    <row r="33" spans="1:11" x14ac:dyDescent="0.25">
      <c r="A33" s="272"/>
      <c r="B33" s="273" t="s">
        <v>15</v>
      </c>
      <c r="C33" s="30">
        <f>+C34+C35</f>
        <v>6.8916700000000004</v>
      </c>
      <c r="D33" s="30">
        <f>+D34+D35</f>
        <v>6891.67</v>
      </c>
      <c r="E33" s="22"/>
      <c r="F33" s="29"/>
      <c r="G33" s="45"/>
      <c r="I33" s="390"/>
      <c r="J33" s="387"/>
      <c r="K33" s="391"/>
    </row>
    <row r="34" spans="1:11" x14ac:dyDescent="0.25">
      <c r="A34" s="272"/>
      <c r="B34" s="107" t="s">
        <v>395</v>
      </c>
      <c r="C34" s="174">
        <v>4.5358200000000002</v>
      </c>
      <c r="D34" s="174">
        <v>4535.82</v>
      </c>
      <c r="E34" s="22">
        <v>89450</v>
      </c>
      <c r="F34" s="29">
        <v>4113</v>
      </c>
      <c r="G34" s="45"/>
      <c r="I34" s="390"/>
      <c r="J34" s="402">
        <v>4535.82</v>
      </c>
      <c r="K34" s="391"/>
    </row>
    <row r="35" spans="1:11" x14ac:dyDescent="0.25">
      <c r="A35" s="272"/>
      <c r="B35" s="107" t="s">
        <v>394</v>
      </c>
      <c r="C35" s="174">
        <v>2.3558500000000002</v>
      </c>
      <c r="D35" s="174">
        <v>2355.85</v>
      </c>
      <c r="E35" s="22">
        <v>89023</v>
      </c>
      <c r="F35" s="29">
        <v>4113</v>
      </c>
      <c r="G35" s="384"/>
      <c r="H35" s="384"/>
      <c r="I35" s="390"/>
      <c r="J35" s="387">
        <v>2355.85</v>
      </c>
      <c r="K35" s="391"/>
    </row>
    <row r="36" spans="1:11" x14ac:dyDescent="0.25">
      <c r="A36" s="272"/>
      <c r="B36" s="278"/>
      <c r="C36" s="20"/>
      <c r="D36" s="422"/>
      <c r="E36" s="161"/>
      <c r="F36" s="22"/>
      <c r="G36" s="45"/>
      <c r="I36" s="390"/>
      <c r="J36" s="387"/>
      <c r="K36" s="391"/>
    </row>
    <row r="37" spans="1:11" s="275" customFormat="1" x14ac:dyDescent="0.25">
      <c r="A37" s="272"/>
      <c r="B37" s="273" t="s">
        <v>17</v>
      </c>
      <c r="C37" s="13">
        <f>SUM(C38:C63)</f>
        <v>21611.022999999997</v>
      </c>
      <c r="D37" s="30">
        <f>SUM(D38:D63)</f>
        <v>15255687</v>
      </c>
      <c r="E37" s="33"/>
      <c r="F37" s="16"/>
      <c r="G37" s="45"/>
      <c r="H37" s="45"/>
      <c r="I37" s="390"/>
      <c r="J37" s="388"/>
      <c r="K37" s="393"/>
    </row>
    <row r="38" spans="1:11" x14ac:dyDescent="0.25">
      <c r="A38" s="43">
        <v>42053</v>
      </c>
      <c r="B38" s="107" t="s">
        <v>37</v>
      </c>
      <c r="C38" s="37">
        <v>3744</v>
      </c>
      <c r="D38" s="20">
        <v>3744000</v>
      </c>
      <c r="E38" s="34">
        <v>13010</v>
      </c>
      <c r="F38" s="29">
        <v>4116</v>
      </c>
      <c r="G38" s="45"/>
      <c r="I38" s="390"/>
      <c r="J38" s="387"/>
      <c r="K38" s="391"/>
    </row>
    <row r="39" spans="1:11" x14ac:dyDescent="0.25">
      <c r="A39" s="272">
        <v>42123</v>
      </c>
      <c r="B39" s="107" t="s">
        <v>37</v>
      </c>
      <c r="C39" s="20">
        <v>8</v>
      </c>
      <c r="D39" s="20">
        <v>8000</v>
      </c>
      <c r="E39" s="34">
        <v>13010</v>
      </c>
      <c r="F39" s="29">
        <v>4116</v>
      </c>
      <c r="G39" s="45"/>
      <c r="I39" s="390"/>
      <c r="J39" s="387"/>
      <c r="K39" s="391"/>
    </row>
    <row r="40" spans="1:11" x14ac:dyDescent="0.25">
      <c r="A40" s="272">
        <v>42152</v>
      </c>
      <c r="B40" s="107" t="s">
        <v>37</v>
      </c>
      <c r="C40" s="20">
        <v>12</v>
      </c>
      <c r="D40" s="20">
        <v>12000</v>
      </c>
      <c r="E40" s="34">
        <v>13010</v>
      </c>
      <c r="F40" s="29">
        <v>4116</v>
      </c>
      <c r="G40" s="45"/>
      <c r="I40" s="390"/>
      <c r="J40" s="387"/>
      <c r="K40" s="391"/>
    </row>
    <row r="41" spans="1:11" s="275" customFormat="1" x14ac:dyDescent="0.25">
      <c r="A41" s="272">
        <v>42184</v>
      </c>
      <c r="B41" s="107" t="s">
        <v>37</v>
      </c>
      <c r="C41" s="20">
        <v>44</v>
      </c>
      <c r="D41" s="20">
        <v>44000</v>
      </c>
      <c r="E41" s="34">
        <v>13010</v>
      </c>
      <c r="F41" s="29">
        <v>4116</v>
      </c>
      <c r="G41" s="45"/>
      <c r="H41" s="45"/>
      <c r="I41" s="390"/>
      <c r="J41" s="388"/>
      <c r="K41" s="393"/>
    </row>
    <row r="42" spans="1:11" x14ac:dyDescent="0.25">
      <c r="A42" s="43">
        <v>42201</v>
      </c>
      <c r="B42" s="107" t="s">
        <v>37</v>
      </c>
      <c r="C42" s="20">
        <v>32</v>
      </c>
      <c r="D42" s="20">
        <v>32000</v>
      </c>
      <c r="E42" s="34">
        <v>13010</v>
      </c>
      <c r="F42" s="29">
        <v>4116</v>
      </c>
      <c r="G42" s="45"/>
      <c r="I42" s="390"/>
      <c r="J42" s="387"/>
      <c r="K42" s="391"/>
    </row>
    <row r="43" spans="1:11" x14ac:dyDescent="0.25">
      <c r="A43" s="357"/>
      <c r="B43" s="107" t="s">
        <v>424</v>
      </c>
      <c r="C43" s="20">
        <v>-28</v>
      </c>
      <c r="D43" s="20"/>
      <c r="E43" s="34">
        <v>13010</v>
      </c>
      <c r="F43" s="29">
        <v>4116</v>
      </c>
      <c r="G43" s="45"/>
      <c r="I43" s="390"/>
      <c r="J43" s="387"/>
      <c r="K43" s="391"/>
    </row>
    <row r="44" spans="1:11" x14ac:dyDescent="0.25">
      <c r="A44" s="43"/>
      <c r="B44" s="107" t="s">
        <v>411</v>
      </c>
      <c r="C44" s="174">
        <v>10.7</v>
      </c>
      <c r="D44" s="174">
        <v>10452</v>
      </c>
      <c r="E44" s="34">
        <v>13013</v>
      </c>
      <c r="F44" s="29">
        <v>4116</v>
      </c>
      <c r="G44" s="384" t="s">
        <v>358</v>
      </c>
      <c r="I44" s="390">
        <v>10452</v>
      </c>
      <c r="J44" s="387"/>
      <c r="K44" s="391"/>
    </row>
    <row r="45" spans="1:11" x14ac:dyDescent="0.25">
      <c r="A45" s="43"/>
      <c r="B45" s="107" t="s">
        <v>438</v>
      </c>
      <c r="C45" s="174"/>
      <c r="D45" s="174">
        <v>41067</v>
      </c>
      <c r="E45" s="34">
        <v>13013</v>
      </c>
      <c r="F45" s="29">
        <v>4116</v>
      </c>
      <c r="G45" s="384" t="s">
        <v>358</v>
      </c>
      <c r="I45" s="390">
        <v>41067</v>
      </c>
      <c r="J45" s="387"/>
      <c r="K45" s="391"/>
    </row>
    <row r="46" spans="1:11" x14ac:dyDescent="0.25">
      <c r="A46" s="43"/>
      <c r="B46" s="107" t="s">
        <v>97</v>
      </c>
      <c r="C46" s="174">
        <v>267</v>
      </c>
      <c r="D46" s="174">
        <v>300369</v>
      </c>
      <c r="E46" s="34">
        <v>13101</v>
      </c>
      <c r="F46" s="29">
        <v>4116</v>
      </c>
      <c r="G46" s="384" t="s">
        <v>358</v>
      </c>
      <c r="I46" s="390">
        <v>267369</v>
      </c>
      <c r="J46" s="387"/>
      <c r="K46" s="391"/>
    </row>
    <row r="47" spans="1:11" x14ac:dyDescent="0.25">
      <c r="A47" s="43"/>
      <c r="B47" s="107" t="s">
        <v>65</v>
      </c>
      <c r="C47" s="174">
        <v>58</v>
      </c>
      <c r="D47" s="174">
        <f>40896+16866</f>
        <v>57762</v>
      </c>
      <c r="E47" s="34">
        <v>13101</v>
      </c>
      <c r="F47" s="29" t="s">
        <v>18</v>
      </c>
      <c r="G47" s="384" t="s">
        <v>358</v>
      </c>
      <c r="I47" s="390">
        <f>40896+16866</f>
        <v>57762</v>
      </c>
      <c r="J47" s="387"/>
      <c r="K47" s="391"/>
    </row>
    <row r="48" spans="1:11" x14ac:dyDescent="0.25">
      <c r="A48" s="43"/>
      <c r="B48" s="107" t="s">
        <v>98</v>
      </c>
      <c r="C48" s="174">
        <v>484.274</v>
      </c>
      <c r="D48" s="174">
        <v>484274</v>
      </c>
      <c r="E48" s="35">
        <v>13101</v>
      </c>
      <c r="F48" s="36">
        <v>4116</v>
      </c>
      <c r="G48" s="384" t="s">
        <v>358</v>
      </c>
      <c r="I48" s="390">
        <v>429274</v>
      </c>
      <c r="J48" s="387"/>
      <c r="K48" s="391"/>
    </row>
    <row r="49" spans="1:11" s="275" customFormat="1" x14ac:dyDescent="0.25">
      <c r="A49" s="272"/>
      <c r="B49" s="107" t="s">
        <v>99</v>
      </c>
      <c r="C49" s="174">
        <v>22</v>
      </c>
      <c r="D49" s="174">
        <v>22000</v>
      </c>
      <c r="E49" s="35">
        <v>13101</v>
      </c>
      <c r="F49" s="36">
        <v>4116</v>
      </c>
      <c r="G49" s="384" t="s">
        <v>358</v>
      </c>
      <c r="H49" s="45"/>
      <c r="I49" s="390">
        <v>22000</v>
      </c>
      <c r="J49" s="388"/>
      <c r="K49" s="393"/>
    </row>
    <row r="50" spans="1:11" s="275" customFormat="1" x14ac:dyDescent="0.25">
      <c r="A50" s="272"/>
      <c r="B50" s="107" t="s">
        <v>19</v>
      </c>
      <c r="C50" s="174">
        <v>60</v>
      </c>
      <c r="D50" s="174">
        <v>44643</v>
      </c>
      <c r="E50" s="34">
        <v>13234</v>
      </c>
      <c r="F50" s="29">
        <v>4116</v>
      </c>
      <c r="G50" s="384" t="s">
        <v>358</v>
      </c>
      <c r="H50" s="45"/>
      <c r="I50" s="390">
        <v>44643</v>
      </c>
      <c r="J50" s="388"/>
      <c r="K50" s="393"/>
    </row>
    <row r="51" spans="1:11" s="275" customFormat="1" x14ac:dyDescent="0.25">
      <c r="A51" s="272"/>
      <c r="B51" s="107" t="s">
        <v>20</v>
      </c>
      <c r="C51" s="174">
        <v>290</v>
      </c>
      <c r="D51" s="174">
        <v>188451</v>
      </c>
      <c r="E51" s="34">
        <v>13234</v>
      </c>
      <c r="F51" s="29">
        <v>4116</v>
      </c>
      <c r="G51" s="384" t="s">
        <v>358</v>
      </c>
      <c r="H51" s="45"/>
      <c r="I51" s="390">
        <v>173917</v>
      </c>
      <c r="J51" s="388"/>
      <c r="K51" s="393"/>
    </row>
    <row r="52" spans="1:11" s="275" customFormat="1" x14ac:dyDescent="0.25">
      <c r="A52" s="272"/>
      <c r="B52" s="107" t="s">
        <v>23</v>
      </c>
      <c r="C52" s="174">
        <v>87.9</v>
      </c>
      <c r="D52" s="174">
        <v>87594</v>
      </c>
      <c r="E52" s="34">
        <v>13234</v>
      </c>
      <c r="F52" s="29">
        <v>4116</v>
      </c>
      <c r="G52" s="384" t="s">
        <v>358</v>
      </c>
      <c r="H52" s="45"/>
      <c r="I52" s="390">
        <v>71094</v>
      </c>
      <c r="J52" s="388"/>
      <c r="K52" s="393"/>
    </row>
    <row r="53" spans="1:11" s="275" customFormat="1" x14ac:dyDescent="0.25">
      <c r="A53" s="272"/>
      <c r="B53" s="107" t="s">
        <v>22</v>
      </c>
      <c r="C53" s="174">
        <v>264</v>
      </c>
      <c r="D53" s="174">
        <v>176000</v>
      </c>
      <c r="E53" s="34">
        <v>13234</v>
      </c>
      <c r="F53" s="29">
        <v>4116</v>
      </c>
      <c r="G53" s="384" t="s">
        <v>358</v>
      </c>
      <c r="H53" s="45"/>
      <c r="I53" s="390">
        <v>154000</v>
      </c>
      <c r="J53" s="388"/>
      <c r="K53" s="393"/>
    </row>
    <row r="54" spans="1:11" s="275" customFormat="1" x14ac:dyDescent="0.25">
      <c r="A54" s="272"/>
      <c r="B54" s="107" t="s">
        <v>67</v>
      </c>
      <c r="C54" s="174">
        <v>171.72300000000001</v>
      </c>
      <c r="D54" s="174">
        <f>86069+44000+41655</f>
        <v>171724</v>
      </c>
      <c r="E54" s="34">
        <v>13234</v>
      </c>
      <c r="F54" s="29">
        <v>4116</v>
      </c>
      <c r="G54" s="384" t="s">
        <v>358</v>
      </c>
      <c r="H54" s="45"/>
      <c r="I54" s="390">
        <f>86069+44000+41655</f>
        <v>171724</v>
      </c>
      <c r="J54" s="388"/>
      <c r="K54" s="393"/>
    </row>
    <row r="55" spans="1:11" s="275" customFormat="1" x14ac:dyDescent="0.25">
      <c r="A55" s="272"/>
      <c r="B55" s="107" t="s">
        <v>25</v>
      </c>
      <c r="C55" s="174">
        <v>1705.0060000000001</v>
      </c>
      <c r="D55" s="174">
        <v>776517</v>
      </c>
      <c r="E55" s="34">
        <v>13234</v>
      </c>
      <c r="F55" s="29">
        <v>4116</v>
      </c>
      <c r="G55" s="384" t="s">
        <v>358</v>
      </c>
      <c r="H55" s="45"/>
      <c r="I55" s="390">
        <v>618357</v>
      </c>
      <c r="J55" s="388"/>
      <c r="K55" s="393"/>
    </row>
    <row r="56" spans="1:11" s="275" customFormat="1" x14ac:dyDescent="0.25">
      <c r="A56" s="272"/>
      <c r="B56" s="107" t="s">
        <v>26</v>
      </c>
      <c r="C56" s="174"/>
      <c r="D56" s="174">
        <v>244441</v>
      </c>
      <c r="E56" s="34">
        <v>13234</v>
      </c>
      <c r="F56" s="29">
        <v>4116</v>
      </c>
      <c r="G56" s="384" t="s">
        <v>358</v>
      </c>
      <c r="H56" s="45"/>
      <c r="I56" s="390">
        <v>244441</v>
      </c>
      <c r="J56" s="388"/>
      <c r="K56" s="393"/>
    </row>
    <row r="57" spans="1:11" x14ac:dyDescent="0.25">
      <c r="A57" s="43"/>
      <c r="B57" s="107" t="s">
        <v>28</v>
      </c>
      <c r="C57" s="174">
        <v>5376</v>
      </c>
      <c r="D57" s="174">
        <v>2575281</v>
      </c>
      <c r="E57" s="35">
        <v>13234</v>
      </c>
      <c r="F57" s="29">
        <v>4116</v>
      </c>
      <c r="G57" s="384" t="s">
        <v>358</v>
      </c>
      <c r="I57" s="390">
        <v>2068947</v>
      </c>
      <c r="J57" s="387"/>
      <c r="K57" s="391"/>
    </row>
    <row r="58" spans="1:11" s="275" customFormat="1" x14ac:dyDescent="0.25">
      <c r="A58" s="272"/>
      <c r="B58" s="107" t="s">
        <v>24</v>
      </c>
      <c r="C58" s="174">
        <v>8590</v>
      </c>
      <c r="D58" s="174">
        <v>6011828</v>
      </c>
      <c r="E58" s="34">
        <v>13234</v>
      </c>
      <c r="F58" s="29">
        <v>4116</v>
      </c>
      <c r="G58" s="384" t="s">
        <v>358</v>
      </c>
      <c r="H58" s="45"/>
      <c r="I58" s="390">
        <v>4964243</v>
      </c>
      <c r="J58" s="388"/>
      <c r="K58" s="393"/>
    </row>
    <row r="59" spans="1:11" x14ac:dyDescent="0.25">
      <c r="A59" s="43"/>
      <c r="B59" s="107" t="s">
        <v>66</v>
      </c>
      <c r="C59" s="174">
        <f>55+98</f>
        <v>153</v>
      </c>
      <c r="D59" s="174">
        <v>88133</v>
      </c>
      <c r="E59" s="35">
        <v>13234</v>
      </c>
      <c r="F59" s="36">
        <v>4116</v>
      </c>
      <c r="G59" s="384" t="s">
        <v>358</v>
      </c>
      <c r="I59" s="390">
        <v>74133</v>
      </c>
      <c r="J59" s="387"/>
      <c r="K59" s="391"/>
    </row>
    <row r="60" spans="1:11" x14ac:dyDescent="0.25">
      <c r="A60" s="43"/>
      <c r="B60" s="107" t="s">
        <v>31</v>
      </c>
      <c r="C60" s="174">
        <v>252</v>
      </c>
      <c r="D60" s="174">
        <v>127731</v>
      </c>
      <c r="E60" s="35">
        <v>13234</v>
      </c>
      <c r="F60" s="36">
        <v>4116</v>
      </c>
      <c r="G60" s="384" t="s">
        <v>358</v>
      </c>
      <c r="I60" s="390">
        <v>103731</v>
      </c>
      <c r="J60" s="387"/>
      <c r="K60" s="391"/>
    </row>
    <row r="61" spans="1:11" x14ac:dyDescent="0.25">
      <c r="A61" s="43"/>
      <c r="B61" s="107" t="s">
        <v>21</v>
      </c>
      <c r="C61" s="174">
        <v>7.42</v>
      </c>
      <c r="D61" s="174">
        <v>7420</v>
      </c>
      <c r="E61" s="35">
        <v>13234</v>
      </c>
      <c r="F61" s="29" t="s">
        <v>18</v>
      </c>
      <c r="G61" s="384" t="s">
        <v>358</v>
      </c>
      <c r="I61" s="390">
        <v>7420</v>
      </c>
      <c r="J61" s="387"/>
      <c r="K61" s="391"/>
    </row>
    <row r="62" spans="1:11" x14ac:dyDescent="0.25">
      <c r="A62" s="43"/>
      <c r="B62" s="107" t="s">
        <v>30</v>
      </c>
      <c r="C62" s="174"/>
      <c r="D62" s="174"/>
      <c r="E62" s="35"/>
      <c r="F62" s="36">
        <v>4116</v>
      </c>
      <c r="G62" s="45"/>
      <c r="I62" s="390"/>
      <c r="J62" s="387"/>
      <c r="K62" s="391"/>
    </row>
    <row r="63" spans="1:11" x14ac:dyDescent="0.25">
      <c r="A63" s="43"/>
      <c r="B63" s="107" t="s">
        <v>32</v>
      </c>
      <c r="C63" s="174"/>
      <c r="D63" s="174"/>
      <c r="E63" s="35"/>
      <c r="F63" s="36"/>
      <c r="G63" s="45"/>
      <c r="I63" s="390"/>
      <c r="J63" s="387"/>
      <c r="K63" s="391"/>
    </row>
    <row r="64" spans="1:11" x14ac:dyDescent="0.25">
      <c r="A64" s="43"/>
      <c r="B64" s="44"/>
      <c r="C64" s="37"/>
      <c r="D64" s="20"/>
      <c r="E64" s="35"/>
      <c r="F64" s="36"/>
      <c r="G64" s="45"/>
      <c r="I64" s="390"/>
      <c r="J64" s="387"/>
      <c r="K64" s="391"/>
    </row>
    <row r="65" spans="1:11" x14ac:dyDescent="0.25">
      <c r="A65" s="43"/>
      <c r="B65" s="285" t="s">
        <v>116</v>
      </c>
      <c r="C65" s="39">
        <f>+SUM(C66:C68)</f>
        <v>36.299999999999997</v>
      </c>
      <c r="D65" s="39">
        <f>+SUM(D66:D68)</f>
        <v>36300</v>
      </c>
      <c r="E65" s="29"/>
      <c r="F65" s="36"/>
      <c r="G65" s="45"/>
      <c r="I65" s="390"/>
      <c r="J65" s="387"/>
      <c r="K65" s="391"/>
    </row>
    <row r="66" spans="1:11" x14ac:dyDescent="0.25">
      <c r="A66" s="43">
        <v>42066</v>
      </c>
      <c r="B66" s="107" t="s">
        <v>115</v>
      </c>
      <c r="C66" s="20">
        <v>36.299999999999997</v>
      </c>
      <c r="D66" s="20">
        <v>36300</v>
      </c>
      <c r="E66" s="41">
        <v>27003</v>
      </c>
      <c r="F66" s="36">
        <v>4116</v>
      </c>
      <c r="G66" s="45"/>
      <c r="I66" s="390"/>
      <c r="J66" s="387"/>
      <c r="K66" s="391"/>
    </row>
    <row r="67" spans="1:11" x14ac:dyDescent="0.25">
      <c r="A67" s="287"/>
      <c r="B67" s="107"/>
      <c r="C67" s="20"/>
      <c r="D67" s="20"/>
      <c r="E67" s="36"/>
      <c r="F67" s="36">
        <v>4116</v>
      </c>
      <c r="G67" s="45"/>
      <c r="I67" s="390"/>
      <c r="J67" s="387"/>
      <c r="K67" s="391"/>
    </row>
    <row r="68" spans="1:11" x14ac:dyDescent="0.25">
      <c r="A68" s="287"/>
      <c r="B68" s="107"/>
      <c r="C68" s="20"/>
      <c r="D68" s="20"/>
      <c r="E68" s="36"/>
      <c r="F68" s="36">
        <v>4116</v>
      </c>
      <c r="G68" s="45"/>
      <c r="I68" s="390"/>
      <c r="J68" s="387"/>
      <c r="K68" s="391"/>
    </row>
    <row r="69" spans="1:11" x14ac:dyDescent="0.25">
      <c r="A69" s="43"/>
      <c r="B69" s="285" t="s">
        <v>33</v>
      </c>
      <c r="C69" s="39">
        <f>+SUM(C70:C107)</f>
        <v>22632</v>
      </c>
      <c r="D69" s="39">
        <f>+SUM(D70:D107)</f>
        <v>24632000</v>
      </c>
      <c r="E69" s="29"/>
      <c r="F69" s="36"/>
      <c r="G69" s="45"/>
      <c r="I69" s="390"/>
      <c r="J69" s="387"/>
      <c r="K69" s="391"/>
    </row>
    <row r="70" spans="1:11" x14ac:dyDescent="0.25">
      <c r="A70" s="43">
        <v>42086</v>
      </c>
      <c r="B70" s="107" t="s">
        <v>122</v>
      </c>
      <c r="C70" s="20">
        <v>80</v>
      </c>
      <c r="D70" s="20">
        <v>80000</v>
      </c>
      <c r="E70" s="29">
        <v>34070</v>
      </c>
      <c r="F70" s="29">
        <v>4116</v>
      </c>
      <c r="G70" s="45"/>
      <c r="I70" s="390"/>
      <c r="J70" s="387"/>
      <c r="K70" s="391"/>
    </row>
    <row r="71" spans="1:11" x14ac:dyDescent="0.25">
      <c r="A71" s="43">
        <v>42116</v>
      </c>
      <c r="B71" s="107" t="s">
        <v>266</v>
      </c>
      <c r="C71" s="20">
        <v>25</v>
      </c>
      <c r="D71" s="20">
        <v>25000</v>
      </c>
      <c r="E71" s="29">
        <v>34070</v>
      </c>
      <c r="F71" s="29">
        <v>4116</v>
      </c>
      <c r="G71" s="45"/>
      <c r="I71" s="390"/>
      <c r="J71" s="387"/>
      <c r="K71" s="391"/>
    </row>
    <row r="72" spans="1:11" x14ac:dyDescent="0.25">
      <c r="A72" s="43">
        <v>42116</v>
      </c>
      <c r="B72" s="107" t="s">
        <v>143</v>
      </c>
      <c r="C72" s="20">
        <v>18</v>
      </c>
      <c r="D72" s="20">
        <v>18000</v>
      </c>
      <c r="E72" s="29">
        <v>34070</v>
      </c>
      <c r="F72" s="29">
        <v>4116</v>
      </c>
      <c r="G72" s="45"/>
      <c r="I72" s="390"/>
      <c r="J72" s="387"/>
      <c r="K72" s="391"/>
    </row>
    <row r="73" spans="1:11" x14ac:dyDescent="0.25">
      <c r="A73" s="43">
        <v>42116</v>
      </c>
      <c r="B73" s="107" t="s">
        <v>173</v>
      </c>
      <c r="C73" s="20">
        <v>20</v>
      </c>
      <c r="D73" s="20">
        <v>20000</v>
      </c>
      <c r="E73" s="29">
        <v>34070</v>
      </c>
      <c r="F73" s="29">
        <v>4116</v>
      </c>
      <c r="G73" s="45"/>
      <c r="I73" s="390"/>
      <c r="J73" s="387"/>
      <c r="K73" s="391"/>
    </row>
    <row r="74" spans="1:11" x14ac:dyDescent="0.25">
      <c r="A74" s="43">
        <v>42128</v>
      </c>
      <c r="B74" s="107" t="s">
        <v>172</v>
      </c>
      <c r="C74" s="20">
        <v>45</v>
      </c>
      <c r="D74" s="20">
        <v>45000</v>
      </c>
      <c r="E74" s="29">
        <v>34053</v>
      </c>
      <c r="F74" s="29">
        <v>4116</v>
      </c>
      <c r="G74" s="45"/>
      <c r="I74" s="390"/>
      <c r="J74" s="387"/>
      <c r="K74" s="391"/>
    </row>
    <row r="75" spans="1:11" x14ac:dyDescent="0.25">
      <c r="A75" s="43">
        <v>42135</v>
      </c>
      <c r="B75" s="107" t="s">
        <v>175</v>
      </c>
      <c r="C75" s="20">
        <v>600</v>
      </c>
      <c r="D75" s="20">
        <v>600000</v>
      </c>
      <c r="E75" s="29">
        <v>34070</v>
      </c>
      <c r="F75" s="29">
        <v>4116</v>
      </c>
      <c r="G75" s="45"/>
      <c r="I75" s="390"/>
      <c r="J75" s="387"/>
      <c r="K75" s="391"/>
    </row>
    <row r="76" spans="1:11" x14ac:dyDescent="0.25">
      <c r="A76" s="43">
        <v>42135</v>
      </c>
      <c r="B76" s="107" t="s">
        <v>176</v>
      </c>
      <c r="C76" s="20">
        <v>70</v>
      </c>
      <c r="D76" s="20">
        <v>70000</v>
      </c>
      <c r="E76" s="29">
        <v>34070</v>
      </c>
      <c r="F76" s="29">
        <v>4116</v>
      </c>
      <c r="G76" s="45"/>
      <c r="I76" s="390"/>
      <c r="J76" s="387"/>
      <c r="K76" s="391"/>
    </row>
    <row r="77" spans="1:11" x14ac:dyDescent="0.25">
      <c r="A77" s="43">
        <v>42136</v>
      </c>
      <c r="B77" s="107" t="s">
        <v>177</v>
      </c>
      <c r="C77" s="20">
        <v>120</v>
      </c>
      <c r="D77" s="20">
        <v>120000</v>
      </c>
      <c r="E77" s="29">
        <v>34070</v>
      </c>
      <c r="F77" s="29">
        <v>4116</v>
      </c>
      <c r="G77" s="45"/>
      <c r="I77" s="390"/>
      <c r="J77" s="387"/>
      <c r="K77" s="391"/>
    </row>
    <row r="78" spans="1:11" x14ac:dyDescent="0.25">
      <c r="A78" s="43">
        <v>42136</v>
      </c>
      <c r="B78" s="107" t="s">
        <v>178</v>
      </c>
      <c r="C78" s="20">
        <v>340</v>
      </c>
      <c r="D78" s="20">
        <v>340000</v>
      </c>
      <c r="E78" s="29">
        <v>34070</v>
      </c>
      <c r="F78" s="29">
        <v>4116</v>
      </c>
      <c r="G78" s="45"/>
      <c r="I78" s="390"/>
      <c r="J78" s="387"/>
      <c r="K78" s="391"/>
    </row>
    <row r="79" spans="1:11" x14ac:dyDescent="0.25">
      <c r="A79" s="43">
        <v>42136</v>
      </c>
      <c r="B79" s="107" t="s">
        <v>179</v>
      </c>
      <c r="C79" s="20">
        <v>320</v>
      </c>
      <c r="D79" s="20">
        <v>320000</v>
      </c>
      <c r="E79" s="29">
        <v>34070</v>
      </c>
      <c r="F79" s="29">
        <v>4116</v>
      </c>
      <c r="G79" s="45"/>
      <c r="I79" s="390"/>
      <c r="J79" s="387"/>
      <c r="K79" s="391"/>
    </row>
    <row r="80" spans="1:11" x14ac:dyDescent="0.25">
      <c r="A80" s="43">
        <v>42143</v>
      </c>
      <c r="B80" s="107" t="s">
        <v>194</v>
      </c>
      <c r="C80" s="20">
        <v>95</v>
      </c>
      <c r="D80" s="20">
        <v>95000</v>
      </c>
      <c r="E80" s="29">
        <v>34070</v>
      </c>
      <c r="F80" s="29">
        <v>4116</v>
      </c>
      <c r="G80" s="45"/>
      <c r="I80" s="390"/>
      <c r="J80" s="387"/>
      <c r="K80" s="391"/>
    </row>
    <row r="81" spans="1:11" x14ac:dyDescent="0.25">
      <c r="A81" s="43">
        <v>42143</v>
      </c>
      <c r="B81" s="107" t="s">
        <v>195</v>
      </c>
      <c r="C81" s="20">
        <v>30</v>
      </c>
      <c r="D81" s="20">
        <v>30000</v>
      </c>
      <c r="E81" s="29">
        <v>34194</v>
      </c>
      <c r="F81" s="29">
        <v>4116</v>
      </c>
      <c r="G81" s="45"/>
      <c r="I81" s="390"/>
      <c r="J81" s="387"/>
      <c r="K81" s="391"/>
    </row>
    <row r="82" spans="1:11" x14ac:dyDescent="0.25">
      <c r="A82" s="43">
        <v>42143</v>
      </c>
      <c r="B82" s="107" t="s">
        <v>197</v>
      </c>
      <c r="C82" s="20">
        <v>750</v>
      </c>
      <c r="D82" s="20">
        <v>750000</v>
      </c>
      <c r="E82" s="29">
        <v>34070</v>
      </c>
      <c r="F82" s="29">
        <v>4116</v>
      </c>
      <c r="G82" s="45"/>
      <c r="I82" s="390"/>
      <c r="J82" s="387"/>
      <c r="K82" s="391"/>
    </row>
    <row r="83" spans="1:11" x14ac:dyDescent="0.25">
      <c r="A83" s="43">
        <v>42144</v>
      </c>
      <c r="B83" s="107" t="s">
        <v>199</v>
      </c>
      <c r="C83" s="20">
        <v>64</v>
      </c>
      <c r="D83" s="20">
        <v>64000</v>
      </c>
      <c r="E83" s="29">
        <v>34053</v>
      </c>
      <c r="F83" s="29">
        <v>4116</v>
      </c>
      <c r="G83" s="45"/>
      <c r="I83" s="390"/>
      <c r="J83" s="387"/>
      <c r="K83" s="391"/>
    </row>
    <row r="84" spans="1:11" x14ac:dyDescent="0.25">
      <c r="A84" s="43">
        <v>42144</v>
      </c>
      <c r="B84" s="107" t="s">
        <v>198</v>
      </c>
      <c r="C84" s="20">
        <v>45</v>
      </c>
      <c r="D84" s="20">
        <v>45000</v>
      </c>
      <c r="E84" s="29">
        <v>34053</v>
      </c>
      <c r="F84" s="29">
        <v>4116</v>
      </c>
      <c r="G84" s="45"/>
      <c r="I84" s="390"/>
      <c r="J84" s="387"/>
      <c r="K84" s="391"/>
    </row>
    <row r="85" spans="1:11" x14ac:dyDescent="0.25">
      <c r="A85" s="43">
        <v>42164</v>
      </c>
      <c r="B85" s="107" t="s">
        <v>241</v>
      </c>
      <c r="C85" s="20">
        <v>1200</v>
      </c>
      <c r="D85" s="20">
        <v>1200000</v>
      </c>
      <c r="E85" s="29">
        <v>34352</v>
      </c>
      <c r="F85" s="29">
        <v>4116</v>
      </c>
      <c r="G85" s="45"/>
      <c r="I85" s="390"/>
      <c r="J85" s="387"/>
      <c r="K85" s="391"/>
    </row>
    <row r="86" spans="1:11" x14ac:dyDescent="0.25">
      <c r="A86" s="43">
        <v>42172</v>
      </c>
      <c r="B86" s="107" t="s">
        <v>233</v>
      </c>
      <c r="C86" s="20">
        <v>740</v>
      </c>
      <c r="D86" s="20">
        <v>740000</v>
      </c>
      <c r="E86" s="29">
        <v>34352</v>
      </c>
      <c r="F86" s="29">
        <v>4116</v>
      </c>
      <c r="G86" s="45"/>
      <c r="I86" s="390"/>
      <c r="J86" s="387"/>
      <c r="K86" s="391"/>
    </row>
    <row r="87" spans="1:11" x14ac:dyDescent="0.25">
      <c r="A87" s="43">
        <v>42172</v>
      </c>
      <c r="B87" s="107" t="s">
        <v>234</v>
      </c>
      <c r="C87" s="20">
        <v>2745</v>
      </c>
      <c r="D87" s="20">
        <v>2745000</v>
      </c>
      <c r="E87" s="29">
        <v>34352</v>
      </c>
      <c r="F87" s="29">
        <v>4116</v>
      </c>
      <c r="G87" s="45"/>
      <c r="I87" s="390"/>
      <c r="J87" s="387"/>
      <c r="K87" s="391"/>
    </row>
    <row r="88" spans="1:11" x14ac:dyDescent="0.25">
      <c r="A88" s="43">
        <v>42172</v>
      </c>
      <c r="B88" s="107" t="s">
        <v>235</v>
      </c>
      <c r="C88" s="20">
        <v>2580</v>
      </c>
      <c r="D88" s="20">
        <v>2580000</v>
      </c>
      <c r="E88" s="29">
        <v>34352</v>
      </c>
      <c r="F88" s="29">
        <v>4116</v>
      </c>
      <c r="G88" s="45"/>
      <c r="I88" s="390"/>
      <c r="J88" s="387"/>
      <c r="K88" s="391"/>
    </row>
    <row r="89" spans="1:11" x14ac:dyDescent="0.25">
      <c r="A89" s="43">
        <v>42178</v>
      </c>
      <c r="B89" s="107" t="s">
        <v>242</v>
      </c>
      <c r="C89" s="20">
        <v>7135</v>
      </c>
      <c r="D89" s="20">
        <v>7135000</v>
      </c>
      <c r="E89" s="29">
        <v>34352</v>
      </c>
      <c r="F89" s="29">
        <v>4116</v>
      </c>
      <c r="G89" s="45"/>
      <c r="I89" s="390"/>
      <c r="J89" s="387"/>
      <c r="K89" s="391"/>
    </row>
    <row r="90" spans="1:11" x14ac:dyDescent="0.25">
      <c r="A90" s="43">
        <v>42188</v>
      </c>
      <c r="B90" s="107" t="s">
        <v>278</v>
      </c>
      <c r="C90" s="20">
        <v>112</v>
      </c>
      <c r="D90" s="20">
        <v>112000</v>
      </c>
      <c r="E90" s="29">
        <v>34001</v>
      </c>
      <c r="F90" s="29">
        <v>4116</v>
      </c>
      <c r="G90" s="45">
        <f>5068-4768</f>
        <v>300</v>
      </c>
      <c r="I90" s="390"/>
      <c r="J90" s="387"/>
      <c r="K90" s="391"/>
    </row>
    <row r="91" spans="1:11" x14ac:dyDescent="0.25">
      <c r="A91" s="43">
        <v>42198</v>
      </c>
      <c r="B91" s="107" t="s">
        <v>295</v>
      </c>
      <c r="C91" s="20">
        <v>80</v>
      </c>
      <c r="D91" s="20">
        <v>80000</v>
      </c>
      <c r="E91" s="29">
        <v>34070</v>
      </c>
      <c r="F91" s="29">
        <v>4116</v>
      </c>
      <c r="G91" s="45">
        <f>5360-4768</f>
        <v>592</v>
      </c>
      <c r="I91" s="390"/>
      <c r="J91" s="387"/>
      <c r="K91" s="391"/>
    </row>
    <row r="92" spans="1:11" x14ac:dyDescent="0.25">
      <c r="A92" s="43">
        <v>42212</v>
      </c>
      <c r="B92" s="107" t="s">
        <v>341</v>
      </c>
      <c r="C92" s="20">
        <v>1900</v>
      </c>
      <c r="D92" s="20">
        <v>1900000</v>
      </c>
      <c r="E92" s="29">
        <v>34054</v>
      </c>
      <c r="F92" s="29">
        <v>4116</v>
      </c>
      <c r="G92" s="45">
        <v>514</v>
      </c>
      <c r="I92" s="390"/>
      <c r="J92" s="387"/>
      <c r="K92" s="391"/>
    </row>
    <row r="93" spans="1:11" x14ac:dyDescent="0.25">
      <c r="A93" s="43">
        <v>42214</v>
      </c>
      <c r="B93" s="107" t="s">
        <v>340</v>
      </c>
      <c r="C93" s="20">
        <v>70</v>
      </c>
      <c r="D93" s="20">
        <v>70000</v>
      </c>
      <c r="E93" s="29">
        <v>34070</v>
      </c>
      <c r="F93" s="29">
        <v>4116</v>
      </c>
      <c r="G93" s="384">
        <f>+G91-G92</f>
        <v>78</v>
      </c>
      <c r="I93" s="390"/>
      <c r="J93" s="387"/>
      <c r="K93" s="391"/>
    </row>
    <row r="94" spans="1:11" x14ac:dyDescent="0.25">
      <c r="A94" s="43">
        <v>42227</v>
      </c>
      <c r="B94" s="107" t="s">
        <v>367</v>
      </c>
      <c r="C94" s="20">
        <v>180</v>
      </c>
      <c r="D94" s="20">
        <v>180000</v>
      </c>
      <c r="E94" s="29">
        <v>34070</v>
      </c>
      <c r="F94" s="29">
        <v>4116</v>
      </c>
      <c r="G94" s="160"/>
      <c r="I94" s="390"/>
      <c r="J94" s="387"/>
      <c r="K94" s="391"/>
    </row>
    <row r="95" spans="1:11" x14ac:dyDescent="0.25">
      <c r="A95" s="43">
        <v>42241</v>
      </c>
      <c r="B95" s="107" t="s">
        <v>413</v>
      </c>
      <c r="C95" s="20">
        <v>2654</v>
      </c>
      <c r="D95" s="20">
        <v>2654000</v>
      </c>
      <c r="E95" s="29">
        <v>34002</v>
      </c>
      <c r="F95" s="29">
        <v>4116</v>
      </c>
      <c r="G95" s="45"/>
      <c r="I95" s="390"/>
      <c r="J95" s="387"/>
      <c r="K95" s="391"/>
    </row>
    <row r="96" spans="1:11" x14ac:dyDescent="0.25">
      <c r="A96" s="43">
        <v>42271</v>
      </c>
      <c r="B96" s="107" t="s">
        <v>422</v>
      </c>
      <c r="C96" s="20">
        <v>0</v>
      </c>
      <c r="D96" s="20">
        <v>1380000</v>
      </c>
      <c r="E96" s="29">
        <v>34070</v>
      </c>
      <c r="F96" s="29">
        <v>4116</v>
      </c>
      <c r="G96" s="45"/>
      <c r="I96" s="390"/>
      <c r="J96" s="387"/>
      <c r="K96" s="391"/>
    </row>
    <row r="97" spans="1:11" x14ac:dyDescent="0.25">
      <c r="A97" s="43">
        <v>42272</v>
      </c>
      <c r="B97" s="107" t="s">
        <v>422</v>
      </c>
      <c r="C97" s="20">
        <v>0</v>
      </c>
      <c r="D97" s="20">
        <v>620000</v>
      </c>
      <c r="E97" s="29">
        <v>34070</v>
      </c>
      <c r="F97" s="29">
        <v>4116</v>
      </c>
      <c r="G97" s="45"/>
      <c r="I97" s="390"/>
      <c r="J97" s="387"/>
      <c r="K97" s="391"/>
    </row>
    <row r="98" spans="1:11" x14ac:dyDescent="0.25">
      <c r="A98" s="43"/>
      <c r="B98" s="107"/>
      <c r="C98" s="20"/>
      <c r="D98" s="20"/>
      <c r="E98" s="29"/>
      <c r="F98" s="29">
        <v>4116</v>
      </c>
      <c r="G98" s="45"/>
      <c r="I98" s="390"/>
      <c r="J98" s="387"/>
      <c r="K98" s="391"/>
    </row>
    <row r="99" spans="1:11" x14ac:dyDescent="0.25">
      <c r="A99" s="43"/>
      <c r="B99" s="107"/>
      <c r="C99" s="20"/>
      <c r="D99" s="20"/>
      <c r="E99" s="29"/>
      <c r="F99" s="29">
        <v>4116</v>
      </c>
      <c r="G99" s="45"/>
      <c r="I99" s="390"/>
      <c r="J99" s="387"/>
      <c r="K99" s="391"/>
    </row>
    <row r="100" spans="1:11" x14ac:dyDescent="0.25">
      <c r="A100" s="43"/>
      <c r="B100" s="107"/>
      <c r="C100" s="20"/>
      <c r="D100" s="20"/>
      <c r="E100" s="29"/>
      <c r="F100" s="29">
        <v>4116</v>
      </c>
      <c r="G100" s="45"/>
      <c r="I100" s="390"/>
      <c r="J100" s="387"/>
      <c r="K100" s="391"/>
    </row>
    <row r="101" spans="1:11" x14ac:dyDescent="0.25">
      <c r="A101" s="43"/>
      <c r="B101" s="107"/>
      <c r="C101" s="20"/>
      <c r="D101" s="20"/>
      <c r="E101" s="29"/>
      <c r="F101" s="29">
        <v>4116</v>
      </c>
      <c r="G101" s="45"/>
      <c r="I101" s="390"/>
      <c r="J101" s="387"/>
      <c r="K101" s="391"/>
    </row>
    <row r="102" spans="1:11" x14ac:dyDescent="0.25">
      <c r="A102" s="43"/>
      <c r="B102" s="107" t="s">
        <v>267</v>
      </c>
      <c r="C102" s="174">
        <v>100</v>
      </c>
      <c r="D102" s="174">
        <f>50000+50000</f>
        <v>100000</v>
      </c>
      <c r="E102" s="29">
        <v>34273</v>
      </c>
      <c r="F102" s="29">
        <v>4116</v>
      </c>
      <c r="G102" s="384"/>
      <c r="H102" s="384"/>
      <c r="I102" s="390"/>
      <c r="J102" s="387">
        <v>100000</v>
      </c>
      <c r="K102" s="391"/>
    </row>
    <row r="103" spans="1:11" x14ac:dyDescent="0.25">
      <c r="A103" s="43"/>
      <c r="B103" s="107" t="s">
        <v>382</v>
      </c>
      <c r="C103" s="174">
        <v>70</v>
      </c>
      <c r="D103" s="174">
        <v>70000</v>
      </c>
      <c r="E103" s="29">
        <v>34002</v>
      </c>
      <c r="F103" s="29">
        <v>4116</v>
      </c>
      <c r="G103" s="384"/>
      <c r="H103" s="384"/>
      <c r="I103" s="390"/>
      <c r="J103" s="387">
        <v>70000</v>
      </c>
      <c r="K103" s="391"/>
    </row>
    <row r="104" spans="1:11" x14ac:dyDescent="0.25">
      <c r="A104" s="43"/>
      <c r="B104" s="107" t="s">
        <v>383</v>
      </c>
      <c r="C104" s="174">
        <v>90</v>
      </c>
      <c r="D104" s="174">
        <v>90000</v>
      </c>
      <c r="E104" s="29">
        <v>34002</v>
      </c>
      <c r="F104" s="29">
        <v>4116</v>
      </c>
      <c r="G104" s="384"/>
      <c r="H104" s="384"/>
      <c r="I104" s="390"/>
      <c r="J104" s="387">
        <v>90000</v>
      </c>
      <c r="K104" s="391"/>
    </row>
    <row r="105" spans="1:11" x14ac:dyDescent="0.25">
      <c r="A105" s="43"/>
      <c r="B105" s="107" t="s">
        <v>430</v>
      </c>
      <c r="C105" s="174">
        <v>54</v>
      </c>
      <c r="D105" s="174">
        <v>54000</v>
      </c>
      <c r="E105" s="29">
        <v>34002</v>
      </c>
      <c r="F105" s="29">
        <v>4116</v>
      </c>
      <c r="G105" s="384"/>
      <c r="H105" s="384"/>
      <c r="I105" s="390"/>
      <c r="J105" s="387">
        <v>54000</v>
      </c>
      <c r="K105" s="391"/>
    </row>
    <row r="106" spans="1:11" x14ac:dyDescent="0.25">
      <c r="A106" s="43"/>
      <c r="B106" s="107" t="s">
        <v>431</v>
      </c>
      <c r="C106" s="174">
        <v>300</v>
      </c>
      <c r="D106" s="174">
        <v>300000</v>
      </c>
      <c r="E106" s="29">
        <v>34002</v>
      </c>
      <c r="F106" s="29">
        <v>4116</v>
      </c>
      <c r="G106" s="384"/>
      <c r="H106" s="384"/>
      <c r="I106" s="390"/>
      <c r="J106" s="387">
        <v>300000</v>
      </c>
      <c r="K106" s="391"/>
    </row>
    <row r="107" spans="1:11" x14ac:dyDescent="0.25">
      <c r="A107" s="43"/>
      <c r="B107" s="107"/>
      <c r="C107" s="20"/>
      <c r="D107" s="20"/>
      <c r="E107" s="29"/>
      <c r="F107" s="29"/>
      <c r="G107" s="45"/>
      <c r="I107" s="390"/>
      <c r="J107" s="387"/>
      <c r="K107" s="391"/>
    </row>
    <row r="108" spans="1:11" x14ac:dyDescent="0.25">
      <c r="A108" s="43"/>
      <c r="B108" s="285" t="s">
        <v>34</v>
      </c>
      <c r="C108" s="39">
        <f>SUM(C109:C170)</f>
        <v>51231.16081999999</v>
      </c>
      <c r="D108" s="39">
        <f>SUM(D109:D171)</f>
        <v>51231160.82</v>
      </c>
      <c r="E108" s="29"/>
      <c r="F108" s="36"/>
      <c r="G108" s="45"/>
      <c r="I108" s="390"/>
      <c r="J108" s="387"/>
      <c r="K108" s="391"/>
    </row>
    <row r="109" spans="1:11" x14ac:dyDescent="0.25">
      <c r="A109" s="43">
        <v>42054</v>
      </c>
      <c r="B109" s="107" t="s">
        <v>68</v>
      </c>
      <c r="C109" s="52">
        <v>972.54641000000004</v>
      </c>
      <c r="D109" s="52">
        <v>972546.41</v>
      </c>
      <c r="E109" s="29">
        <v>33019</v>
      </c>
      <c r="F109" s="36" t="s">
        <v>18</v>
      </c>
      <c r="G109" s="45"/>
      <c r="I109" s="390"/>
      <c r="J109" s="387"/>
      <c r="K109" s="391"/>
    </row>
    <row r="110" spans="1:11" x14ac:dyDescent="0.25">
      <c r="A110" s="43">
        <v>42081</v>
      </c>
      <c r="B110" s="107" t="s">
        <v>117</v>
      </c>
      <c r="C110" s="52">
        <v>192</v>
      </c>
      <c r="D110" s="350">
        <v>192000</v>
      </c>
      <c r="E110" s="29">
        <v>33339</v>
      </c>
      <c r="F110" s="36">
        <v>4116</v>
      </c>
      <c r="G110" s="45"/>
      <c r="I110" s="390"/>
      <c r="J110" s="387"/>
      <c r="K110" s="391"/>
    </row>
    <row r="111" spans="1:11" x14ac:dyDescent="0.25">
      <c r="A111" s="43">
        <v>42116</v>
      </c>
      <c r="B111" s="107" t="s">
        <v>145</v>
      </c>
      <c r="C111" s="52">
        <v>417.25607000000002</v>
      </c>
      <c r="D111" s="350">
        <f>354667.65+62588.42</f>
        <v>417256.07</v>
      </c>
      <c r="E111" s="29">
        <v>33019</v>
      </c>
      <c r="F111" s="36">
        <v>4116</v>
      </c>
      <c r="G111" s="45"/>
      <c r="I111" s="390"/>
      <c r="J111" s="387"/>
      <c r="K111" s="391"/>
    </row>
    <row r="112" spans="1:11" x14ac:dyDescent="0.25">
      <c r="A112" s="43">
        <v>42117</v>
      </c>
      <c r="B112" s="107" t="s">
        <v>148</v>
      </c>
      <c r="C112" s="52">
        <v>6858.8674300000002</v>
      </c>
      <c r="D112" s="351">
        <v>6858867.4299999997</v>
      </c>
      <c r="E112" s="29">
        <v>33019</v>
      </c>
      <c r="F112" s="36">
        <v>4116</v>
      </c>
      <c r="G112" s="45"/>
      <c r="I112" s="390"/>
      <c r="J112" s="387"/>
      <c r="K112" s="391"/>
    </row>
    <row r="113" spans="1:11" x14ac:dyDescent="0.25">
      <c r="A113" s="43">
        <v>42131</v>
      </c>
      <c r="B113" s="107" t="s">
        <v>174</v>
      </c>
      <c r="C113" s="52">
        <v>592.21028999999999</v>
      </c>
      <c r="D113" s="350">
        <v>592210.29</v>
      </c>
      <c r="E113" s="28">
        <v>33019</v>
      </c>
      <c r="F113" s="36">
        <v>4116</v>
      </c>
      <c r="G113" s="45"/>
      <c r="I113" s="390"/>
      <c r="J113" s="387"/>
      <c r="K113" s="391"/>
    </row>
    <row r="114" spans="1:11" x14ac:dyDescent="0.25">
      <c r="A114" s="43">
        <v>42138</v>
      </c>
      <c r="B114" s="107" t="s">
        <v>148</v>
      </c>
      <c r="C114" s="52">
        <v>4904.7020000000002</v>
      </c>
      <c r="D114" s="350">
        <v>4904702</v>
      </c>
      <c r="E114" s="28">
        <v>33019</v>
      </c>
      <c r="F114" s="36">
        <v>4116</v>
      </c>
      <c r="G114" s="45"/>
      <c r="I114" s="390"/>
      <c r="J114" s="387"/>
      <c r="K114" s="391"/>
    </row>
    <row r="115" spans="1:11" x14ac:dyDescent="0.25">
      <c r="A115" s="43">
        <v>42184</v>
      </c>
      <c r="B115" s="107" t="s">
        <v>145</v>
      </c>
      <c r="C115" s="52">
        <v>681.93142</v>
      </c>
      <c r="D115" s="350">
        <v>681931.42</v>
      </c>
      <c r="E115" s="28">
        <v>33019</v>
      </c>
      <c r="F115" s="36">
        <v>4116</v>
      </c>
      <c r="G115" s="45"/>
      <c r="I115" s="390"/>
      <c r="J115" s="387"/>
      <c r="K115" s="391"/>
    </row>
    <row r="116" spans="1:11" x14ac:dyDescent="0.25">
      <c r="A116" s="43">
        <v>42188</v>
      </c>
      <c r="B116" s="276" t="s">
        <v>174</v>
      </c>
      <c r="C116" s="52">
        <v>800.06946000000005</v>
      </c>
      <c r="D116" s="350">
        <v>800069.46</v>
      </c>
      <c r="E116" s="28">
        <v>33019</v>
      </c>
      <c r="F116" s="36">
        <v>4116</v>
      </c>
      <c r="G116" s="45"/>
      <c r="I116" s="390"/>
      <c r="J116" s="387"/>
      <c r="K116" s="391"/>
    </row>
    <row r="117" spans="1:11" x14ac:dyDescent="0.25">
      <c r="A117" s="43">
        <v>42198</v>
      </c>
      <c r="B117" s="276" t="s">
        <v>275</v>
      </c>
      <c r="C117" s="52">
        <f>841.97005+148.58295</f>
        <v>990.553</v>
      </c>
      <c r="D117" s="350">
        <f>841970.05+148582.95</f>
        <v>990553</v>
      </c>
      <c r="E117" s="28">
        <v>33058</v>
      </c>
      <c r="F117" s="36">
        <v>4116</v>
      </c>
      <c r="G117" s="45"/>
      <c r="I117" s="390"/>
      <c r="J117" s="387"/>
      <c r="K117" s="391"/>
    </row>
    <row r="118" spans="1:11" x14ac:dyDescent="0.25">
      <c r="A118" s="43">
        <v>42198</v>
      </c>
      <c r="B118" s="276" t="s">
        <v>276</v>
      </c>
      <c r="C118" s="52">
        <f>846.78615+149.43285</f>
        <v>996.21900000000005</v>
      </c>
      <c r="D118" s="350">
        <f>846786.15+149432.85</f>
        <v>996219</v>
      </c>
      <c r="E118" s="28">
        <v>33058</v>
      </c>
      <c r="F118" s="36">
        <v>4116</v>
      </c>
      <c r="G118" s="45"/>
      <c r="I118" s="390"/>
      <c r="J118" s="387"/>
      <c r="K118" s="391"/>
    </row>
    <row r="119" spans="1:11" x14ac:dyDescent="0.25">
      <c r="A119" s="43">
        <v>42198</v>
      </c>
      <c r="B119" s="276" t="s">
        <v>277</v>
      </c>
      <c r="C119" s="52">
        <f>689.90845+121.74855</f>
        <v>811.65700000000004</v>
      </c>
      <c r="D119" s="350">
        <f>689908.45+121748.55</f>
        <v>811657</v>
      </c>
      <c r="E119" s="28">
        <v>33058</v>
      </c>
      <c r="F119" s="36">
        <v>4116</v>
      </c>
      <c r="G119" s="45"/>
      <c r="I119" s="390"/>
      <c r="J119" s="387"/>
      <c r="K119" s="391"/>
    </row>
    <row r="120" spans="1:11" x14ac:dyDescent="0.25">
      <c r="A120" s="43">
        <v>42200</v>
      </c>
      <c r="B120" s="276" t="s">
        <v>296</v>
      </c>
      <c r="C120" s="52">
        <v>978.06399999999996</v>
      </c>
      <c r="D120" s="350">
        <v>978064</v>
      </c>
      <c r="E120" s="28">
        <v>33058</v>
      </c>
      <c r="F120" s="36">
        <v>4116</v>
      </c>
      <c r="G120" s="45"/>
      <c r="I120" s="390"/>
      <c r="J120" s="387"/>
      <c r="K120" s="391"/>
    </row>
    <row r="121" spans="1:11" x14ac:dyDescent="0.25">
      <c r="A121" s="43">
        <v>42200</v>
      </c>
      <c r="B121" s="276" t="s">
        <v>297</v>
      </c>
      <c r="C121" s="52">
        <v>914.54499999999996</v>
      </c>
      <c r="D121" s="350">
        <v>914545</v>
      </c>
      <c r="E121" s="28">
        <v>33058</v>
      </c>
      <c r="F121" s="36">
        <v>4116</v>
      </c>
      <c r="G121" s="45"/>
      <c r="I121" s="390"/>
      <c r="J121" s="387"/>
      <c r="K121" s="391"/>
    </row>
    <row r="122" spans="1:11" x14ac:dyDescent="0.25">
      <c r="A122" s="43">
        <v>42200</v>
      </c>
      <c r="B122" s="276" t="s">
        <v>298</v>
      </c>
      <c r="C122" s="52">
        <v>797.56700000000001</v>
      </c>
      <c r="D122" s="350">
        <v>797567</v>
      </c>
      <c r="E122" s="28">
        <v>33058</v>
      </c>
      <c r="F122" s="36">
        <v>4116</v>
      </c>
      <c r="G122" s="45"/>
      <c r="I122" s="390"/>
      <c r="J122" s="387"/>
      <c r="K122" s="391"/>
    </row>
    <row r="123" spans="1:11" x14ac:dyDescent="0.25">
      <c r="A123" s="43">
        <v>42200</v>
      </c>
      <c r="B123" s="276" t="s">
        <v>299</v>
      </c>
      <c r="C123" s="52">
        <v>991.53399999999999</v>
      </c>
      <c r="D123" s="350">
        <v>991534</v>
      </c>
      <c r="E123" s="28">
        <v>33058</v>
      </c>
      <c r="F123" s="36">
        <v>4116</v>
      </c>
      <c r="G123" s="45"/>
      <c r="I123" s="390"/>
      <c r="J123" s="387"/>
      <c r="K123" s="391"/>
    </row>
    <row r="124" spans="1:11" x14ac:dyDescent="0.25">
      <c r="A124" s="43">
        <v>42200</v>
      </c>
      <c r="B124" s="276" t="s">
        <v>300</v>
      </c>
      <c r="C124" s="52">
        <v>959.90899999999999</v>
      </c>
      <c r="D124" s="350">
        <v>959909</v>
      </c>
      <c r="E124" s="28">
        <v>33058</v>
      </c>
      <c r="F124" s="36">
        <v>4116</v>
      </c>
      <c r="G124" s="45"/>
      <c r="I124" s="390"/>
      <c r="J124" s="387"/>
      <c r="K124" s="391"/>
    </row>
    <row r="125" spans="1:11" x14ac:dyDescent="0.25">
      <c r="A125" s="43">
        <v>42206</v>
      </c>
      <c r="B125" s="276" t="s">
        <v>314</v>
      </c>
      <c r="C125" s="52">
        <v>415.29</v>
      </c>
      <c r="D125" s="350">
        <v>415290</v>
      </c>
      <c r="E125" s="28">
        <v>33058</v>
      </c>
      <c r="F125" s="36">
        <v>4116</v>
      </c>
      <c r="G125" s="45"/>
      <c r="I125" s="390"/>
      <c r="J125" s="387"/>
      <c r="K125" s="391"/>
    </row>
    <row r="126" spans="1:11" x14ac:dyDescent="0.25">
      <c r="A126" s="43">
        <v>42206</v>
      </c>
      <c r="B126" s="276" t="s">
        <v>315</v>
      </c>
      <c r="C126" s="52">
        <v>578.94200000000001</v>
      </c>
      <c r="D126" s="350">
        <v>578942</v>
      </c>
      <c r="E126" s="28">
        <v>33058</v>
      </c>
      <c r="F126" s="36">
        <v>4116</v>
      </c>
      <c r="G126" s="45"/>
      <c r="I126" s="390"/>
      <c r="J126" s="387"/>
      <c r="K126" s="391"/>
    </row>
    <row r="127" spans="1:11" x14ac:dyDescent="0.25">
      <c r="A127" s="43">
        <v>42206</v>
      </c>
      <c r="B127" s="276" t="s">
        <v>316</v>
      </c>
      <c r="C127" s="52">
        <v>528.80200000000002</v>
      </c>
      <c r="D127" s="350">
        <v>528802</v>
      </c>
      <c r="E127" s="28">
        <v>33058</v>
      </c>
      <c r="F127" s="36">
        <v>4116</v>
      </c>
      <c r="G127" s="45"/>
      <c r="I127" s="390"/>
      <c r="J127" s="387"/>
      <c r="K127" s="391"/>
    </row>
    <row r="128" spans="1:11" x14ac:dyDescent="0.25">
      <c r="A128" s="43">
        <v>42206</v>
      </c>
      <c r="B128" s="276" t="s">
        <v>317</v>
      </c>
      <c r="C128" s="52">
        <v>672.51599999999996</v>
      </c>
      <c r="D128" s="350">
        <v>672516</v>
      </c>
      <c r="E128" s="28">
        <v>33058</v>
      </c>
      <c r="F128" s="36">
        <v>4116</v>
      </c>
      <c r="G128" s="45"/>
      <c r="I128" s="390"/>
      <c r="J128" s="387"/>
      <c r="K128" s="391"/>
    </row>
    <row r="129" spans="1:11" x14ac:dyDescent="0.25">
      <c r="A129" s="43">
        <v>42206</v>
      </c>
      <c r="B129" s="276" t="s">
        <v>318</v>
      </c>
      <c r="C129" s="52">
        <v>424.34399999999999</v>
      </c>
      <c r="D129" s="350">
        <v>424344</v>
      </c>
      <c r="E129" s="28">
        <v>33058</v>
      </c>
      <c r="F129" s="36">
        <v>4116</v>
      </c>
      <c r="G129" s="45"/>
      <c r="I129" s="390"/>
      <c r="J129" s="387"/>
      <c r="K129" s="391"/>
    </row>
    <row r="130" spans="1:11" x14ac:dyDescent="0.25">
      <c r="A130" s="43">
        <v>42206</v>
      </c>
      <c r="B130" s="276" t="s">
        <v>319</v>
      </c>
      <c r="C130" s="46">
        <v>315.46100000000001</v>
      </c>
      <c r="D130" s="350">
        <v>315461</v>
      </c>
      <c r="E130" s="28">
        <v>33058</v>
      </c>
      <c r="F130" s="36">
        <v>4116</v>
      </c>
      <c r="G130" s="45"/>
      <c r="I130" s="390"/>
      <c r="J130" s="387"/>
      <c r="K130" s="391"/>
    </row>
    <row r="131" spans="1:11" x14ac:dyDescent="0.25">
      <c r="A131" s="43">
        <v>42206</v>
      </c>
      <c r="B131" s="276" t="s">
        <v>320</v>
      </c>
      <c r="C131" s="46">
        <v>537.85599999999999</v>
      </c>
      <c r="D131" s="350">
        <v>537856</v>
      </c>
      <c r="E131" s="28">
        <v>33058</v>
      </c>
      <c r="F131" s="36">
        <v>4116</v>
      </c>
      <c r="G131" s="45"/>
      <c r="I131" s="390"/>
      <c r="J131" s="387"/>
      <c r="K131" s="391"/>
    </row>
    <row r="132" spans="1:11" x14ac:dyDescent="0.25">
      <c r="A132" s="43">
        <v>42206</v>
      </c>
      <c r="B132" s="276" t="s">
        <v>321</v>
      </c>
      <c r="C132" s="46">
        <v>980.19799999999998</v>
      </c>
      <c r="D132" s="350">
        <v>980198</v>
      </c>
      <c r="E132" s="28">
        <v>33058</v>
      </c>
      <c r="F132" s="36">
        <v>4116</v>
      </c>
      <c r="G132" s="45"/>
      <c r="I132" s="390"/>
      <c r="J132" s="387"/>
      <c r="K132" s="391"/>
    </row>
    <row r="133" spans="1:11" x14ac:dyDescent="0.25">
      <c r="A133" s="43">
        <v>42209</v>
      </c>
      <c r="B133" s="276" t="s">
        <v>323</v>
      </c>
      <c r="C133" s="46">
        <v>715.23800000000006</v>
      </c>
      <c r="D133" s="350">
        <v>715238</v>
      </c>
      <c r="E133" s="28">
        <v>33058</v>
      </c>
      <c r="F133" s="36">
        <v>4116</v>
      </c>
      <c r="G133" s="45"/>
      <c r="I133" s="390"/>
      <c r="J133" s="387"/>
      <c r="K133" s="391"/>
    </row>
    <row r="134" spans="1:11" x14ac:dyDescent="0.25">
      <c r="A134" s="43">
        <v>42209</v>
      </c>
      <c r="B134" s="276" t="s">
        <v>324</v>
      </c>
      <c r="C134" s="46">
        <v>692.15</v>
      </c>
      <c r="D134" s="350">
        <v>692150</v>
      </c>
      <c r="E134" s="28">
        <v>33058</v>
      </c>
      <c r="F134" s="36">
        <v>4116</v>
      </c>
      <c r="G134" s="45"/>
      <c r="I134" s="390"/>
      <c r="J134" s="387"/>
      <c r="K134" s="391"/>
    </row>
    <row r="135" spans="1:11" x14ac:dyDescent="0.25">
      <c r="A135" s="43">
        <v>42209</v>
      </c>
      <c r="B135" s="276" t="s">
        <v>325</v>
      </c>
      <c r="C135" s="46">
        <v>903.15300000000002</v>
      </c>
      <c r="D135" s="350">
        <v>903153</v>
      </c>
      <c r="E135" s="28">
        <v>33058</v>
      </c>
      <c r="F135" s="36">
        <v>4116</v>
      </c>
      <c r="G135" s="45"/>
      <c r="I135" s="390"/>
      <c r="J135" s="387"/>
      <c r="K135" s="391"/>
    </row>
    <row r="136" spans="1:11" x14ac:dyDescent="0.25">
      <c r="A136" s="43">
        <v>42209</v>
      </c>
      <c r="B136" s="276" t="s">
        <v>326</v>
      </c>
      <c r="C136" s="46">
        <v>328.98700000000002</v>
      </c>
      <c r="D136" s="350">
        <v>328987</v>
      </c>
      <c r="E136" s="28">
        <v>33058</v>
      </c>
      <c r="F136" s="36">
        <v>4116</v>
      </c>
      <c r="G136" s="45"/>
      <c r="I136" s="390"/>
      <c r="J136" s="387"/>
      <c r="K136" s="391"/>
    </row>
    <row r="137" spans="1:11" x14ac:dyDescent="0.25">
      <c r="A137" s="43">
        <v>42209</v>
      </c>
      <c r="B137" s="276" t="s">
        <v>327</v>
      </c>
      <c r="C137" s="46">
        <v>989.45600000000002</v>
      </c>
      <c r="D137" s="350">
        <v>989456</v>
      </c>
      <c r="E137" s="28">
        <v>33058</v>
      </c>
      <c r="F137" s="36">
        <v>4116</v>
      </c>
      <c r="G137" s="45"/>
      <c r="I137" s="390"/>
      <c r="J137" s="387"/>
      <c r="K137" s="391"/>
    </row>
    <row r="138" spans="1:11" x14ac:dyDescent="0.25">
      <c r="A138" s="43">
        <v>42209</v>
      </c>
      <c r="B138" s="276" t="s">
        <v>328</v>
      </c>
      <c r="C138" s="46">
        <v>990.11099999999999</v>
      </c>
      <c r="D138" s="350">
        <v>990111</v>
      </c>
      <c r="E138" s="28">
        <v>33058</v>
      </c>
      <c r="F138" s="36">
        <v>4116</v>
      </c>
      <c r="G138" s="45"/>
      <c r="I138" s="390"/>
      <c r="J138" s="387"/>
      <c r="K138" s="391"/>
    </row>
    <row r="139" spans="1:11" x14ac:dyDescent="0.25">
      <c r="A139" s="43">
        <v>42214</v>
      </c>
      <c r="B139" s="276" t="s">
        <v>335</v>
      </c>
      <c r="C139" s="46">
        <v>973.43499999999995</v>
      </c>
      <c r="D139" s="350">
        <f>827419.75+146015.25</f>
        <v>973435</v>
      </c>
      <c r="E139" s="28">
        <v>33058</v>
      </c>
      <c r="F139" s="29">
        <v>4116</v>
      </c>
      <c r="G139" s="45"/>
      <c r="I139" s="390"/>
      <c r="J139" s="387"/>
      <c r="K139" s="391"/>
    </row>
    <row r="140" spans="1:11" ht="14.45" customHeight="1" x14ac:dyDescent="0.25">
      <c r="A140" s="43">
        <v>42214</v>
      </c>
      <c r="B140" s="276" t="s">
        <v>336</v>
      </c>
      <c r="C140" s="46">
        <v>600.303</v>
      </c>
      <c r="D140" s="350">
        <f>510257.55+90045.45</f>
        <v>600303</v>
      </c>
      <c r="E140" s="28">
        <v>33058</v>
      </c>
      <c r="F140" s="29">
        <v>4116</v>
      </c>
      <c r="G140" s="45"/>
      <c r="I140" s="390"/>
      <c r="J140" s="387"/>
      <c r="K140" s="391"/>
    </row>
    <row r="141" spans="1:11" x14ac:dyDescent="0.25">
      <c r="A141" s="43">
        <v>42214</v>
      </c>
      <c r="B141" s="276" t="s">
        <v>337</v>
      </c>
      <c r="C141" s="46">
        <v>87.683000000000007</v>
      </c>
      <c r="D141" s="350">
        <v>87683</v>
      </c>
      <c r="E141" s="28">
        <v>33060</v>
      </c>
      <c r="F141" s="29">
        <v>4116</v>
      </c>
      <c r="G141" s="45"/>
      <c r="I141" s="390"/>
      <c r="J141" s="387"/>
      <c r="K141" s="391"/>
    </row>
    <row r="142" spans="1:11" x14ac:dyDescent="0.25">
      <c r="A142" s="43">
        <v>42214</v>
      </c>
      <c r="B142" s="276" t="s">
        <v>338</v>
      </c>
      <c r="C142" s="46">
        <v>40</v>
      </c>
      <c r="D142" s="350">
        <v>40000</v>
      </c>
      <c r="E142" s="28">
        <v>33060</v>
      </c>
      <c r="F142" s="29">
        <v>4116</v>
      </c>
      <c r="G142" s="45"/>
      <c r="I142" s="390"/>
      <c r="J142" s="387"/>
      <c r="K142" s="391"/>
    </row>
    <row r="143" spans="1:11" x14ac:dyDescent="0.25">
      <c r="A143" s="43">
        <v>42214</v>
      </c>
      <c r="B143" s="276" t="s">
        <v>339</v>
      </c>
      <c r="C143" s="46">
        <v>100.455</v>
      </c>
      <c r="D143" s="350">
        <v>100455</v>
      </c>
      <c r="E143" s="28">
        <v>33060</v>
      </c>
      <c r="F143" s="29">
        <v>4116</v>
      </c>
      <c r="G143" s="45"/>
      <c r="I143" s="390"/>
      <c r="J143" s="387"/>
      <c r="K143" s="391"/>
    </row>
    <row r="144" spans="1:11" x14ac:dyDescent="0.25">
      <c r="A144" s="43">
        <v>42222</v>
      </c>
      <c r="B144" s="276" t="s">
        <v>361</v>
      </c>
      <c r="C144" s="20">
        <v>568.97299999999996</v>
      </c>
      <c r="D144" s="350">
        <v>568973</v>
      </c>
      <c r="E144" s="28">
        <v>33058</v>
      </c>
      <c r="F144" s="29">
        <v>4116</v>
      </c>
      <c r="G144" s="45"/>
      <c r="I144" s="390"/>
      <c r="J144" s="387"/>
      <c r="K144" s="391"/>
    </row>
    <row r="145" spans="1:11" x14ac:dyDescent="0.25">
      <c r="A145" s="43">
        <v>42227</v>
      </c>
      <c r="B145" s="276" t="s">
        <v>362</v>
      </c>
      <c r="C145" s="20">
        <v>417.58100000000002</v>
      </c>
      <c r="D145" s="350">
        <v>417581</v>
      </c>
      <c r="E145" s="28">
        <v>33058</v>
      </c>
      <c r="F145" s="29">
        <v>4116</v>
      </c>
      <c r="G145" s="45"/>
      <c r="I145" s="390"/>
      <c r="J145" s="387"/>
      <c r="K145" s="391"/>
    </row>
    <row r="146" spans="1:11" x14ac:dyDescent="0.25">
      <c r="A146" s="43">
        <v>42227</v>
      </c>
      <c r="B146" s="276" t="s">
        <v>363</v>
      </c>
      <c r="C146" s="20">
        <v>707.96699999999998</v>
      </c>
      <c r="D146" s="350">
        <v>707967</v>
      </c>
      <c r="E146" s="28">
        <v>33058</v>
      </c>
      <c r="F146" s="29">
        <v>4116</v>
      </c>
      <c r="G146" s="45"/>
      <c r="I146" s="390"/>
      <c r="J146" s="387"/>
      <c r="K146" s="391"/>
    </row>
    <row r="147" spans="1:11" x14ac:dyDescent="0.25">
      <c r="A147" s="43">
        <v>42227</v>
      </c>
      <c r="B147" s="276" t="s">
        <v>364</v>
      </c>
      <c r="C147" s="20">
        <v>542.32799999999997</v>
      </c>
      <c r="D147" s="350">
        <v>542328</v>
      </c>
      <c r="E147" s="28">
        <v>33058</v>
      </c>
      <c r="F147" s="29">
        <v>4116</v>
      </c>
      <c r="G147" s="45"/>
      <c r="I147" s="390"/>
      <c r="J147" s="387"/>
      <c r="K147" s="391"/>
    </row>
    <row r="148" spans="1:11" x14ac:dyDescent="0.25">
      <c r="A148" s="43">
        <v>42227</v>
      </c>
      <c r="B148" s="276" t="s">
        <v>365</v>
      </c>
      <c r="C148" s="20">
        <v>605.84699999999998</v>
      </c>
      <c r="D148" s="350">
        <v>605847</v>
      </c>
      <c r="E148" s="28">
        <v>33058</v>
      </c>
      <c r="F148" s="29">
        <v>4116</v>
      </c>
      <c r="G148" s="45"/>
      <c r="I148" s="390"/>
      <c r="J148" s="387"/>
      <c r="K148" s="391"/>
    </row>
    <row r="149" spans="1:11" x14ac:dyDescent="0.25">
      <c r="A149" s="43">
        <v>42227</v>
      </c>
      <c r="B149" s="276" t="s">
        <v>366</v>
      </c>
      <c r="C149" s="20">
        <v>914.54499999999996</v>
      </c>
      <c r="D149" s="350">
        <v>914545</v>
      </c>
      <c r="E149" s="28">
        <v>33058</v>
      </c>
      <c r="F149" s="29">
        <v>4116</v>
      </c>
      <c r="G149" s="45"/>
      <c r="I149" s="390"/>
      <c r="J149" s="387"/>
      <c r="K149" s="391"/>
    </row>
    <row r="150" spans="1:11" x14ac:dyDescent="0.25">
      <c r="A150" s="43">
        <v>42229</v>
      </c>
      <c r="B150" s="276" t="s">
        <v>369</v>
      </c>
      <c r="C150" s="20">
        <v>614.12400000000002</v>
      </c>
      <c r="D150" s="350">
        <v>614124</v>
      </c>
      <c r="E150" s="28">
        <v>33058</v>
      </c>
      <c r="F150" s="29">
        <v>4116</v>
      </c>
      <c r="G150" s="45"/>
      <c r="I150" s="390"/>
      <c r="J150" s="387"/>
      <c r="K150" s="391"/>
    </row>
    <row r="151" spans="1:11" x14ac:dyDescent="0.25">
      <c r="A151" s="43">
        <v>42229</v>
      </c>
      <c r="B151" s="276" t="s">
        <v>370</v>
      </c>
      <c r="C151" s="20">
        <v>492.49200000000002</v>
      </c>
      <c r="D151" s="350">
        <v>492492</v>
      </c>
      <c r="E151" s="28">
        <v>33058</v>
      </c>
      <c r="F151" s="29">
        <v>4116</v>
      </c>
      <c r="G151" s="45"/>
      <c r="I151" s="390"/>
      <c r="J151" s="387"/>
      <c r="K151" s="391"/>
    </row>
    <row r="152" spans="1:11" x14ac:dyDescent="0.25">
      <c r="A152" s="43">
        <v>42233</v>
      </c>
      <c r="B152" s="276" t="s">
        <v>371</v>
      </c>
      <c r="C152" s="20">
        <v>378.98</v>
      </c>
      <c r="D152" s="350">
        <v>378980</v>
      </c>
      <c r="E152" s="28">
        <v>33058</v>
      </c>
      <c r="F152" s="29">
        <v>4116</v>
      </c>
      <c r="G152" s="45"/>
      <c r="I152" s="390"/>
      <c r="J152" s="387"/>
      <c r="K152" s="391"/>
    </row>
    <row r="153" spans="1:11" x14ac:dyDescent="0.25">
      <c r="A153" s="43">
        <v>42233</v>
      </c>
      <c r="B153" s="276" t="s">
        <v>372</v>
      </c>
      <c r="C153" s="20">
        <v>785.52</v>
      </c>
      <c r="D153" s="350">
        <v>785520</v>
      </c>
      <c r="E153" s="28">
        <v>33058</v>
      </c>
      <c r="F153" s="29">
        <v>4116</v>
      </c>
      <c r="G153" s="45"/>
      <c r="I153" s="390"/>
      <c r="J153" s="387"/>
      <c r="K153" s="391"/>
    </row>
    <row r="154" spans="1:11" x14ac:dyDescent="0.25">
      <c r="A154" s="43">
        <v>42233</v>
      </c>
      <c r="B154" s="276" t="s">
        <v>373</v>
      </c>
      <c r="C154" s="20">
        <v>447.12799999999999</v>
      </c>
      <c r="D154" s="350">
        <v>447128</v>
      </c>
      <c r="E154" s="28">
        <v>33058</v>
      </c>
      <c r="F154" s="29">
        <v>4116</v>
      </c>
      <c r="G154" s="45"/>
      <c r="I154" s="390"/>
      <c r="J154" s="387"/>
      <c r="K154" s="391"/>
    </row>
    <row r="155" spans="1:11" x14ac:dyDescent="0.25">
      <c r="A155" s="43">
        <v>42233</v>
      </c>
      <c r="B155" s="276" t="s">
        <v>374</v>
      </c>
      <c r="C155" s="20">
        <v>692.15</v>
      </c>
      <c r="D155" s="350">
        <v>692150</v>
      </c>
      <c r="E155" s="28">
        <v>33058</v>
      </c>
      <c r="F155" s="29">
        <v>4116</v>
      </c>
      <c r="G155" s="45"/>
      <c r="I155" s="390"/>
      <c r="J155" s="387"/>
      <c r="K155" s="391"/>
    </row>
    <row r="156" spans="1:11" x14ac:dyDescent="0.25">
      <c r="A156" s="43">
        <v>42236</v>
      </c>
      <c r="B156" s="276" t="s">
        <v>375</v>
      </c>
      <c r="C156" s="20">
        <v>479.97199999999998</v>
      </c>
      <c r="D156" s="350">
        <v>479972</v>
      </c>
      <c r="E156" s="28">
        <v>33058</v>
      </c>
      <c r="F156" s="29">
        <v>4116</v>
      </c>
      <c r="G156" s="45"/>
      <c r="I156" s="390"/>
      <c r="J156" s="387"/>
      <c r="K156" s="391"/>
    </row>
    <row r="157" spans="1:11" x14ac:dyDescent="0.25">
      <c r="A157" s="43">
        <v>42236</v>
      </c>
      <c r="B157" s="276" t="s">
        <v>376</v>
      </c>
      <c r="C157" s="20">
        <v>964.17700000000002</v>
      </c>
      <c r="D157" s="350">
        <v>964177</v>
      </c>
      <c r="E157" s="28">
        <v>33058</v>
      </c>
      <c r="F157" s="29">
        <v>4116</v>
      </c>
      <c r="G157" s="45"/>
      <c r="I157" s="390"/>
      <c r="J157" s="387"/>
      <c r="K157" s="391"/>
    </row>
    <row r="158" spans="1:11" x14ac:dyDescent="0.25">
      <c r="A158" s="43">
        <v>42236</v>
      </c>
      <c r="B158" s="276" t="s">
        <v>377</v>
      </c>
      <c r="C158" s="20">
        <v>736.59900000000005</v>
      </c>
      <c r="D158" s="350">
        <v>736599</v>
      </c>
      <c r="E158" s="28">
        <v>33058</v>
      </c>
      <c r="F158" s="29">
        <v>4116</v>
      </c>
      <c r="G158" s="45"/>
      <c r="I158" s="390"/>
      <c r="J158" s="387"/>
      <c r="K158" s="391"/>
    </row>
    <row r="159" spans="1:11" x14ac:dyDescent="0.25">
      <c r="A159" s="43">
        <v>42236</v>
      </c>
      <c r="B159" s="276" t="s">
        <v>378</v>
      </c>
      <c r="C159" s="20">
        <v>501.89699999999999</v>
      </c>
      <c r="D159" s="350">
        <v>501897</v>
      </c>
      <c r="E159" s="28">
        <v>33058</v>
      </c>
      <c r="F159" s="29">
        <v>4116</v>
      </c>
      <c r="G159" s="45"/>
      <c r="I159" s="390"/>
      <c r="J159" s="387"/>
      <c r="K159" s="391"/>
    </row>
    <row r="160" spans="1:11" x14ac:dyDescent="0.25">
      <c r="A160" s="43">
        <v>42240</v>
      </c>
      <c r="B160" s="276" t="s">
        <v>400</v>
      </c>
      <c r="C160" s="20">
        <v>390.37200000000001</v>
      </c>
      <c r="D160" s="350">
        <v>390372</v>
      </c>
      <c r="E160" s="28">
        <v>33058</v>
      </c>
      <c r="F160" s="29">
        <v>4116</v>
      </c>
      <c r="G160" s="45"/>
      <c r="I160" s="390"/>
      <c r="J160" s="387"/>
      <c r="K160" s="391"/>
    </row>
    <row r="161" spans="1:11" x14ac:dyDescent="0.25">
      <c r="A161" s="43">
        <v>42240</v>
      </c>
      <c r="B161" s="276" t="s">
        <v>384</v>
      </c>
      <c r="C161" s="20">
        <v>227.024</v>
      </c>
      <c r="D161" s="350">
        <v>227024</v>
      </c>
      <c r="E161" s="28">
        <v>33058</v>
      </c>
      <c r="F161" s="29">
        <v>4116</v>
      </c>
      <c r="G161" s="45"/>
      <c r="I161" s="390"/>
      <c r="J161" s="387"/>
      <c r="K161" s="391"/>
    </row>
    <row r="162" spans="1:11" x14ac:dyDescent="0.25">
      <c r="A162" s="43">
        <v>42240</v>
      </c>
      <c r="B162" s="276" t="s">
        <v>385</v>
      </c>
      <c r="C162" s="20">
        <v>649.077</v>
      </c>
      <c r="D162" s="350">
        <v>649077</v>
      </c>
      <c r="E162" s="28">
        <v>33058</v>
      </c>
      <c r="F162" s="29">
        <v>4116</v>
      </c>
      <c r="G162" s="45"/>
      <c r="I162" s="390"/>
      <c r="J162" s="387"/>
      <c r="K162" s="391"/>
    </row>
    <row r="163" spans="1:11" x14ac:dyDescent="0.25">
      <c r="A163" s="43">
        <v>42240</v>
      </c>
      <c r="B163" s="276" t="s">
        <v>386</v>
      </c>
      <c r="C163" s="20">
        <v>982.69299999999998</v>
      </c>
      <c r="D163" s="350">
        <v>982693</v>
      </c>
      <c r="E163" s="28">
        <v>33058</v>
      </c>
      <c r="F163" s="29">
        <v>4116</v>
      </c>
      <c r="G163" s="45"/>
      <c r="I163" s="390"/>
      <c r="J163" s="387"/>
      <c r="K163" s="391"/>
    </row>
    <row r="164" spans="1:11" x14ac:dyDescent="0.25">
      <c r="A164" s="43">
        <v>42240</v>
      </c>
      <c r="B164" s="276" t="s">
        <v>387</v>
      </c>
      <c r="C164" s="20">
        <v>481.1</v>
      </c>
      <c r="D164" s="350">
        <v>481100</v>
      </c>
      <c r="E164" s="28">
        <v>33058</v>
      </c>
      <c r="F164" s="29">
        <v>4116</v>
      </c>
      <c r="G164" s="45"/>
      <c r="I164" s="390"/>
      <c r="J164" s="387"/>
      <c r="K164" s="391"/>
    </row>
    <row r="165" spans="1:11" x14ac:dyDescent="0.25">
      <c r="A165" s="43">
        <v>42240</v>
      </c>
      <c r="B165" s="276" t="s">
        <v>388</v>
      </c>
      <c r="C165" s="20">
        <v>979.07</v>
      </c>
      <c r="D165" s="350">
        <v>979070</v>
      </c>
      <c r="E165" s="28">
        <v>33058</v>
      </c>
      <c r="F165" s="29">
        <v>4116</v>
      </c>
      <c r="G165" s="45"/>
      <c r="I165" s="390"/>
      <c r="J165" s="387"/>
      <c r="K165" s="391"/>
    </row>
    <row r="166" spans="1:11" x14ac:dyDescent="0.25">
      <c r="A166" s="43">
        <v>42240</v>
      </c>
      <c r="B166" s="276" t="s">
        <v>389</v>
      </c>
      <c r="C166" s="20">
        <v>354.06200000000001</v>
      </c>
      <c r="D166" s="350">
        <v>354062</v>
      </c>
      <c r="E166" s="28">
        <v>33058</v>
      </c>
      <c r="F166" s="29">
        <v>4116</v>
      </c>
      <c r="G166" s="45"/>
      <c r="I166" s="390"/>
      <c r="J166" s="387"/>
      <c r="K166" s="391"/>
    </row>
    <row r="167" spans="1:11" x14ac:dyDescent="0.25">
      <c r="A167" s="43">
        <v>42240</v>
      </c>
      <c r="B167" s="276" t="s">
        <v>390</v>
      </c>
      <c r="C167" s="20">
        <v>227.024</v>
      </c>
      <c r="D167" s="350">
        <v>227024</v>
      </c>
      <c r="E167" s="28">
        <v>33058</v>
      </c>
      <c r="F167" s="29">
        <v>4116</v>
      </c>
      <c r="G167" s="45"/>
      <c r="I167" s="390"/>
      <c r="J167" s="387"/>
      <c r="K167" s="391"/>
    </row>
    <row r="168" spans="1:11" x14ac:dyDescent="0.25">
      <c r="A168" s="43">
        <v>42240</v>
      </c>
      <c r="B168" s="276" t="s">
        <v>391</v>
      </c>
      <c r="C168" s="20">
        <v>998.44399999999996</v>
      </c>
      <c r="D168" s="350">
        <v>998444</v>
      </c>
      <c r="E168" s="28">
        <v>33058</v>
      </c>
      <c r="F168" s="29">
        <v>4116</v>
      </c>
      <c r="G168" s="45"/>
      <c r="I168" s="390"/>
      <c r="J168" s="387"/>
      <c r="K168" s="391"/>
    </row>
    <row r="169" spans="1:11" x14ac:dyDescent="0.25">
      <c r="A169" s="43">
        <v>42240</v>
      </c>
      <c r="B169" s="276" t="s">
        <v>540</v>
      </c>
      <c r="C169" s="20">
        <v>265.46800000000002</v>
      </c>
      <c r="D169" s="350">
        <v>265468</v>
      </c>
      <c r="E169" s="28">
        <v>33058</v>
      </c>
      <c r="F169" s="29">
        <v>4116</v>
      </c>
      <c r="G169" s="45"/>
      <c r="H169" s="384"/>
      <c r="I169" s="390"/>
      <c r="J169" s="387"/>
      <c r="K169" s="391"/>
    </row>
    <row r="170" spans="1:11" x14ac:dyDescent="0.25">
      <c r="A170" s="43">
        <v>42242</v>
      </c>
      <c r="B170" s="276" t="s">
        <v>148</v>
      </c>
      <c r="C170" s="20">
        <v>2092.5357399999998</v>
      </c>
      <c r="D170" s="52">
        <v>2092535.74</v>
      </c>
      <c r="E170" s="28">
        <v>33019</v>
      </c>
      <c r="F170" s="29">
        <v>4116</v>
      </c>
      <c r="G170" s="45"/>
      <c r="I170" s="390"/>
      <c r="J170" s="387"/>
      <c r="K170" s="391"/>
    </row>
    <row r="171" spans="1:11" x14ac:dyDescent="0.25">
      <c r="A171" s="43"/>
      <c r="B171" s="107"/>
      <c r="C171" s="20"/>
      <c r="D171" s="52"/>
      <c r="E171" s="28"/>
      <c r="F171" s="29">
        <v>4116</v>
      </c>
      <c r="G171" s="45"/>
      <c r="I171" s="390"/>
      <c r="J171" s="387"/>
      <c r="K171" s="391"/>
    </row>
    <row r="172" spans="1:11" x14ac:dyDescent="0.25">
      <c r="A172" s="43"/>
      <c r="B172" s="273" t="s">
        <v>35</v>
      </c>
      <c r="C172" s="30">
        <f>+SUM(C173:C178)</f>
        <v>2686.6678700000002</v>
      </c>
      <c r="D172" s="30">
        <f>+SUM(D173:D178)</f>
        <v>2686667.87</v>
      </c>
      <c r="E172" s="28"/>
      <c r="F172" s="29"/>
      <c r="G172" s="45"/>
      <c r="I172" s="390"/>
      <c r="J172" s="387"/>
      <c r="K172" s="391"/>
    </row>
    <row r="173" spans="1:11" x14ac:dyDescent="0.25">
      <c r="A173" s="43">
        <v>42040</v>
      </c>
      <c r="B173" s="107" t="s">
        <v>60</v>
      </c>
      <c r="C173" s="52">
        <v>2686.6678700000002</v>
      </c>
      <c r="D173" s="52">
        <v>2686667.87</v>
      </c>
      <c r="E173" s="28">
        <v>17003</v>
      </c>
      <c r="F173" s="29" t="s">
        <v>18</v>
      </c>
      <c r="G173" s="45"/>
      <c r="I173" s="390"/>
      <c r="J173" s="387"/>
      <c r="K173" s="391"/>
    </row>
    <row r="174" spans="1:11" x14ac:dyDescent="0.25">
      <c r="A174" s="43">
        <v>42059</v>
      </c>
      <c r="B174" s="107" t="s">
        <v>105</v>
      </c>
      <c r="C174" s="52">
        <v>188.21549999999999</v>
      </c>
      <c r="D174" s="52">
        <v>188215.5</v>
      </c>
      <c r="E174" s="28">
        <v>17003</v>
      </c>
      <c r="F174" s="29">
        <v>4116</v>
      </c>
      <c r="G174" s="45"/>
      <c r="I174" s="390"/>
      <c r="J174" s="387"/>
      <c r="K174" s="391"/>
    </row>
    <row r="175" spans="1:11" x14ac:dyDescent="0.25">
      <c r="A175" s="43">
        <v>42059</v>
      </c>
      <c r="B175" s="107" t="s">
        <v>105</v>
      </c>
      <c r="C175" s="52">
        <v>33.214500000000001</v>
      </c>
      <c r="D175" s="52">
        <v>33214.5</v>
      </c>
      <c r="E175" s="28">
        <v>17002</v>
      </c>
      <c r="F175" s="29">
        <v>4116</v>
      </c>
      <c r="G175" s="45"/>
      <c r="I175" s="390"/>
      <c r="J175" s="387"/>
      <c r="K175" s="391"/>
    </row>
    <row r="176" spans="1:11" x14ac:dyDescent="0.25">
      <c r="A176" s="43">
        <v>42241</v>
      </c>
      <c r="B176" s="107" t="s">
        <v>379</v>
      </c>
      <c r="C176" s="52">
        <v>-188.21549999999999</v>
      </c>
      <c r="D176" s="52">
        <v>-188215.5</v>
      </c>
      <c r="E176" s="28">
        <v>17003</v>
      </c>
      <c r="F176" s="29">
        <v>4116</v>
      </c>
      <c r="G176" s="45"/>
      <c r="I176" s="390"/>
      <c r="J176" s="387"/>
      <c r="K176" s="391"/>
    </row>
    <row r="177" spans="1:11" x14ac:dyDescent="0.25">
      <c r="A177" s="43">
        <v>42241</v>
      </c>
      <c r="B177" s="107" t="s">
        <v>379</v>
      </c>
      <c r="C177" s="52">
        <v>-33.214500000000001</v>
      </c>
      <c r="D177" s="52">
        <v>-33214.5</v>
      </c>
      <c r="E177" s="28">
        <v>17002</v>
      </c>
      <c r="F177" s="29">
        <v>4116</v>
      </c>
      <c r="G177" s="45"/>
      <c r="I177" s="390"/>
      <c r="J177" s="387"/>
      <c r="K177" s="391"/>
    </row>
    <row r="178" spans="1:11" x14ac:dyDescent="0.25">
      <c r="A178" s="43"/>
      <c r="B178" s="289"/>
      <c r="C178" s="52"/>
      <c r="D178" s="52"/>
      <c r="E178" s="28"/>
      <c r="F178" s="29"/>
      <c r="G178" s="45"/>
      <c r="I178" s="390"/>
      <c r="J178" s="387"/>
      <c r="K178" s="391"/>
    </row>
    <row r="179" spans="1:11" x14ac:dyDescent="0.25">
      <c r="A179" s="43"/>
      <c r="B179" s="31" t="s">
        <v>36</v>
      </c>
      <c r="C179" s="30">
        <f>+SUM(C180:C185)</f>
        <v>47811.788510000006</v>
      </c>
      <c r="D179" s="30">
        <f>+SUM(D180:D185)</f>
        <v>60120788.509999998</v>
      </c>
      <c r="E179" s="28"/>
      <c r="F179" s="29"/>
      <c r="G179" s="45"/>
      <c r="I179" s="390"/>
      <c r="J179" s="387"/>
      <c r="K179" s="391"/>
    </row>
    <row r="180" spans="1:11" x14ac:dyDescent="0.25">
      <c r="A180" s="43">
        <v>42163</v>
      </c>
      <c r="B180" s="107" t="s">
        <v>237</v>
      </c>
      <c r="C180" s="20">
        <v>46797.196000000004</v>
      </c>
      <c r="D180" s="52">
        <v>46797196</v>
      </c>
      <c r="E180" s="28">
        <v>13011</v>
      </c>
      <c r="F180" s="29">
        <v>4116</v>
      </c>
      <c r="G180" s="384" t="s">
        <v>348</v>
      </c>
      <c r="H180" s="384">
        <v>42649848</v>
      </c>
      <c r="I180" s="390"/>
      <c r="J180" s="387">
        <v>42649848</v>
      </c>
      <c r="K180" s="391"/>
    </row>
    <row r="181" spans="1:11" x14ac:dyDescent="0.25">
      <c r="A181" s="43">
        <v>42163</v>
      </c>
      <c r="B181" s="107" t="s">
        <v>238</v>
      </c>
      <c r="C181" s="20">
        <v>505.56599999999997</v>
      </c>
      <c r="D181" s="52">
        <v>505566</v>
      </c>
      <c r="E181" s="28">
        <v>13011</v>
      </c>
      <c r="F181" s="29">
        <v>4116</v>
      </c>
      <c r="G181" s="45"/>
      <c r="I181" s="390"/>
      <c r="J181" s="387"/>
      <c r="K181" s="391"/>
    </row>
    <row r="182" spans="1:11" x14ac:dyDescent="0.25">
      <c r="A182" s="43">
        <v>42271</v>
      </c>
      <c r="B182" s="107" t="s">
        <v>423</v>
      </c>
      <c r="C182" s="20">
        <v>0</v>
      </c>
      <c r="D182" s="52">
        <v>12309000</v>
      </c>
      <c r="E182" s="28">
        <v>13015</v>
      </c>
      <c r="F182" s="29">
        <v>4116</v>
      </c>
      <c r="G182" s="45"/>
      <c r="I182" s="390"/>
      <c r="J182" s="387"/>
      <c r="K182" s="391"/>
    </row>
    <row r="183" spans="1:11" x14ac:dyDescent="0.25">
      <c r="A183" s="43"/>
      <c r="B183" s="107"/>
      <c r="C183" s="20"/>
      <c r="D183" s="52"/>
      <c r="E183" s="28"/>
      <c r="F183" s="29">
        <v>4116</v>
      </c>
      <c r="G183" s="45"/>
      <c r="I183" s="390"/>
      <c r="J183" s="387"/>
      <c r="K183" s="391"/>
    </row>
    <row r="184" spans="1:11" x14ac:dyDescent="0.25">
      <c r="A184" s="43"/>
      <c r="B184" s="44" t="s">
        <v>196</v>
      </c>
      <c r="C184" s="175">
        <v>181.30393000000001</v>
      </c>
      <c r="D184" s="175">
        <v>181303.93</v>
      </c>
      <c r="E184" s="28">
        <v>13233</v>
      </c>
      <c r="F184" s="29">
        <v>4116</v>
      </c>
      <c r="G184" s="45"/>
      <c r="I184" s="390"/>
      <c r="J184" s="387">
        <v>181303.93</v>
      </c>
      <c r="K184" s="391"/>
    </row>
    <row r="185" spans="1:11" x14ac:dyDescent="0.25">
      <c r="A185" s="43"/>
      <c r="B185" s="44" t="s">
        <v>203</v>
      </c>
      <c r="C185" s="175">
        <v>327.72257999999999</v>
      </c>
      <c r="D185" s="175">
        <v>327722.58</v>
      </c>
      <c r="E185" s="28">
        <v>13233</v>
      </c>
      <c r="F185" s="29">
        <v>4116</v>
      </c>
      <c r="G185" s="45"/>
      <c r="I185" s="390"/>
      <c r="J185" s="387">
        <v>327722.58</v>
      </c>
      <c r="K185" s="391"/>
    </row>
    <row r="186" spans="1:11" x14ac:dyDescent="0.25">
      <c r="A186" s="43"/>
      <c r="B186" s="58"/>
      <c r="C186" s="46"/>
      <c r="D186" s="358"/>
      <c r="E186" s="28"/>
      <c r="F186" s="29"/>
      <c r="G186" s="45"/>
      <c r="I186" s="390"/>
      <c r="J186" s="387"/>
      <c r="K186" s="391"/>
    </row>
    <row r="187" spans="1:11" x14ac:dyDescent="0.25">
      <c r="A187" s="43"/>
      <c r="B187" s="273" t="s">
        <v>38</v>
      </c>
      <c r="C187" s="30">
        <f>+C188</f>
        <v>600</v>
      </c>
      <c r="D187" s="30">
        <f>+D188</f>
        <v>600000</v>
      </c>
      <c r="E187" s="28"/>
      <c r="F187" s="29"/>
      <c r="G187" s="45"/>
      <c r="I187" s="390"/>
      <c r="J187" s="387"/>
      <c r="K187" s="391"/>
    </row>
    <row r="188" spans="1:11" x14ac:dyDescent="0.25">
      <c r="A188" s="43">
        <v>42051</v>
      </c>
      <c r="B188" s="107" t="s">
        <v>39</v>
      </c>
      <c r="C188" s="46">
        <v>600</v>
      </c>
      <c r="D188" s="46">
        <v>600000</v>
      </c>
      <c r="E188" s="28">
        <v>22005</v>
      </c>
      <c r="F188" s="29" t="s">
        <v>18</v>
      </c>
      <c r="G188" s="45"/>
      <c r="I188" s="390"/>
      <c r="J188" s="387"/>
      <c r="K188" s="391"/>
    </row>
    <row r="189" spans="1:11" x14ac:dyDescent="0.25">
      <c r="A189" s="43"/>
      <c r="B189" s="276"/>
      <c r="C189" s="46"/>
      <c r="D189" s="46"/>
      <c r="E189" s="28"/>
      <c r="F189" s="29"/>
      <c r="G189" s="45"/>
      <c r="I189" s="390"/>
      <c r="J189" s="387"/>
      <c r="K189" s="391"/>
    </row>
    <row r="190" spans="1:11" x14ac:dyDescent="0.25">
      <c r="A190" s="43"/>
      <c r="B190" s="273" t="s">
        <v>40</v>
      </c>
      <c r="C190" s="30">
        <f>SUM(C191:C207)</f>
        <v>1718.7486699999999</v>
      </c>
      <c r="D190" s="30">
        <f>SUM(D191:D207)</f>
        <v>2027652.67</v>
      </c>
      <c r="E190" s="28"/>
      <c r="F190" s="29"/>
      <c r="G190" s="45"/>
      <c r="I190" s="390"/>
      <c r="J190" s="387"/>
      <c r="K190" s="391"/>
    </row>
    <row r="191" spans="1:11" x14ac:dyDescent="0.25">
      <c r="A191" s="43">
        <v>42081</v>
      </c>
      <c r="B191" s="276" t="s">
        <v>118</v>
      </c>
      <c r="C191" s="46">
        <v>134.988</v>
      </c>
      <c r="D191" s="46">
        <v>134988</v>
      </c>
      <c r="E191" s="28">
        <v>14023</v>
      </c>
      <c r="F191" s="29">
        <v>4116</v>
      </c>
      <c r="G191" s="45"/>
      <c r="I191" s="390"/>
      <c r="J191" s="387"/>
      <c r="K191" s="391"/>
    </row>
    <row r="192" spans="1:11" x14ac:dyDescent="0.25">
      <c r="A192" s="43">
        <v>42082</v>
      </c>
      <c r="B192" s="276" t="s">
        <v>119</v>
      </c>
      <c r="C192" s="46">
        <v>72</v>
      </c>
      <c r="D192" s="46">
        <v>72000</v>
      </c>
      <c r="E192" s="28">
        <v>14336</v>
      </c>
      <c r="F192" s="29">
        <v>4116</v>
      </c>
      <c r="G192" s="45"/>
      <c r="I192" s="390"/>
      <c r="J192" s="387"/>
      <c r="K192" s="391"/>
    </row>
    <row r="193" spans="1:11" x14ac:dyDescent="0.25">
      <c r="A193" s="43">
        <v>42087</v>
      </c>
      <c r="B193" s="276" t="s">
        <v>118</v>
      </c>
      <c r="C193" s="46">
        <v>0.8</v>
      </c>
      <c r="D193" s="46">
        <v>800</v>
      </c>
      <c r="E193" s="28">
        <v>14023</v>
      </c>
      <c r="F193" s="29">
        <v>4116</v>
      </c>
      <c r="G193" s="45"/>
      <c r="I193" s="390"/>
      <c r="J193" s="387"/>
      <c r="K193" s="391"/>
    </row>
    <row r="194" spans="1:11" x14ac:dyDescent="0.25">
      <c r="A194" s="43">
        <v>42090</v>
      </c>
      <c r="B194" s="276" t="s">
        <v>118</v>
      </c>
      <c r="C194" s="46">
        <v>66.06</v>
      </c>
      <c r="D194" s="46">
        <v>66060</v>
      </c>
      <c r="E194" s="28">
        <v>14023</v>
      </c>
      <c r="F194" s="29">
        <v>4116</v>
      </c>
      <c r="G194" s="45"/>
      <c r="I194" s="390"/>
      <c r="J194" s="387"/>
      <c r="K194" s="391"/>
    </row>
    <row r="195" spans="1:11" x14ac:dyDescent="0.25">
      <c r="A195" s="43">
        <v>42096</v>
      </c>
      <c r="B195" s="276" t="s">
        <v>136</v>
      </c>
      <c r="C195" s="46">
        <v>72</v>
      </c>
      <c r="D195" s="46">
        <v>72000</v>
      </c>
      <c r="E195" s="28">
        <v>14336</v>
      </c>
      <c r="F195" s="29">
        <v>4116</v>
      </c>
      <c r="G195" s="45"/>
      <c r="I195" s="390"/>
      <c r="J195" s="387"/>
      <c r="K195" s="391"/>
    </row>
    <row r="196" spans="1:11" x14ac:dyDescent="0.25">
      <c r="A196" s="43">
        <v>42096</v>
      </c>
      <c r="B196" s="276" t="s">
        <v>137</v>
      </c>
      <c r="C196" s="46">
        <v>72</v>
      </c>
      <c r="D196" s="46">
        <v>72000</v>
      </c>
      <c r="E196" s="28">
        <v>14336</v>
      </c>
      <c r="F196" s="29">
        <v>4116</v>
      </c>
      <c r="G196" s="45"/>
      <c r="I196" s="390"/>
      <c r="J196" s="387"/>
      <c r="K196" s="391"/>
    </row>
    <row r="197" spans="1:11" x14ac:dyDescent="0.25">
      <c r="A197" s="43">
        <v>42123</v>
      </c>
      <c r="B197" s="276" t="s">
        <v>153</v>
      </c>
      <c r="C197" s="46">
        <v>72</v>
      </c>
      <c r="D197" s="46">
        <v>72000</v>
      </c>
      <c r="E197" s="28">
        <v>14336</v>
      </c>
      <c r="F197" s="29">
        <v>4116</v>
      </c>
      <c r="G197" s="45"/>
      <c r="I197" s="390"/>
      <c r="J197" s="387"/>
      <c r="K197" s="391"/>
    </row>
    <row r="198" spans="1:11" x14ac:dyDescent="0.25">
      <c r="A198" s="43">
        <v>42128</v>
      </c>
      <c r="B198" s="276" t="s">
        <v>118</v>
      </c>
      <c r="C198" s="46">
        <v>65.341999999999999</v>
      </c>
      <c r="D198" s="46">
        <v>65342</v>
      </c>
      <c r="E198" s="28">
        <v>14023</v>
      </c>
      <c r="F198" s="29">
        <v>4116</v>
      </c>
      <c r="G198" s="45"/>
      <c r="I198" s="390"/>
      <c r="J198" s="387"/>
      <c r="K198" s="391"/>
    </row>
    <row r="199" spans="1:11" x14ac:dyDescent="0.25">
      <c r="A199" s="43">
        <v>42152</v>
      </c>
      <c r="B199" s="276" t="s">
        <v>118</v>
      </c>
      <c r="C199" s="46">
        <v>69.66</v>
      </c>
      <c r="D199" s="46">
        <v>69660</v>
      </c>
      <c r="E199" s="28">
        <v>14023</v>
      </c>
      <c r="F199" s="29">
        <v>4116</v>
      </c>
      <c r="G199" s="45"/>
      <c r="I199" s="390"/>
      <c r="J199" s="387"/>
      <c r="K199" s="391"/>
    </row>
    <row r="200" spans="1:11" x14ac:dyDescent="0.25">
      <c r="A200" s="43">
        <v>42166</v>
      </c>
      <c r="B200" s="276" t="s">
        <v>229</v>
      </c>
      <c r="C200" s="46">
        <v>721</v>
      </c>
      <c r="D200" s="46">
        <f>757000-36000</f>
        <v>721000</v>
      </c>
      <c r="E200" s="28">
        <v>14018</v>
      </c>
      <c r="F200" s="29">
        <v>4116</v>
      </c>
      <c r="G200" s="45"/>
      <c r="I200" s="390"/>
      <c r="J200" s="387"/>
      <c r="K200" s="391"/>
    </row>
    <row r="201" spans="1:11" x14ac:dyDescent="0.25">
      <c r="A201" s="43">
        <v>42181</v>
      </c>
      <c r="B201" s="276" t="s">
        <v>247</v>
      </c>
      <c r="C201" s="46">
        <v>102.74966999999999</v>
      </c>
      <c r="D201" s="46">
        <v>102749.67</v>
      </c>
      <c r="E201" s="28">
        <v>14013</v>
      </c>
      <c r="F201" s="29">
        <v>4116</v>
      </c>
      <c r="G201" s="45"/>
      <c r="I201" s="390"/>
      <c r="J201" s="387"/>
      <c r="K201" s="391"/>
    </row>
    <row r="202" spans="1:11" x14ac:dyDescent="0.25">
      <c r="A202" s="43">
        <v>42184</v>
      </c>
      <c r="B202" s="276" t="s">
        <v>118</v>
      </c>
      <c r="C202" s="46">
        <f>69.6456+12.2904</f>
        <v>81.936000000000007</v>
      </c>
      <c r="D202" s="46">
        <v>81936</v>
      </c>
      <c r="E202" s="28">
        <v>14023</v>
      </c>
      <c r="F202" s="29">
        <v>4116</v>
      </c>
      <c r="G202" s="45"/>
      <c r="I202" s="390"/>
      <c r="J202" s="387"/>
      <c r="K202" s="391"/>
    </row>
    <row r="203" spans="1:11" x14ac:dyDescent="0.25">
      <c r="A203" s="43">
        <v>42213</v>
      </c>
      <c r="B203" s="276" t="s">
        <v>118</v>
      </c>
      <c r="C203" s="46">
        <v>67.016000000000005</v>
      </c>
      <c r="D203" s="46">
        <v>67016</v>
      </c>
      <c r="E203" s="28">
        <v>14023</v>
      </c>
      <c r="F203" s="29">
        <v>4116</v>
      </c>
      <c r="G203" s="45"/>
      <c r="I203" s="390"/>
      <c r="J203" s="402"/>
      <c r="K203" s="391"/>
    </row>
    <row r="204" spans="1:11" x14ac:dyDescent="0.25">
      <c r="A204" s="43">
        <v>42241</v>
      </c>
      <c r="B204" s="276" t="s">
        <v>118</v>
      </c>
      <c r="C204" s="46">
        <v>69.228999999999999</v>
      </c>
      <c r="D204" s="46">
        <f>58844.65+10384.35</f>
        <v>69229</v>
      </c>
      <c r="E204" s="28">
        <v>14023</v>
      </c>
      <c r="F204" s="29">
        <v>4116</v>
      </c>
      <c r="G204" s="45"/>
      <c r="I204" s="390"/>
      <c r="J204" s="402"/>
      <c r="K204" s="391"/>
    </row>
    <row r="205" spans="1:11" x14ac:dyDescent="0.25">
      <c r="A205" s="43"/>
      <c r="B205" s="276" t="s">
        <v>398</v>
      </c>
      <c r="C205" s="179">
        <v>0</v>
      </c>
      <c r="D205" s="179">
        <v>300000</v>
      </c>
      <c r="E205" s="28">
        <v>14336</v>
      </c>
      <c r="F205" s="29">
        <v>4116</v>
      </c>
      <c r="G205" s="384"/>
      <c r="H205" s="384"/>
      <c r="I205" s="390"/>
      <c r="J205" s="402">
        <v>300000</v>
      </c>
      <c r="K205" s="391"/>
    </row>
    <row r="206" spans="1:11" x14ac:dyDescent="0.25">
      <c r="A206" s="43"/>
      <c r="B206" s="276" t="s">
        <v>274</v>
      </c>
      <c r="C206" s="179">
        <v>36</v>
      </c>
      <c r="D206" s="179">
        <v>36000</v>
      </c>
      <c r="E206" s="28">
        <v>14018</v>
      </c>
      <c r="F206" s="29">
        <v>4116</v>
      </c>
      <c r="G206" s="45"/>
      <c r="I206" s="390"/>
      <c r="J206" s="402">
        <v>36000</v>
      </c>
      <c r="K206" s="391"/>
    </row>
    <row r="207" spans="1:11" x14ac:dyDescent="0.25">
      <c r="A207" s="43"/>
      <c r="B207" s="276" t="s">
        <v>113</v>
      </c>
      <c r="C207" s="179">
        <v>15.968</v>
      </c>
      <c r="D207" s="179">
        <f>7480+8488+8904</f>
        <v>24872</v>
      </c>
      <c r="E207" s="28">
        <v>14137</v>
      </c>
      <c r="F207" s="29">
        <v>4116</v>
      </c>
      <c r="G207" s="45"/>
      <c r="I207" s="390"/>
      <c r="J207" s="387">
        <v>15968</v>
      </c>
      <c r="K207" s="391">
        <f>+D207-J207</f>
        <v>8904</v>
      </c>
    </row>
    <row r="208" spans="1:11" x14ac:dyDescent="0.25">
      <c r="A208" s="43"/>
      <c r="B208" s="276"/>
      <c r="C208" s="46"/>
      <c r="D208" s="46"/>
      <c r="E208" s="28"/>
      <c r="F208" s="48"/>
      <c r="G208" s="45"/>
      <c r="I208" s="390"/>
      <c r="J208" s="387"/>
      <c r="K208" s="391"/>
    </row>
    <row r="209" spans="1:11" x14ac:dyDescent="0.25">
      <c r="A209" s="43"/>
      <c r="B209" s="273" t="s">
        <v>41</v>
      </c>
      <c r="C209" s="30">
        <f>+SUM(C210:C224)</f>
        <v>325.37400000000002</v>
      </c>
      <c r="D209" s="30">
        <f>+SUM(D210:D224)</f>
        <v>325374</v>
      </c>
      <c r="E209" s="28"/>
      <c r="F209" s="48"/>
      <c r="G209" s="45"/>
      <c r="I209" s="390"/>
      <c r="J209" s="387"/>
      <c r="K209" s="391"/>
    </row>
    <row r="210" spans="1:11" x14ac:dyDescent="0.25">
      <c r="A210" s="43">
        <v>42118</v>
      </c>
      <c r="B210" s="276" t="s">
        <v>93</v>
      </c>
      <c r="C210" s="46">
        <v>18.0625</v>
      </c>
      <c r="D210" s="46">
        <v>18062.5</v>
      </c>
      <c r="E210" s="28">
        <v>35019</v>
      </c>
      <c r="F210" s="48">
        <v>4116</v>
      </c>
      <c r="G210" s="45"/>
      <c r="I210" s="390"/>
      <c r="J210" s="387"/>
      <c r="K210" s="391"/>
    </row>
    <row r="211" spans="1:11" x14ac:dyDescent="0.25">
      <c r="A211" s="43">
        <v>42118</v>
      </c>
      <c r="B211" s="276" t="s">
        <v>94</v>
      </c>
      <c r="C211" s="46">
        <v>17.977499999999999</v>
      </c>
      <c r="D211" s="46">
        <v>17977.5</v>
      </c>
      <c r="E211" s="28">
        <v>35019</v>
      </c>
      <c r="F211" s="48">
        <v>4116</v>
      </c>
      <c r="G211" s="45"/>
      <c r="I211" s="390"/>
      <c r="J211" s="387"/>
      <c r="K211" s="391"/>
    </row>
    <row r="212" spans="1:11" x14ac:dyDescent="0.25">
      <c r="A212" s="43">
        <v>42118</v>
      </c>
      <c r="B212" s="276" t="s">
        <v>95</v>
      </c>
      <c r="C212" s="46">
        <v>32.084000000000003</v>
      </c>
      <c r="D212" s="46">
        <v>32084</v>
      </c>
      <c r="E212" s="28">
        <v>35019</v>
      </c>
      <c r="F212" s="48">
        <v>4116</v>
      </c>
      <c r="G212" s="45"/>
      <c r="I212" s="390"/>
      <c r="J212" s="387"/>
      <c r="K212" s="391"/>
    </row>
    <row r="213" spans="1:11" x14ac:dyDescent="0.25">
      <c r="A213" s="43">
        <v>42118</v>
      </c>
      <c r="B213" s="276" t="s">
        <v>95</v>
      </c>
      <c r="C213" s="46">
        <v>77</v>
      </c>
      <c r="D213" s="46">
        <v>77000</v>
      </c>
      <c r="E213" s="28">
        <v>35019</v>
      </c>
      <c r="F213" s="48">
        <v>4116</v>
      </c>
      <c r="G213" s="45"/>
      <c r="I213" s="390"/>
      <c r="J213" s="387"/>
      <c r="K213" s="391"/>
    </row>
    <row r="214" spans="1:11" x14ac:dyDescent="0.25">
      <c r="A214" s="43">
        <v>42118</v>
      </c>
      <c r="B214" s="276" t="s">
        <v>92</v>
      </c>
      <c r="C214" s="46">
        <v>40.25</v>
      </c>
      <c r="D214" s="46">
        <v>40250</v>
      </c>
      <c r="E214" s="28">
        <v>35019</v>
      </c>
      <c r="F214" s="48">
        <v>4116</v>
      </c>
      <c r="G214" s="45"/>
      <c r="I214" s="390"/>
      <c r="J214" s="387"/>
      <c r="K214" s="391"/>
    </row>
    <row r="215" spans="1:11" x14ac:dyDescent="0.25">
      <c r="A215" s="43">
        <v>42172</v>
      </c>
      <c r="B215" s="276" t="s">
        <v>100</v>
      </c>
      <c r="C215" s="46">
        <v>140</v>
      </c>
      <c r="D215" s="46">
        <v>140000</v>
      </c>
      <c r="E215" s="28">
        <v>35015</v>
      </c>
      <c r="F215" s="48">
        <v>4116</v>
      </c>
      <c r="G215" s="45"/>
      <c r="I215" s="390"/>
      <c r="J215" s="387"/>
      <c r="K215" s="391"/>
    </row>
    <row r="216" spans="1:11" hidden="1" x14ac:dyDescent="0.25">
      <c r="A216" s="43"/>
      <c r="B216" s="276" t="s">
        <v>93</v>
      </c>
      <c r="C216" s="46"/>
      <c r="D216" s="46"/>
      <c r="E216" s="28">
        <v>35019</v>
      </c>
      <c r="F216" s="48">
        <v>4116</v>
      </c>
      <c r="G216" s="45"/>
      <c r="I216" s="390"/>
      <c r="J216" s="387"/>
      <c r="K216" s="391"/>
    </row>
    <row r="217" spans="1:11" hidden="1" x14ac:dyDescent="0.25">
      <c r="A217" s="43"/>
      <c r="B217" s="276" t="s">
        <v>94</v>
      </c>
      <c r="C217" s="46"/>
      <c r="D217" s="46"/>
      <c r="E217" s="28">
        <v>35019</v>
      </c>
      <c r="F217" s="48">
        <v>4116</v>
      </c>
      <c r="G217" s="45"/>
      <c r="I217" s="390"/>
      <c r="J217" s="387"/>
      <c r="K217" s="391"/>
    </row>
    <row r="218" spans="1:11" hidden="1" x14ac:dyDescent="0.25">
      <c r="A218" s="43"/>
      <c r="B218" s="276" t="s">
        <v>95</v>
      </c>
      <c r="C218" s="46"/>
      <c r="D218" s="46"/>
      <c r="E218" s="28">
        <v>35019</v>
      </c>
      <c r="F218" s="48">
        <v>4116</v>
      </c>
      <c r="G218" s="45"/>
      <c r="I218" s="390"/>
      <c r="J218" s="387"/>
      <c r="K218" s="391"/>
    </row>
    <row r="219" spans="1:11" hidden="1" x14ac:dyDescent="0.25">
      <c r="A219" s="43"/>
      <c r="B219" s="276" t="s">
        <v>96</v>
      </c>
      <c r="C219" s="46"/>
      <c r="D219" s="46"/>
      <c r="E219" s="28">
        <v>35019</v>
      </c>
      <c r="F219" s="48">
        <v>4116</v>
      </c>
      <c r="G219" s="45"/>
      <c r="I219" s="390"/>
      <c r="J219" s="387"/>
      <c r="K219" s="391"/>
    </row>
    <row r="220" spans="1:11" hidden="1" x14ac:dyDescent="0.25">
      <c r="A220" s="43"/>
      <c r="B220" s="276" t="s">
        <v>93</v>
      </c>
      <c r="C220" s="46"/>
      <c r="D220" s="46"/>
      <c r="E220" s="28">
        <v>35019</v>
      </c>
      <c r="F220" s="48">
        <v>4116</v>
      </c>
      <c r="G220" s="45"/>
      <c r="I220" s="390"/>
      <c r="J220" s="387"/>
      <c r="K220" s="391"/>
    </row>
    <row r="221" spans="1:11" hidden="1" x14ac:dyDescent="0.25">
      <c r="A221" s="43"/>
      <c r="B221" s="276" t="s">
        <v>95</v>
      </c>
      <c r="C221" s="46"/>
      <c r="D221" s="46"/>
      <c r="E221" s="28">
        <v>35019</v>
      </c>
      <c r="F221" s="48">
        <v>4116</v>
      </c>
      <c r="G221" s="45"/>
      <c r="I221" s="390"/>
      <c r="J221" s="387"/>
      <c r="K221" s="391"/>
    </row>
    <row r="222" spans="1:11" hidden="1" x14ac:dyDescent="0.25">
      <c r="A222" s="43"/>
      <c r="B222" s="276" t="s">
        <v>95</v>
      </c>
      <c r="C222" s="46"/>
      <c r="D222" s="46"/>
      <c r="E222" s="28">
        <v>35019</v>
      </c>
      <c r="F222" s="48">
        <v>4116</v>
      </c>
      <c r="G222" s="45"/>
      <c r="I222" s="390"/>
      <c r="J222" s="387"/>
      <c r="K222" s="391"/>
    </row>
    <row r="223" spans="1:11" hidden="1" x14ac:dyDescent="0.25">
      <c r="A223" s="43"/>
      <c r="B223" s="276" t="s">
        <v>92</v>
      </c>
      <c r="C223" s="46"/>
      <c r="D223" s="46"/>
      <c r="E223" s="28">
        <v>35019</v>
      </c>
      <c r="F223" s="48">
        <v>4116</v>
      </c>
      <c r="G223" s="45"/>
      <c r="I223" s="390"/>
      <c r="J223" s="387"/>
      <c r="K223" s="391"/>
    </row>
    <row r="224" spans="1:11" hidden="1" x14ac:dyDescent="0.25">
      <c r="A224" s="43"/>
      <c r="B224" s="276" t="s">
        <v>100</v>
      </c>
      <c r="C224" s="46"/>
      <c r="D224" s="46"/>
      <c r="E224" s="28">
        <v>35015</v>
      </c>
      <c r="F224" s="48">
        <v>4116</v>
      </c>
      <c r="G224" s="45"/>
      <c r="I224" s="390"/>
      <c r="J224" s="387"/>
      <c r="K224" s="391"/>
    </row>
    <row r="225" spans="1:11" x14ac:dyDescent="0.25">
      <c r="A225" s="43"/>
      <c r="B225" s="276"/>
      <c r="C225" s="46"/>
      <c r="D225" s="46"/>
      <c r="E225" s="28"/>
      <c r="F225" s="48"/>
      <c r="G225" s="45"/>
      <c r="I225" s="390"/>
      <c r="J225" s="387"/>
      <c r="K225" s="391"/>
    </row>
    <row r="226" spans="1:11" x14ac:dyDescent="0.25">
      <c r="A226" s="43"/>
      <c r="B226" s="273" t="s">
        <v>42</v>
      </c>
      <c r="C226" s="30">
        <f>+SUM(C227:C233)</f>
        <v>180.94400000000002</v>
      </c>
      <c r="D226" s="30">
        <f>+SUM(D227:D233)</f>
        <v>180944</v>
      </c>
      <c r="E226" s="28"/>
      <c r="F226" s="48"/>
      <c r="G226" s="45"/>
      <c r="I226" s="390"/>
      <c r="J226" s="387"/>
      <c r="K226" s="391"/>
    </row>
    <row r="227" spans="1:11" x14ac:dyDescent="0.25">
      <c r="A227" s="43">
        <v>42142</v>
      </c>
      <c r="B227" s="276" t="s">
        <v>43</v>
      </c>
      <c r="C227" s="46">
        <v>86.159000000000006</v>
      </c>
      <c r="D227" s="46">
        <v>86159</v>
      </c>
      <c r="E227" s="28">
        <v>29008</v>
      </c>
      <c r="F227" s="48">
        <v>4116</v>
      </c>
      <c r="G227" s="45"/>
      <c r="I227" s="390"/>
      <c r="J227" s="387"/>
      <c r="K227" s="391"/>
    </row>
    <row r="228" spans="1:11" x14ac:dyDescent="0.25">
      <c r="A228" s="43">
        <v>42157</v>
      </c>
      <c r="B228" s="276" t="s">
        <v>44</v>
      </c>
      <c r="C228" s="46">
        <v>10.5</v>
      </c>
      <c r="D228" s="46">
        <v>10500</v>
      </c>
      <c r="E228" s="28">
        <v>29004</v>
      </c>
      <c r="F228" s="48">
        <v>4116</v>
      </c>
      <c r="G228" s="45"/>
      <c r="I228" s="390"/>
      <c r="J228" s="387"/>
      <c r="K228" s="391"/>
    </row>
    <row r="229" spans="1:11" x14ac:dyDescent="0.25">
      <c r="A229" s="43">
        <v>42163</v>
      </c>
      <c r="B229" s="276" t="s">
        <v>43</v>
      </c>
      <c r="C229" s="46">
        <v>84.284999999999997</v>
      </c>
      <c r="D229" s="46">
        <v>84285</v>
      </c>
      <c r="E229" s="28">
        <v>29008</v>
      </c>
      <c r="F229" s="48">
        <v>4116</v>
      </c>
      <c r="G229" s="45"/>
      <c r="I229" s="390"/>
      <c r="J229" s="387"/>
      <c r="K229" s="391"/>
    </row>
    <row r="230" spans="1:11" hidden="1" x14ac:dyDescent="0.25">
      <c r="A230" s="43"/>
      <c r="B230" s="276" t="s">
        <v>43</v>
      </c>
      <c r="C230" s="46"/>
      <c r="D230" s="46"/>
      <c r="E230" s="28"/>
      <c r="F230" s="48">
        <v>4116</v>
      </c>
      <c r="G230" s="45"/>
      <c r="I230" s="390"/>
      <c r="J230" s="387"/>
      <c r="K230" s="391"/>
    </row>
    <row r="231" spans="1:11" hidden="1" x14ac:dyDescent="0.25">
      <c r="A231" s="43"/>
      <c r="B231" s="276"/>
      <c r="C231" s="46"/>
      <c r="D231" s="46"/>
      <c r="E231" s="28"/>
      <c r="F231" s="48">
        <v>4116</v>
      </c>
      <c r="G231" s="45"/>
      <c r="I231" s="390"/>
      <c r="J231" s="387"/>
      <c r="K231" s="391"/>
    </row>
    <row r="232" spans="1:11" hidden="1" x14ac:dyDescent="0.25">
      <c r="A232" s="43"/>
      <c r="B232" s="276"/>
      <c r="C232" s="46"/>
      <c r="D232" s="46"/>
      <c r="E232" s="28"/>
      <c r="F232" s="48">
        <v>4116</v>
      </c>
      <c r="G232" s="45"/>
      <c r="I232" s="390"/>
      <c r="J232" s="387"/>
      <c r="K232" s="391"/>
    </row>
    <row r="233" spans="1:11" x14ac:dyDescent="0.25">
      <c r="A233" s="43"/>
      <c r="B233" s="276"/>
      <c r="C233" s="46"/>
      <c r="D233" s="46"/>
      <c r="E233" s="28"/>
      <c r="F233" s="48">
        <v>4116</v>
      </c>
      <c r="G233" s="45"/>
      <c r="I233" s="390"/>
      <c r="J233" s="387"/>
      <c r="K233" s="391"/>
    </row>
    <row r="234" spans="1:11" x14ac:dyDescent="0.25">
      <c r="A234" s="43"/>
      <c r="B234" s="273" t="s">
        <v>45</v>
      </c>
      <c r="C234" s="30">
        <f>+SUM(C235:C252)</f>
        <v>570.17939999999999</v>
      </c>
      <c r="D234" s="30">
        <f>+SUM(D235:D252)</f>
        <v>1505094.95</v>
      </c>
      <c r="E234" s="28"/>
      <c r="F234" s="48"/>
      <c r="G234" s="45"/>
      <c r="I234" s="390"/>
      <c r="J234" s="387"/>
      <c r="K234" s="391"/>
    </row>
    <row r="235" spans="1:11" x14ac:dyDescent="0.25">
      <c r="A235" s="43">
        <v>42057</v>
      </c>
      <c r="B235" s="276" t="s">
        <v>146</v>
      </c>
      <c r="C235" s="46">
        <v>466.28609999999998</v>
      </c>
      <c r="D235" s="46">
        <v>466286.1</v>
      </c>
      <c r="E235" s="28">
        <v>15319</v>
      </c>
      <c r="F235" s="48">
        <v>4116</v>
      </c>
      <c r="G235" s="45"/>
      <c r="I235" s="390"/>
      <c r="J235" s="387"/>
      <c r="K235" s="391"/>
    </row>
    <row r="236" spans="1:11" x14ac:dyDescent="0.25">
      <c r="A236" s="43">
        <v>42193</v>
      </c>
      <c r="B236" s="276" t="s">
        <v>279</v>
      </c>
      <c r="C236" s="46">
        <v>77.653800000000004</v>
      </c>
      <c r="D236" s="46">
        <v>77653.8</v>
      </c>
      <c r="E236" s="28">
        <v>15319</v>
      </c>
      <c r="F236" s="48">
        <v>4116</v>
      </c>
      <c r="G236" s="45"/>
      <c r="I236" s="390"/>
      <c r="J236" s="387"/>
      <c r="K236" s="391"/>
    </row>
    <row r="237" spans="1:11" x14ac:dyDescent="0.25">
      <c r="A237" s="43">
        <v>42272</v>
      </c>
      <c r="B237" s="276" t="s">
        <v>425</v>
      </c>
      <c r="C237" s="46">
        <v>0</v>
      </c>
      <c r="D237" s="46">
        <v>931582</v>
      </c>
      <c r="E237" s="28">
        <v>15065</v>
      </c>
      <c r="F237" s="48">
        <v>4116</v>
      </c>
      <c r="G237" s="45"/>
      <c r="I237" s="390"/>
      <c r="J237" s="387"/>
      <c r="K237" s="391"/>
    </row>
    <row r="238" spans="1:11" hidden="1" x14ac:dyDescent="0.25">
      <c r="A238" s="43"/>
      <c r="B238" s="276"/>
      <c r="C238" s="46"/>
      <c r="D238" s="46"/>
      <c r="E238" s="28"/>
      <c r="F238" s="48">
        <v>4116</v>
      </c>
      <c r="G238" s="45"/>
      <c r="I238" s="390"/>
      <c r="J238" s="387"/>
      <c r="K238" s="391"/>
    </row>
    <row r="239" spans="1:11" hidden="1" x14ac:dyDescent="0.25">
      <c r="A239" s="43"/>
      <c r="B239" s="276"/>
      <c r="C239" s="46"/>
      <c r="D239" s="46"/>
      <c r="E239" s="28"/>
      <c r="F239" s="48"/>
      <c r="G239" s="45"/>
      <c r="I239" s="390"/>
      <c r="J239" s="387"/>
      <c r="K239" s="391"/>
    </row>
    <row r="240" spans="1:11" hidden="1" x14ac:dyDescent="0.25">
      <c r="A240" s="272"/>
      <c r="B240" s="276"/>
      <c r="C240" s="46"/>
      <c r="D240" s="46"/>
      <c r="E240" s="28"/>
      <c r="F240" s="48">
        <v>4116</v>
      </c>
      <c r="G240" s="45"/>
      <c r="I240" s="390"/>
      <c r="J240" s="387"/>
      <c r="K240" s="391"/>
    </row>
    <row r="241" spans="1:11" hidden="1" x14ac:dyDescent="0.25">
      <c r="A241" s="272"/>
      <c r="B241" s="44"/>
      <c r="C241" s="46"/>
      <c r="D241" s="46"/>
      <c r="E241" s="28"/>
      <c r="F241" s="48"/>
      <c r="G241" s="45"/>
      <c r="I241" s="390"/>
      <c r="J241" s="387"/>
      <c r="K241" s="391"/>
    </row>
    <row r="242" spans="1:11" hidden="1" x14ac:dyDescent="0.25">
      <c r="A242" s="43"/>
      <c r="B242" s="31"/>
      <c r="C242" s="30"/>
      <c r="D242" s="30"/>
      <c r="E242" s="28"/>
      <c r="F242" s="48"/>
      <c r="G242" s="45"/>
      <c r="I242" s="390"/>
      <c r="J242" s="387"/>
      <c r="K242" s="391"/>
    </row>
    <row r="243" spans="1:11" x14ac:dyDescent="0.25">
      <c r="A243" s="43"/>
      <c r="B243" s="44" t="s">
        <v>498</v>
      </c>
      <c r="C243" s="179">
        <v>0</v>
      </c>
      <c r="D243" s="179">
        <v>3333.55</v>
      </c>
      <c r="E243" s="28">
        <v>15319</v>
      </c>
      <c r="F243" s="48">
        <v>4116</v>
      </c>
      <c r="G243" s="45"/>
      <c r="I243" s="390"/>
      <c r="J243" s="387">
        <v>3333.55</v>
      </c>
      <c r="K243" s="391"/>
    </row>
    <row r="244" spans="1:11" x14ac:dyDescent="0.25">
      <c r="A244" s="43"/>
      <c r="B244" s="276" t="s">
        <v>168</v>
      </c>
      <c r="C244" s="179">
        <v>26.2395</v>
      </c>
      <c r="D244" s="179">
        <v>26239.5</v>
      </c>
      <c r="E244" s="28">
        <v>15319</v>
      </c>
      <c r="F244" s="48">
        <v>4116</v>
      </c>
      <c r="G244" s="45"/>
      <c r="I244" s="390"/>
      <c r="J244" s="389">
        <v>26239.5</v>
      </c>
      <c r="K244" s="391"/>
    </row>
    <row r="245" spans="1:11" x14ac:dyDescent="0.25">
      <c r="A245" s="43"/>
      <c r="B245" s="276"/>
      <c r="C245" s="46"/>
      <c r="D245" s="46"/>
      <c r="E245" s="28"/>
      <c r="F245" s="48"/>
      <c r="G245" s="45"/>
      <c r="I245" s="390"/>
      <c r="J245" s="387"/>
      <c r="K245" s="391"/>
    </row>
    <row r="246" spans="1:11" x14ac:dyDescent="0.25">
      <c r="A246" s="43"/>
      <c r="B246" s="44"/>
      <c r="C246" s="46"/>
      <c r="D246" s="46"/>
      <c r="E246" s="28"/>
      <c r="F246" s="48"/>
      <c r="G246" s="45"/>
      <c r="I246" s="390"/>
      <c r="J246" s="387"/>
      <c r="K246" s="391"/>
    </row>
    <row r="247" spans="1:11" x14ac:dyDescent="0.25">
      <c r="A247" s="43"/>
      <c r="B247" s="273"/>
      <c r="C247" s="26"/>
      <c r="D247" s="26"/>
      <c r="E247" s="28"/>
      <c r="F247" s="22"/>
      <c r="G247" s="45"/>
      <c r="I247" s="390"/>
      <c r="J247" s="387"/>
      <c r="K247" s="391"/>
    </row>
    <row r="248" spans="1:11" x14ac:dyDescent="0.25">
      <c r="A248" s="43"/>
      <c r="B248" s="276"/>
      <c r="C248" s="52"/>
      <c r="D248" s="350"/>
      <c r="E248" s="28"/>
      <c r="F248" s="48"/>
      <c r="G248" s="45"/>
      <c r="I248" s="390"/>
      <c r="J248" s="387"/>
      <c r="K248" s="391"/>
    </row>
    <row r="249" spans="1:11" x14ac:dyDescent="0.25">
      <c r="A249" s="43"/>
      <c r="B249" s="276"/>
      <c r="C249" s="52"/>
      <c r="D249" s="350"/>
      <c r="E249" s="28"/>
      <c r="F249" s="48"/>
      <c r="G249" s="45"/>
      <c r="I249" s="390"/>
      <c r="J249" s="387"/>
      <c r="K249" s="391"/>
    </row>
    <row r="250" spans="1:11" x14ac:dyDescent="0.25">
      <c r="A250" s="43"/>
      <c r="B250" s="31" t="s">
        <v>46</v>
      </c>
      <c r="C250" s="30">
        <f>+SUM(C251:C252)</f>
        <v>0</v>
      </c>
      <c r="D250" s="30">
        <f>+SUM(D251:D252)</f>
        <v>0</v>
      </c>
      <c r="E250" s="28"/>
      <c r="F250" s="48"/>
      <c r="G250" s="45"/>
      <c r="I250" s="390"/>
      <c r="J250" s="387"/>
      <c r="K250" s="391"/>
    </row>
    <row r="251" spans="1:11" x14ac:dyDescent="0.25">
      <c r="A251" s="43"/>
      <c r="B251" s="276"/>
      <c r="C251" s="46"/>
      <c r="D251" s="46"/>
      <c r="E251" s="28"/>
      <c r="F251" s="48" t="s">
        <v>47</v>
      </c>
      <c r="G251" s="45"/>
      <c r="I251" s="390"/>
      <c r="J251" s="387"/>
      <c r="K251" s="391"/>
    </row>
    <row r="252" spans="1:11" x14ac:dyDescent="0.25">
      <c r="A252" s="43"/>
      <c r="B252" s="276"/>
      <c r="C252" s="350"/>
      <c r="D252" s="350"/>
      <c r="E252" s="28"/>
      <c r="F252" s="48"/>
      <c r="G252" s="45"/>
      <c r="I252" s="390"/>
      <c r="J252" s="387"/>
      <c r="K252" s="391"/>
    </row>
    <row r="253" spans="1:11" x14ac:dyDescent="0.25">
      <c r="A253" s="43"/>
      <c r="B253" s="273" t="s">
        <v>48</v>
      </c>
      <c r="C253" s="26">
        <f>SUM(C254:C337)</f>
        <v>113212.30556000001</v>
      </c>
      <c r="D253" s="26">
        <f>SUM(D254:D337)</f>
        <v>113352305.56</v>
      </c>
      <c r="E253" s="28"/>
      <c r="F253" s="22"/>
      <c r="G253" s="45"/>
      <c r="I253" s="390"/>
      <c r="J253" s="387"/>
      <c r="K253" s="391"/>
    </row>
    <row r="254" spans="1:11" x14ac:dyDescent="0.25">
      <c r="A254" s="43">
        <v>42046</v>
      </c>
      <c r="B254" s="276" t="s">
        <v>104</v>
      </c>
      <c r="C254" s="52">
        <v>345.49686000000003</v>
      </c>
      <c r="D254" s="350">
        <v>345496.86</v>
      </c>
      <c r="E254" s="28">
        <v>33030</v>
      </c>
      <c r="F254" s="48" t="s">
        <v>49</v>
      </c>
      <c r="G254" s="45"/>
      <c r="I254" s="390"/>
      <c r="J254" s="387"/>
      <c r="K254" s="391"/>
    </row>
    <row r="255" spans="1:11" x14ac:dyDescent="0.25">
      <c r="A255" s="43">
        <v>42096</v>
      </c>
      <c r="B255" s="276" t="s">
        <v>140</v>
      </c>
      <c r="C255" s="52">
        <v>90.980059999999995</v>
      </c>
      <c r="D255" s="350">
        <v>90980.06</v>
      </c>
      <c r="E255" s="28">
        <v>33030</v>
      </c>
      <c r="F255" s="48" t="s">
        <v>49</v>
      </c>
      <c r="G255" s="45"/>
      <c r="I255" s="390"/>
      <c r="J255" s="387"/>
      <c r="K255" s="391"/>
    </row>
    <row r="256" spans="1:11" x14ac:dyDescent="0.25">
      <c r="A256" s="43">
        <v>42118</v>
      </c>
      <c r="B256" s="276" t="s">
        <v>334</v>
      </c>
      <c r="C256" s="52">
        <v>60346.559999999998</v>
      </c>
      <c r="D256" s="350">
        <v>60346560</v>
      </c>
      <c r="E256" s="28">
        <v>13305</v>
      </c>
      <c r="F256" s="48">
        <v>4122</v>
      </c>
      <c r="G256" s="384" t="s">
        <v>346</v>
      </c>
      <c r="H256" s="384">
        <v>-8464560</v>
      </c>
      <c r="I256" s="394"/>
      <c r="J256" s="387">
        <v>8464560</v>
      </c>
      <c r="K256" s="391"/>
    </row>
    <row r="257" spans="1:11" x14ac:dyDescent="0.25">
      <c r="A257" s="43">
        <v>42122</v>
      </c>
      <c r="B257" s="276" t="s">
        <v>150</v>
      </c>
      <c r="C257" s="350">
        <v>341.41081000000003</v>
      </c>
      <c r="D257" s="350">
        <v>341410.81</v>
      </c>
      <c r="E257" s="28">
        <v>33030</v>
      </c>
      <c r="F257" s="48">
        <v>4122</v>
      </c>
      <c r="G257" s="45"/>
      <c r="I257" s="390"/>
      <c r="J257" s="387"/>
      <c r="K257" s="391"/>
    </row>
    <row r="258" spans="1:11" x14ac:dyDescent="0.25">
      <c r="A258" s="43">
        <v>42138</v>
      </c>
      <c r="B258" s="276" t="s">
        <v>181</v>
      </c>
      <c r="C258" s="350">
        <v>41.08</v>
      </c>
      <c r="D258" s="350">
        <v>41080</v>
      </c>
      <c r="E258" s="28">
        <v>14011</v>
      </c>
      <c r="F258" s="48">
        <v>4122</v>
      </c>
      <c r="G258" s="45"/>
      <c r="I258" s="390"/>
      <c r="J258" s="387"/>
      <c r="K258" s="391"/>
    </row>
    <row r="259" spans="1:11" x14ac:dyDescent="0.25">
      <c r="A259" s="43">
        <v>42145</v>
      </c>
      <c r="B259" s="276" t="s">
        <v>200</v>
      </c>
      <c r="C259" s="52">
        <v>8.3298000000000005</v>
      </c>
      <c r="D259" s="350">
        <f>7080.33+1249.47</f>
        <v>8329.7999999999993</v>
      </c>
      <c r="E259" s="28">
        <v>33030</v>
      </c>
      <c r="F259" s="48">
        <v>4122</v>
      </c>
      <c r="G259" s="45"/>
      <c r="I259" s="390"/>
      <c r="J259" s="387"/>
      <c r="K259" s="391"/>
    </row>
    <row r="260" spans="1:11" x14ac:dyDescent="0.25">
      <c r="A260" s="43">
        <v>42145</v>
      </c>
      <c r="B260" s="276" t="s">
        <v>415</v>
      </c>
      <c r="C260" s="52">
        <v>1476.0851600000001</v>
      </c>
      <c r="D260" s="350">
        <f>1254672.38+221412.78</f>
        <v>1476085.16</v>
      </c>
      <c r="E260" s="28">
        <v>33030</v>
      </c>
      <c r="F260" s="48">
        <v>4122</v>
      </c>
      <c r="G260" s="45"/>
      <c r="I260" s="390"/>
      <c r="J260" s="387"/>
      <c r="K260" s="391"/>
    </row>
    <row r="261" spans="1:11" x14ac:dyDescent="0.25">
      <c r="A261" s="43">
        <v>42145</v>
      </c>
      <c r="B261" s="276" t="s">
        <v>202</v>
      </c>
      <c r="C261" s="52">
        <v>452.84152</v>
      </c>
      <c r="D261" s="350">
        <f>384915.29+67926.23</f>
        <v>452841.51999999996</v>
      </c>
      <c r="E261" s="28">
        <v>33030</v>
      </c>
      <c r="F261" s="48">
        <v>4122</v>
      </c>
      <c r="G261" s="45"/>
      <c r="I261" s="390"/>
      <c r="J261" s="387"/>
      <c r="K261" s="391"/>
    </row>
    <row r="262" spans="1:11" x14ac:dyDescent="0.25">
      <c r="A262" s="43">
        <v>42152</v>
      </c>
      <c r="B262" s="276" t="s">
        <v>181</v>
      </c>
      <c r="C262" s="52">
        <v>29.64</v>
      </c>
      <c r="D262" s="350">
        <v>29640</v>
      </c>
      <c r="E262" s="28">
        <v>14011</v>
      </c>
      <c r="F262" s="48">
        <v>4122</v>
      </c>
      <c r="G262" s="45"/>
      <c r="I262" s="390"/>
      <c r="J262" s="387"/>
      <c r="K262" s="391"/>
    </row>
    <row r="263" spans="1:11" x14ac:dyDescent="0.25">
      <c r="A263" s="43">
        <v>42160</v>
      </c>
      <c r="B263" s="276" t="s">
        <v>239</v>
      </c>
      <c r="C263" s="52">
        <v>100</v>
      </c>
      <c r="D263" s="350">
        <v>100000</v>
      </c>
      <c r="E263" s="28">
        <v>539</v>
      </c>
      <c r="F263" s="48">
        <v>4122</v>
      </c>
      <c r="G263" s="45"/>
      <c r="I263" s="390"/>
      <c r="J263" s="387"/>
      <c r="K263" s="391"/>
    </row>
    <row r="264" spans="1:11" x14ac:dyDescent="0.25">
      <c r="A264" s="43">
        <v>42160</v>
      </c>
      <c r="B264" s="276" t="s">
        <v>240</v>
      </c>
      <c r="C264" s="52">
        <v>98</v>
      </c>
      <c r="D264" s="350">
        <v>98000</v>
      </c>
      <c r="E264" s="28">
        <v>539</v>
      </c>
      <c r="F264" s="48">
        <v>4122</v>
      </c>
      <c r="G264" s="45"/>
      <c r="I264" s="390"/>
      <c r="J264" s="387"/>
      <c r="K264" s="391"/>
    </row>
    <row r="265" spans="1:11" x14ac:dyDescent="0.25">
      <c r="A265" s="43">
        <v>42173</v>
      </c>
      <c r="B265" s="276" t="s">
        <v>236</v>
      </c>
      <c r="C265" s="52">
        <v>100</v>
      </c>
      <c r="D265" s="350">
        <v>100000</v>
      </c>
      <c r="E265" s="28">
        <v>539</v>
      </c>
      <c r="F265" s="48">
        <v>4122</v>
      </c>
      <c r="G265" s="45"/>
      <c r="I265" s="390"/>
      <c r="J265" s="387"/>
      <c r="K265" s="391"/>
    </row>
    <row r="266" spans="1:11" x14ac:dyDescent="0.25">
      <c r="A266" s="43">
        <v>42178</v>
      </c>
      <c r="B266" s="276" t="s">
        <v>243</v>
      </c>
      <c r="C266" s="52">
        <v>81.797319999999999</v>
      </c>
      <c r="D266" s="350">
        <f>69527.72+12269.6</f>
        <v>81797.320000000007</v>
      </c>
      <c r="E266" s="28">
        <v>33030</v>
      </c>
      <c r="F266" s="48">
        <v>4122</v>
      </c>
      <c r="G266" s="45"/>
      <c r="I266" s="390"/>
      <c r="J266" s="387"/>
      <c r="K266" s="391"/>
    </row>
    <row r="267" spans="1:11" x14ac:dyDescent="0.25">
      <c r="A267" s="43">
        <v>42181</v>
      </c>
      <c r="B267" s="276" t="s">
        <v>250</v>
      </c>
      <c r="C267" s="52">
        <v>200</v>
      </c>
      <c r="D267" s="350">
        <v>200000</v>
      </c>
      <c r="E267" s="28">
        <v>539</v>
      </c>
      <c r="F267" s="48">
        <v>4122</v>
      </c>
      <c r="G267" s="45"/>
      <c r="I267" s="390"/>
      <c r="J267" s="387"/>
      <c r="K267" s="391"/>
    </row>
    <row r="268" spans="1:11" x14ac:dyDescent="0.25">
      <c r="A268" s="43">
        <v>42181</v>
      </c>
      <c r="B268" s="276" t="s">
        <v>252</v>
      </c>
      <c r="C268" s="52">
        <v>701.62408000000005</v>
      </c>
      <c r="D268" s="350">
        <v>701624.08</v>
      </c>
      <c r="E268" s="28">
        <v>33030</v>
      </c>
      <c r="F268" s="48">
        <v>4122</v>
      </c>
      <c r="G268" s="45"/>
      <c r="I268" s="390"/>
      <c r="J268" s="387"/>
      <c r="K268" s="391"/>
    </row>
    <row r="269" spans="1:11" x14ac:dyDescent="0.25">
      <c r="A269" s="43">
        <v>42181</v>
      </c>
      <c r="B269" s="276" t="s">
        <v>251</v>
      </c>
      <c r="C269" s="52">
        <v>93.395690000000002</v>
      </c>
      <c r="D269" s="350">
        <v>93395.69</v>
      </c>
      <c r="E269" s="28">
        <v>33030</v>
      </c>
      <c r="F269" s="48">
        <v>4122</v>
      </c>
      <c r="G269" s="45"/>
      <c r="I269" s="390"/>
      <c r="J269" s="387"/>
      <c r="K269" s="391"/>
    </row>
    <row r="270" spans="1:11" x14ac:dyDescent="0.25">
      <c r="A270" s="43">
        <v>42181</v>
      </c>
      <c r="B270" s="276" t="s">
        <v>253</v>
      </c>
      <c r="C270" s="52">
        <v>137.19474</v>
      </c>
      <c r="D270" s="350">
        <v>137194.74</v>
      </c>
      <c r="E270" s="28">
        <v>33030</v>
      </c>
      <c r="F270" s="48">
        <v>4122</v>
      </c>
      <c r="G270" s="45"/>
      <c r="I270" s="390"/>
      <c r="J270" s="387"/>
      <c r="K270" s="391"/>
    </row>
    <row r="271" spans="1:11" x14ac:dyDescent="0.25">
      <c r="A271" s="43">
        <v>42184</v>
      </c>
      <c r="B271" s="276" t="s">
        <v>254</v>
      </c>
      <c r="C271" s="52">
        <v>276.28805999999997</v>
      </c>
      <c r="D271" s="350">
        <v>276288.06</v>
      </c>
      <c r="E271" s="28">
        <v>33030</v>
      </c>
      <c r="F271" s="48">
        <v>4122</v>
      </c>
      <c r="G271" s="45"/>
      <c r="I271" s="390"/>
      <c r="J271" s="387"/>
      <c r="K271" s="391"/>
    </row>
    <row r="272" spans="1:11" x14ac:dyDescent="0.25">
      <c r="A272" s="43">
        <v>42184</v>
      </c>
      <c r="B272" s="276" t="s">
        <v>150</v>
      </c>
      <c r="C272" s="52">
        <v>371.08757000000003</v>
      </c>
      <c r="D272" s="350">
        <v>371087.57</v>
      </c>
      <c r="E272" s="28">
        <v>33030</v>
      </c>
      <c r="F272" s="48">
        <v>4122</v>
      </c>
      <c r="G272" s="45"/>
      <c r="I272" s="390"/>
      <c r="J272" s="387"/>
      <c r="K272" s="391"/>
    </row>
    <row r="273" spans="1:11" x14ac:dyDescent="0.25">
      <c r="A273" s="43">
        <v>42184</v>
      </c>
      <c r="B273" s="276" t="s">
        <v>256</v>
      </c>
      <c r="C273" s="52">
        <v>120</v>
      </c>
      <c r="D273" s="350">
        <v>120000</v>
      </c>
      <c r="E273" s="28">
        <v>311</v>
      </c>
      <c r="F273" s="48">
        <v>4122</v>
      </c>
      <c r="G273" s="45"/>
      <c r="I273" s="390"/>
      <c r="J273" s="387"/>
      <c r="K273" s="391"/>
    </row>
    <row r="274" spans="1:11" x14ac:dyDescent="0.25">
      <c r="A274" s="43">
        <v>42184</v>
      </c>
      <c r="B274" s="276" t="s">
        <v>255</v>
      </c>
      <c r="C274" s="52">
        <v>60</v>
      </c>
      <c r="D274" s="350">
        <v>60000</v>
      </c>
      <c r="E274" s="28">
        <v>311</v>
      </c>
      <c r="F274" s="48">
        <v>4122</v>
      </c>
      <c r="G274" s="45"/>
      <c r="I274" s="390"/>
      <c r="J274" s="387"/>
      <c r="K274" s="391"/>
    </row>
    <row r="275" spans="1:11" x14ac:dyDescent="0.25">
      <c r="A275" s="43">
        <v>42187</v>
      </c>
      <c r="B275" s="276" t="s">
        <v>281</v>
      </c>
      <c r="C275" s="52">
        <v>50</v>
      </c>
      <c r="D275" s="350">
        <v>50000</v>
      </c>
      <c r="E275" s="28">
        <v>311</v>
      </c>
      <c r="F275" s="48">
        <v>4122</v>
      </c>
      <c r="G275" s="45"/>
      <c r="I275" s="390"/>
      <c r="J275" s="387"/>
      <c r="K275" s="391"/>
    </row>
    <row r="276" spans="1:11" x14ac:dyDescent="0.25">
      <c r="A276" s="43">
        <v>42187</v>
      </c>
      <c r="B276" s="276" t="s">
        <v>282</v>
      </c>
      <c r="C276" s="52">
        <v>50</v>
      </c>
      <c r="D276" s="350">
        <v>50000</v>
      </c>
      <c r="E276" s="28">
        <v>311</v>
      </c>
      <c r="F276" s="48">
        <v>4122</v>
      </c>
      <c r="G276" s="45"/>
      <c r="I276" s="390"/>
      <c r="J276" s="387"/>
      <c r="K276" s="391"/>
    </row>
    <row r="277" spans="1:11" x14ac:dyDescent="0.25">
      <c r="A277" s="43">
        <v>42192</v>
      </c>
      <c r="B277" s="276" t="s">
        <v>285</v>
      </c>
      <c r="C277" s="52">
        <v>100</v>
      </c>
      <c r="D277" s="350">
        <v>100000</v>
      </c>
      <c r="E277" s="28">
        <v>331</v>
      </c>
      <c r="F277" s="48">
        <v>4122</v>
      </c>
      <c r="G277" s="45"/>
      <c r="I277" s="390"/>
      <c r="J277" s="387"/>
      <c r="K277" s="391"/>
    </row>
    <row r="278" spans="1:11" x14ac:dyDescent="0.25">
      <c r="A278" s="43">
        <v>42192</v>
      </c>
      <c r="B278" s="276" t="s">
        <v>286</v>
      </c>
      <c r="C278" s="52">
        <v>100</v>
      </c>
      <c r="D278" s="350">
        <v>100000</v>
      </c>
      <c r="E278" s="28">
        <v>331</v>
      </c>
      <c r="F278" s="48">
        <v>4122</v>
      </c>
      <c r="G278" s="45"/>
      <c r="I278" s="390"/>
      <c r="J278" s="387"/>
      <c r="K278" s="391"/>
    </row>
    <row r="279" spans="1:11" x14ac:dyDescent="0.25">
      <c r="A279" s="43">
        <v>42192</v>
      </c>
      <c r="B279" s="276" t="s">
        <v>287</v>
      </c>
      <c r="C279" s="52">
        <v>200</v>
      </c>
      <c r="D279" s="350">
        <v>200000</v>
      </c>
      <c r="E279" s="28">
        <v>331</v>
      </c>
      <c r="F279" s="48">
        <v>4122</v>
      </c>
      <c r="G279" s="45"/>
      <c r="I279" s="390"/>
      <c r="J279" s="387"/>
      <c r="K279" s="391"/>
    </row>
    <row r="280" spans="1:11" x14ac:dyDescent="0.25">
      <c r="A280" s="43">
        <v>42192</v>
      </c>
      <c r="B280" s="276" t="s">
        <v>288</v>
      </c>
      <c r="C280" s="52">
        <v>600</v>
      </c>
      <c r="D280" s="350">
        <v>600000</v>
      </c>
      <c r="E280" s="28">
        <v>331</v>
      </c>
      <c r="F280" s="48">
        <v>4122</v>
      </c>
      <c r="G280" s="45"/>
      <c r="I280" s="390"/>
      <c r="J280" s="387"/>
      <c r="K280" s="391"/>
    </row>
    <row r="281" spans="1:11" x14ac:dyDescent="0.25">
      <c r="A281" s="43">
        <v>42192</v>
      </c>
      <c r="B281" s="276" t="s">
        <v>414</v>
      </c>
      <c r="C281" s="52">
        <v>400</v>
      </c>
      <c r="D281" s="350">
        <v>400000</v>
      </c>
      <c r="E281" s="28">
        <v>331</v>
      </c>
      <c r="F281" s="48">
        <v>4122</v>
      </c>
      <c r="G281" s="45"/>
      <c r="I281" s="390"/>
      <c r="J281" s="387"/>
      <c r="K281" s="391"/>
    </row>
    <row r="282" spans="1:11" x14ac:dyDescent="0.25">
      <c r="A282" s="43">
        <v>42192</v>
      </c>
      <c r="B282" s="276" t="s">
        <v>290</v>
      </c>
      <c r="C282" s="52">
        <v>600</v>
      </c>
      <c r="D282" s="350">
        <v>600000</v>
      </c>
      <c r="E282" s="28">
        <v>331</v>
      </c>
      <c r="F282" s="48">
        <v>4122</v>
      </c>
      <c r="G282" s="45"/>
      <c r="I282" s="390"/>
      <c r="J282" s="387"/>
      <c r="K282" s="391"/>
    </row>
    <row r="283" spans="1:11" x14ac:dyDescent="0.25">
      <c r="A283" s="43">
        <v>42192</v>
      </c>
      <c r="B283" s="276" t="s">
        <v>291</v>
      </c>
      <c r="C283" s="52">
        <v>600</v>
      </c>
      <c r="D283" s="350">
        <v>600000</v>
      </c>
      <c r="E283" s="28">
        <v>331</v>
      </c>
      <c r="F283" s="48">
        <v>4122</v>
      </c>
      <c r="G283" s="45"/>
      <c r="I283" s="390"/>
      <c r="J283" s="387"/>
      <c r="K283" s="391"/>
    </row>
    <row r="284" spans="1:11" x14ac:dyDescent="0.25">
      <c r="A284" s="43">
        <v>42192</v>
      </c>
      <c r="B284" s="276" t="s">
        <v>292</v>
      </c>
      <c r="C284" s="52">
        <v>600</v>
      </c>
      <c r="D284" s="350">
        <v>600000</v>
      </c>
      <c r="E284" s="28">
        <v>331</v>
      </c>
      <c r="F284" s="48">
        <v>4122</v>
      </c>
      <c r="G284" s="45"/>
      <c r="I284" s="390"/>
      <c r="J284" s="387"/>
      <c r="K284" s="391"/>
    </row>
    <row r="285" spans="1:11" x14ac:dyDescent="0.25">
      <c r="A285" s="43">
        <v>42192</v>
      </c>
      <c r="B285" s="276" t="s">
        <v>293</v>
      </c>
      <c r="C285" s="52">
        <v>600</v>
      </c>
      <c r="D285" s="350">
        <v>600000</v>
      </c>
      <c r="E285" s="28">
        <v>331</v>
      </c>
      <c r="F285" s="48">
        <v>4122</v>
      </c>
      <c r="G285" s="45"/>
      <c r="I285" s="390"/>
      <c r="J285" s="387"/>
      <c r="K285" s="391"/>
    </row>
    <row r="286" spans="1:11" x14ac:dyDescent="0.25">
      <c r="A286" s="43">
        <v>42213</v>
      </c>
      <c r="B286" s="276" t="s">
        <v>333</v>
      </c>
      <c r="C286" s="52">
        <v>40231.040000000001</v>
      </c>
      <c r="D286" s="350">
        <v>40231040</v>
      </c>
      <c r="E286" s="28">
        <v>13305</v>
      </c>
      <c r="F286" s="48">
        <v>4122</v>
      </c>
      <c r="G286" s="384" t="s">
        <v>346</v>
      </c>
      <c r="H286" s="384">
        <f>-3646440-1996600</f>
        <v>-5643040</v>
      </c>
      <c r="I286" s="394"/>
      <c r="J286" s="387">
        <v>5643040</v>
      </c>
      <c r="K286" s="391"/>
    </row>
    <row r="287" spans="1:11" x14ac:dyDescent="0.25">
      <c r="A287" s="43">
        <v>42254</v>
      </c>
      <c r="B287" s="276" t="s">
        <v>432</v>
      </c>
      <c r="C287" s="350">
        <v>15</v>
      </c>
      <c r="D287" s="350">
        <v>15000</v>
      </c>
      <c r="E287" s="28">
        <v>359</v>
      </c>
      <c r="F287" s="48">
        <v>4122</v>
      </c>
      <c r="G287" s="45"/>
      <c r="I287" s="390"/>
      <c r="J287" s="387"/>
      <c r="K287" s="391"/>
    </row>
    <row r="288" spans="1:11" x14ac:dyDescent="0.25">
      <c r="A288" s="43">
        <v>42256</v>
      </c>
      <c r="B288" s="276" t="s">
        <v>420</v>
      </c>
      <c r="C288" s="52">
        <v>60</v>
      </c>
      <c r="D288" s="350">
        <v>60000</v>
      </c>
      <c r="E288" s="28">
        <v>214</v>
      </c>
      <c r="F288" s="48">
        <v>4122</v>
      </c>
      <c r="G288" s="45"/>
      <c r="I288" s="390"/>
      <c r="J288" s="387"/>
      <c r="K288" s="391"/>
    </row>
    <row r="289" spans="1:12" x14ac:dyDescent="0.25">
      <c r="A289" s="43"/>
      <c r="B289" s="276" t="s">
        <v>309</v>
      </c>
      <c r="C289" s="175">
        <v>50</v>
      </c>
      <c r="D289" s="423">
        <v>50000</v>
      </c>
      <c r="E289" s="28">
        <v>551</v>
      </c>
      <c r="F289" s="48">
        <v>4122</v>
      </c>
      <c r="G289" s="384"/>
      <c r="H289" s="384"/>
      <c r="I289" s="390"/>
      <c r="J289" s="387">
        <v>50000</v>
      </c>
      <c r="K289" s="395"/>
    </row>
    <row r="290" spans="1:12" x14ac:dyDescent="0.25">
      <c r="A290" s="43"/>
      <c r="B290" s="276" t="s">
        <v>311</v>
      </c>
      <c r="C290" s="175">
        <v>130</v>
      </c>
      <c r="D290" s="423">
        <v>130000</v>
      </c>
      <c r="E290" s="28">
        <v>551</v>
      </c>
      <c r="F290" s="48">
        <v>4122</v>
      </c>
      <c r="G290" s="384"/>
      <c r="H290" s="384"/>
      <c r="I290" s="390"/>
      <c r="J290" s="387">
        <v>130000</v>
      </c>
      <c r="K290" s="395"/>
    </row>
    <row r="291" spans="1:12" x14ac:dyDescent="0.25">
      <c r="A291" s="43"/>
      <c r="B291" s="276" t="s">
        <v>249</v>
      </c>
      <c r="C291" s="175">
        <v>60</v>
      </c>
      <c r="D291" s="423">
        <v>60000</v>
      </c>
      <c r="E291" s="28">
        <v>539</v>
      </c>
      <c r="F291" s="48">
        <v>4122</v>
      </c>
      <c r="G291" s="45"/>
      <c r="I291" s="390"/>
      <c r="J291" s="387">
        <v>60000</v>
      </c>
      <c r="K291" s="391"/>
    </row>
    <row r="292" spans="1:12" x14ac:dyDescent="0.25">
      <c r="A292" s="43"/>
      <c r="B292" s="276" t="s">
        <v>69</v>
      </c>
      <c r="C292" s="175">
        <f>674.88547+191.22315+33.74527</f>
        <v>899.85389000000009</v>
      </c>
      <c r="D292" s="423">
        <f>674885.47+224968.42</f>
        <v>899853.89</v>
      </c>
      <c r="E292" s="22">
        <v>33030</v>
      </c>
      <c r="F292" s="48">
        <v>4122</v>
      </c>
      <c r="G292" s="45"/>
      <c r="I292" s="390"/>
      <c r="J292" s="387">
        <f>674885.47+224968.42</f>
        <v>899853.89</v>
      </c>
      <c r="K292" s="391"/>
    </row>
    <row r="293" spans="1:12" x14ac:dyDescent="0.25">
      <c r="A293" s="43"/>
      <c r="B293" s="276" t="s">
        <v>259</v>
      </c>
      <c r="C293" s="175">
        <v>35</v>
      </c>
      <c r="D293" s="423">
        <v>35000</v>
      </c>
      <c r="E293" s="22">
        <v>539</v>
      </c>
      <c r="F293" s="48">
        <v>4122</v>
      </c>
      <c r="G293" s="45"/>
      <c r="I293" s="390"/>
      <c r="J293" s="387">
        <v>35000</v>
      </c>
      <c r="K293" s="391"/>
    </row>
    <row r="294" spans="1:12" x14ac:dyDescent="0.25">
      <c r="A294" s="43"/>
      <c r="B294" s="276" t="s">
        <v>139</v>
      </c>
      <c r="C294" s="175">
        <f>669.36+446.24</f>
        <v>1115.5999999999999</v>
      </c>
      <c r="D294" s="423">
        <f>669360+446240</f>
        <v>1115600</v>
      </c>
      <c r="E294" s="22">
        <v>13305</v>
      </c>
      <c r="F294" s="48">
        <v>4122</v>
      </c>
      <c r="G294" s="45"/>
      <c r="I294" s="390"/>
      <c r="J294" s="387">
        <f>669360+446240</f>
        <v>1115600</v>
      </c>
      <c r="K294" s="391"/>
    </row>
    <row r="295" spans="1:12" x14ac:dyDescent="0.25">
      <c r="A295" s="43"/>
      <c r="B295" s="276" t="s">
        <v>151</v>
      </c>
      <c r="C295" s="175">
        <v>964</v>
      </c>
      <c r="D295" s="423">
        <f>578400+385600</f>
        <v>964000</v>
      </c>
      <c r="E295" s="22">
        <v>13305</v>
      </c>
      <c r="F295" s="48">
        <v>4122</v>
      </c>
      <c r="G295" s="45"/>
      <c r="I295" s="390"/>
      <c r="J295" s="387">
        <f>578400+385600</f>
        <v>964000</v>
      </c>
      <c r="K295" s="391"/>
    </row>
    <row r="296" spans="1:12" x14ac:dyDescent="0.25">
      <c r="A296" s="43"/>
      <c r="B296" s="276" t="s">
        <v>332</v>
      </c>
      <c r="C296" s="175">
        <v>80</v>
      </c>
      <c r="D296" s="423">
        <v>80000</v>
      </c>
      <c r="E296" s="22">
        <v>551</v>
      </c>
      <c r="F296" s="48">
        <v>4122</v>
      </c>
      <c r="G296" s="384"/>
      <c r="H296" s="384"/>
      <c r="I296" s="390"/>
      <c r="J296" s="387">
        <v>80000</v>
      </c>
      <c r="K296" s="391"/>
    </row>
    <row r="297" spans="1:12" x14ac:dyDescent="0.25">
      <c r="A297" s="43"/>
      <c r="B297" s="276"/>
      <c r="C297" s="52"/>
      <c r="D297" s="350"/>
      <c r="E297" s="22"/>
      <c r="F297" s="48"/>
      <c r="G297" s="45"/>
      <c r="I297" s="390"/>
      <c r="J297" s="387"/>
      <c r="K297" s="395"/>
    </row>
    <row r="298" spans="1:12" x14ac:dyDescent="0.25">
      <c r="A298" s="43"/>
      <c r="B298" s="276" t="s">
        <v>421</v>
      </c>
      <c r="C298" s="175">
        <v>0</v>
      </c>
      <c r="D298" s="423">
        <v>70000</v>
      </c>
      <c r="E298" s="22">
        <v>551</v>
      </c>
      <c r="F298" s="48">
        <v>4122</v>
      </c>
      <c r="G298" s="384" t="s">
        <v>349</v>
      </c>
      <c r="H298" s="384">
        <v>70000</v>
      </c>
      <c r="I298" s="390"/>
      <c r="J298" s="387"/>
      <c r="K298" s="387">
        <v>70000</v>
      </c>
    </row>
    <row r="299" spans="1:12" x14ac:dyDescent="0.25">
      <c r="A299" s="43"/>
      <c r="B299" s="276" t="s">
        <v>304</v>
      </c>
      <c r="C299" s="175">
        <v>55</v>
      </c>
      <c r="D299" s="423">
        <v>55000</v>
      </c>
      <c r="E299" s="22">
        <v>551</v>
      </c>
      <c r="F299" s="48">
        <v>4122</v>
      </c>
      <c r="G299" s="384"/>
      <c r="H299" s="384"/>
      <c r="I299" s="390"/>
      <c r="J299" s="387">
        <v>55000</v>
      </c>
      <c r="K299" s="396"/>
    </row>
    <row r="300" spans="1:12" x14ac:dyDescent="0.25">
      <c r="A300" s="43"/>
      <c r="B300" s="276" t="s">
        <v>426</v>
      </c>
      <c r="C300" s="52">
        <v>0</v>
      </c>
      <c r="D300" s="350">
        <v>70000</v>
      </c>
      <c r="E300" s="22">
        <v>101</v>
      </c>
      <c r="F300" s="48">
        <v>4122</v>
      </c>
      <c r="G300" s="384" t="s">
        <v>349</v>
      </c>
      <c r="H300" s="384">
        <v>70000</v>
      </c>
      <c r="I300" s="390"/>
      <c r="J300" s="387"/>
      <c r="K300" s="391">
        <v>70000</v>
      </c>
    </row>
    <row r="301" spans="1:12" x14ac:dyDescent="0.25">
      <c r="A301" s="43"/>
      <c r="B301" s="276" t="s">
        <v>331</v>
      </c>
      <c r="C301" s="175">
        <v>90</v>
      </c>
      <c r="D301" s="423">
        <v>90000</v>
      </c>
      <c r="E301" s="22">
        <v>551</v>
      </c>
      <c r="F301" s="48">
        <v>4122</v>
      </c>
      <c r="G301" s="384"/>
      <c r="H301" s="384"/>
      <c r="I301" s="390"/>
      <c r="J301" s="387">
        <v>90000</v>
      </c>
      <c r="K301" s="395"/>
    </row>
    <row r="302" spans="1:12" x14ac:dyDescent="0.25">
      <c r="A302" s="43"/>
      <c r="B302" s="276" t="s">
        <v>310</v>
      </c>
      <c r="C302" s="175">
        <v>55</v>
      </c>
      <c r="D302" s="423">
        <v>55000</v>
      </c>
      <c r="E302" s="22">
        <v>551</v>
      </c>
      <c r="F302" s="48">
        <v>4122</v>
      </c>
      <c r="G302" s="384"/>
      <c r="H302" s="384"/>
      <c r="I302" s="390"/>
      <c r="J302" s="387">
        <v>55000</v>
      </c>
      <c r="K302" s="395"/>
      <c r="L302" s="45">
        <f>+D253+H256+H286-J289-J290-J291-J292-J293-J294-J295-J296-J299-J301-J302</f>
        <v>95710251.670000002</v>
      </c>
    </row>
    <row r="303" spans="1:12" hidden="1" x14ac:dyDescent="0.25">
      <c r="A303" s="43"/>
      <c r="B303" s="276"/>
      <c r="C303" s="52"/>
      <c r="D303" s="350"/>
      <c r="E303" s="22"/>
      <c r="F303" s="48">
        <v>4122</v>
      </c>
      <c r="G303" s="45"/>
      <c r="H303" s="269"/>
      <c r="I303" s="390"/>
      <c r="J303" s="387"/>
      <c r="K303" s="395"/>
    </row>
    <row r="304" spans="1:12" hidden="1" x14ac:dyDescent="0.25">
      <c r="A304" s="43"/>
      <c r="B304" s="276"/>
      <c r="C304" s="52"/>
      <c r="D304" s="350"/>
      <c r="E304" s="22"/>
      <c r="F304" s="48">
        <v>4122</v>
      </c>
      <c r="G304" s="45"/>
      <c r="H304" s="269"/>
      <c r="I304" s="390"/>
      <c r="J304" s="387"/>
      <c r="K304" s="391"/>
    </row>
    <row r="305" spans="1:11" hidden="1" x14ac:dyDescent="0.25">
      <c r="A305" s="43"/>
      <c r="B305" s="276"/>
      <c r="C305" s="52"/>
      <c r="D305" s="350"/>
      <c r="E305" s="22"/>
      <c r="F305" s="48">
        <v>4122</v>
      </c>
      <c r="G305" s="45"/>
      <c r="H305" s="269"/>
      <c r="I305" s="390"/>
      <c r="J305" s="387"/>
      <c r="K305" s="391"/>
    </row>
    <row r="306" spans="1:11" hidden="1" x14ac:dyDescent="0.25">
      <c r="A306" s="43"/>
      <c r="B306" s="276"/>
      <c r="C306" s="52"/>
      <c r="D306" s="350"/>
      <c r="E306" s="22"/>
      <c r="F306" s="48">
        <v>4122</v>
      </c>
      <c r="G306" s="45"/>
      <c r="H306" s="269"/>
      <c r="I306" s="390"/>
      <c r="J306" s="387"/>
      <c r="K306" s="391"/>
    </row>
    <row r="307" spans="1:11" hidden="1" x14ac:dyDescent="0.25">
      <c r="A307" s="43"/>
      <c r="B307" s="276"/>
      <c r="C307" s="52"/>
      <c r="D307" s="350"/>
      <c r="E307" s="22"/>
      <c r="F307" s="48">
        <v>4122</v>
      </c>
      <c r="G307" s="45"/>
      <c r="H307" s="269"/>
      <c r="I307" s="390"/>
      <c r="J307" s="387"/>
      <c r="K307" s="391"/>
    </row>
    <row r="308" spans="1:11" hidden="1" x14ac:dyDescent="0.25">
      <c r="A308" s="43"/>
      <c r="B308" s="276"/>
      <c r="C308" s="52"/>
      <c r="D308" s="350"/>
      <c r="E308" s="22"/>
      <c r="F308" s="48">
        <v>4122</v>
      </c>
      <c r="G308" s="45"/>
      <c r="H308" s="269"/>
      <c r="I308" s="390"/>
      <c r="J308" s="387"/>
      <c r="K308" s="391"/>
    </row>
    <row r="309" spans="1:11" hidden="1" x14ac:dyDescent="0.25">
      <c r="A309" s="43"/>
      <c r="B309" s="276"/>
      <c r="C309" s="52"/>
      <c r="D309" s="350"/>
      <c r="E309" s="22"/>
      <c r="F309" s="48">
        <v>4122</v>
      </c>
      <c r="G309" s="45"/>
      <c r="H309" s="269"/>
      <c r="I309" s="390"/>
      <c r="J309" s="387"/>
      <c r="K309" s="391"/>
    </row>
    <row r="310" spans="1:11" hidden="1" x14ac:dyDescent="0.25">
      <c r="A310" s="43"/>
      <c r="B310" s="276"/>
      <c r="C310" s="52"/>
      <c r="D310" s="350"/>
      <c r="E310" s="22"/>
      <c r="F310" s="48">
        <v>4122</v>
      </c>
      <c r="G310" s="45"/>
      <c r="H310" s="269"/>
      <c r="I310" s="390"/>
      <c r="J310" s="387"/>
      <c r="K310" s="391"/>
    </row>
    <row r="311" spans="1:11" hidden="1" x14ac:dyDescent="0.25">
      <c r="A311" s="43"/>
      <c r="B311" s="276"/>
      <c r="C311" s="52"/>
      <c r="D311" s="350"/>
      <c r="E311" s="22"/>
      <c r="F311" s="48">
        <v>4122</v>
      </c>
      <c r="G311" s="45"/>
      <c r="H311" s="269"/>
      <c r="I311" s="390"/>
      <c r="J311" s="387"/>
      <c r="K311" s="391"/>
    </row>
    <row r="312" spans="1:11" hidden="1" x14ac:dyDescent="0.25">
      <c r="A312" s="43"/>
      <c r="B312" s="276"/>
      <c r="C312" s="52"/>
      <c r="D312" s="350"/>
      <c r="E312" s="22"/>
      <c r="F312" s="48">
        <v>4122</v>
      </c>
      <c r="G312" s="45"/>
      <c r="H312" s="269"/>
      <c r="I312" s="390"/>
      <c r="J312" s="387"/>
      <c r="K312" s="391"/>
    </row>
    <row r="313" spans="1:11" hidden="1" x14ac:dyDescent="0.25">
      <c r="A313" s="43"/>
      <c r="B313" s="276"/>
      <c r="C313" s="52"/>
      <c r="D313" s="350"/>
      <c r="E313" s="22"/>
      <c r="F313" s="48">
        <v>4122</v>
      </c>
      <c r="G313" s="45"/>
      <c r="H313" s="269"/>
      <c r="I313" s="390"/>
      <c r="J313" s="387"/>
      <c r="K313" s="391"/>
    </row>
    <row r="314" spans="1:11" hidden="1" x14ac:dyDescent="0.25">
      <c r="A314" s="43"/>
      <c r="B314" s="276"/>
      <c r="C314" s="52"/>
      <c r="D314" s="350"/>
      <c r="E314" s="22"/>
      <c r="F314" s="48">
        <v>4122</v>
      </c>
      <c r="G314" s="45"/>
      <c r="H314" s="269"/>
      <c r="I314" s="390"/>
      <c r="J314" s="387"/>
      <c r="K314" s="391"/>
    </row>
    <row r="315" spans="1:11" hidden="1" x14ac:dyDescent="0.25">
      <c r="A315" s="43"/>
      <c r="B315" s="276"/>
      <c r="C315" s="52"/>
      <c r="D315" s="350"/>
      <c r="E315" s="22"/>
      <c r="F315" s="48">
        <v>4122</v>
      </c>
      <c r="G315" s="45"/>
      <c r="H315" s="269"/>
      <c r="I315" s="390"/>
      <c r="J315" s="387"/>
      <c r="K315" s="391"/>
    </row>
    <row r="316" spans="1:11" hidden="1" x14ac:dyDescent="0.25">
      <c r="A316" s="43"/>
      <c r="B316" s="276"/>
      <c r="C316" s="52"/>
      <c r="D316" s="350"/>
      <c r="E316" s="22"/>
      <c r="F316" s="48">
        <v>4122</v>
      </c>
      <c r="G316" s="45"/>
      <c r="H316" s="269"/>
      <c r="I316" s="390"/>
      <c r="J316" s="387"/>
      <c r="K316" s="391"/>
    </row>
    <row r="317" spans="1:11" hidden="1" x14ac:dyDescent="0.25">
      <c r="A317" s="43"/>
      <c r="B317" s="276"/>
      <c r="C317" s="52"/>
      <c r="D317" s="350"/>
      <c r="E317" s="22"/>
      <c r="F317" s="48">
        <v>4122</v>
      </c>
      <c r="G317" s="45"/>
      <c r="H317" s="269"/>
      <c r="I317" s="390"/>
      <c r="J317" s="387"/>
      <c r="K317" s="391"/>
    </row>
    <row r="318" spans="1:11" hidden="1" x14ac:dyDescent="0.25">
      <c r="A318" s="43"/>
      <c r="B318" s="276"/>
      <c r="C318" s="52"/>
      <c r="D318" s="350"/>
      <c r="E318" s="22"/>
      <c r="F318" s="48">
        <v>4122</v>
      </c>
      <c r="G318" s="45"/>
      <c r="H318" s="269"/>
      <c r="I318" s="390"/>
      <c r="J318" s="387"/>
      <c r="K318" s="391"/>
    </row>
    <row r="319" spans="1:11" hidden="1" x14ac:dyDescent="0.25">
      <c r="A319" s="43"/>
      <c r="B319" s="276"/>
      <c r="C319" s="52"/>
      <c r="D319" s="350"/>
      <c r="E319" s="22"/>
      <c r="F319" s="48">
        <v>4122</v>
      </c>
      <c r="G319" s="45"/>
      <c r="H319" s="269"/>
      <c r="I319" s="390"/>
      <c r="J319" s="387"/>
      <c r="K319" s="391"/>
    </row>
    <row r="320" spans="1:11" hidden="1" x14ac:dyDescent="0.25">
      <c r="A320" s="43"/>
      <c r="B320" s="276"/>
      <c r="C320" s="52"/>
      <c r="D320" s="350"/>
      <c r="E320" s="22"/>
      <c r="F320" s="48">
        <v>4122</v>
      </c>
      <c r="G320" s="45"/>
      <c r="H320" s="269"/>
      <c r="I320" s="390"/>
      <c r="J320" s="387"/>
      <c r="K320" s="391"/>
    </row>
    <row r="321" spans="1:11" hidden="1" x14ac:dyDescent="0.25">
      <c r="A321" s="43"/>
      <c r="B321" s="276"/>
      <c r="C321" s="52"/>
      <c r="D321" s="350"/>
      <c r="E321" s="22"/>
      <c r="F321" s="48">
        <v>4122</v>
      </c>
      <c r="G321" s="45"/>
      <c r="H321" s="269"/>
      <c r="I321" s="390"/>
      <c r="J321" s="387"/>
      <c r="K321" s="391"/>
    </row>
    <row r="322" spans="1:11" hidden="1" x14ac:dyDescent="0.25">
      <c r="A322" s="43"/>
      <c r="B322" s="276"/>
      <c r="C322" s="52"/>
      <c r="D322" s="350"/>
      <c r="E322" s="22"/>
      <c r="F322" s="48">
        <v>4122</v>
      </c>
      <c r="G322" s="45"/>
      <c r="H322" s="269"/>
      <c r="I322" s="390"/>
      <c r="J322" s="387"/>
      <c r="K322" s="391"/>
    </row>
    <row r="323" spans="1:11" hidden="1" x14ac:dyDescent="0.25">
      <c r="A323" s="43"/>
      <c r="B323" s="276"/>
      <c r="C323" s="52"/>
      <c r="D323" s="350"/>
      <c r="E323" s="22"/>
      <c r="F323" s="48">
        <v>4122</v>
      </c>
      <c r="G323" s="45"/>
      <c r="H323" s="269"/>
      <c r="I323" s="390"/>
      <c r="J323" s="387"/>
      <c r="K323" s="391"/>
    </row>
    <row r="324" spans="1:11" hidden="1" x14ac:dyDescent="0.25">
      <c r="A324" s="43"/>
      <c r="B324" s="276"/>
      <c r="C324" s="52"/>
      <c r="D324" s="350"/>
      <c r="E324" s="22"/>
      <c r="F324" s="48">
        <v>4122</v>
      </c>
      <c r="G324" s="45"/>
      <c r="H324" s="269"/>
      <c r="I324" s="390"/>
      <c r="J324" s="387"/>
      <c r="K324" s="391"/>
    </row>
    <row r="325" spans="1:11" hidden="1" x14ac:dyDescent="0.25">
      <c r="A325" s="43"/>
      <c r="B325" s="276"/>
      <c r="C325" s="350"/>
      <c r="D325" s="350"/>
      <c r="E325" s="28"/>
      <c r="F325" s="48">
        <v>4122</v>
      </c>
      <c r="G325" s="45"/>
      <c r="H325" s="269"/>
      <c r="I325" s="390"/>
      <c r="J325" s="387"/>
      <c r="K325" s="391"/>
    </row>
    <row r="326" spans="1:11" hidden="1" x14ac:dyDescent="0.25">
      <c r="A326" s="43"/>
      <c r="B326" s="276"/>
      <c r="C326" s="350"/>
      <c r="D326" s="350"/>
      <c r="E326" s="28"/>
      <c r="F326" s="48">
        <v>4122</v>
      </c>
      <c r="G326" s="45"/>
      <c r="H326" s="269"/>
      <c r="I326" s="390"/>
      <c r="J326" s="387"/>
      <c r="K326" s="391"/>
    </row>
    <row r="327" spans="1:11" hidden="1" x14ac:dyDescent="0.25">
      <c r="A327" s="43"/>
      <c r="B327" s="276"/>
      <c r="C327" s="350"/>
      <c r="D327" s="350"/>
      <c r="E327" s="28"/>
      <c r="F327" s="48">
        <v>4122</v>
      </c>
      <c r="G327" s="45"/>
      <c r="H327" s="269"/>
      <c r="I327" s="390"/>
      <c r="J327" s="387"/>
      <c r="K327" s="391"/>
    </row>
    <row r="328" spans="1:11" hidden="1" x14ac:dyDescent="0.25">
      <c r="A328" s="43"/>
      <c r="B328" s="276"/>
      <c r="C328" s="350"/>
      <c r="D328" s="350"/>
      <c r="E328" s="28"/>
      <c r="F328" s="48">
        <v>4122</v>
      </c>
      <c r="G328" s="45"/>
      <c r="H328" s="269"/>
      <c r="I328" s="390"/>
      <c r="J328" s="387"/>
      <c r="K328" s="391"/>
    </row>
    <row r="329" spans="1:11" hidden="1" x14ac:dyDescent="0.25">
      <c r="A329" s="43"/>
      <c r="B329" s="276"/>
      <c r="C329" s="350"/>
      <c r="D329" s="350"/>
      <c r="E329" s="28"/>
      <c r="F329" s="48">
        <v>4122</v>
      </c>
      <c r="G329" s="45"/>
      <c r="H329" s="269"/>
      <c r="I329" s="390"/>
      <c r="J329" s="387"/>
      <c r="K329" s="391"/>
    </row>
    <row r="330" spans="1:11" hidden="1" x14ac:dyDescent="0.25">
      <c r="A330" s="43"/>
      <c r="B330" s="276"/>
      <c r="C330" s="350"/>
      <c r="D330" s="350"/>
      <c r="E330" s="28"/>
      <c r="F330" s="48">
        <v>4122</v>
      </c>
      <c r="G330" s="45"/>
      <c r="H330" s="269"/>
      <c r="I330" s="390"/>
      <c r="J330" s="387"/>
      <c r="K330" s="391"/>
    </row>
    <row r="331" spans="1:11" hidden="1" x14ac:dyDescent="0.25">
      <c r="A331" s="43"/>
      <c r="B331" s="276"/>
      <c r="C331" s="350"/>
      <c r="D331" s="350"/>
      <c r="E331" s="28"/>
      <c r="F331" s="48">
        <v>4122</v>
      </c>
      <c r="G331" s="45"/>
      <c r="H331" s="269"/>
      <c r="I331" s="390"/>
      <c r="J331" s="387"/>
      <c r="K331" s="391"/>
    </row>
    <row r="332" spans="1:11" hidden="1" x14ac:dyDescent="0.25">
      <c r="A332" s="43"/>
      <c r="B332" s="276"/>
      <c r="C332" s="350"/>
      <c r="D332" s="350"/>
      <c r="E332" s="28"/>
      <c r="F332" s="48">
        <v>4122</v>
      </c>
      <c r="G332" s="45"/>
      <c r="H332" s="269"/>
      <c r="I332" s="390"/>
      <c r="J332" s="387"/>
      <c r="K332" s="391"/>
    </row>
    <row r="333" spans="1:11" hidden="1" x14ac:dyDescent="0.25">
      <c r="A333" s="43"/>
      <c r="B333" s="276"/>
      <c r="C333" s="350"/>
      <c r="D333" s="350"/>
      <c r="E333" s="28"/>
      <c r="F333" s="48">
        <v>4122</v>
      </c>
      <c r="G333" s="45"/>
      <c r="H333" s="269"/>
      <c r="I333" s="390"/>
      <c r="J333" s="387"/>
      <c r="K333" s="391"/>
    </row>
    <row r="334" spans="1:11" hidden="1" x14ac:dyDescent="0.25">
      <c r="A334" s="43"/>
      <c r="B334" s="276"/>
      <c r="C334" s="350"/>
      <c r="D334" s="350"/>
      <c r="E334" s="28"/>
      <c r="F334" s="48">
        <v>4122</v>
      </c>
      <c r="G334" s="45"/>
      <c r="I334" s="390"/>
      <c r="J334" s="387"/>
      <c r="K334" s="391"/>
    </row>
    <row r="335" spans="1:11" hidden="1" x14ac:dyDescent="0.25">
      <c r="A335" s="43"/>
      <c r="B335" s="276"/>
      <c r="C335" s="350"/>
      <c r="D335" s="350"/>
      <c r="E335" s="28"/>
      <c r="F335" s="48">
        <v>4122</v>
      </c>
      <c r="G335" s="45"/>
      <c r="I335" s="390"/>
      <c r="J335" s="387"/>
      <c r="K335" s="391"/>
    </row>
    <row r="336" spans="1:11" hidden="1" x14ac:dyDescent="0.25">
      <c r="A336" s="43"/>
      <c r="B336" s="276"/>
      <c r="C336" s="350"/>
      <c r="D336" s="350"/>
      <c r="E336" s="28"/>
      <c r="F336" s="48">
        <v>4122</v>
      </c>
      <c r="G336" s="45"/>
      <c r="I336" s="390"/>
      <c r="J336" s="387"/>
      <c r="K336" s="391"/>
    </row>
    <row r="337" spans="1:12" x14ac:dyDescent="0.25">
      <c r="A337" s="43"/>
      <c r="B337" s="276"/>
      <c r="C337" s="350"/>
      <c r="D337" s="350"/>
      <c r="E337" s="28"/>
      <c r="F337" s="29"/>
      <c r="G337" s="45"/>
      <c r="I337" s="390"/>
      <c r="J337" s="387"/>
      <c r="K337" s="391"/>
      <c r="L337" s="45">
        <f>95640251.67-L302</f>
        <v>-70000</v>
      </c>
    </row>
    <row r="338" spans="1:12" x14ac:dyDescent="0.25">
      <c r="A338" s="43"/>
      <c r="B338" s="31" t="s">
        <v>50</v>
      </c>
      <c r="C338" s="26">
        <f>SUM(C339:C343)</f>
        <v>1808.6522100000002</v>
      </c>
      <c r="D338" s="26">
        <f>+SUM(D339:D343)</f>
        <v>1808652.21</v>
      </c>
      <c r="E338" s="28"/>
      <c r="F338" s="29"/>
      <c r="G338" s="45"/>
      <c r="I338" s="390"/>
      <c r="J338" s="387"/>
      <c r="K338" s="391"/>
    </row>
    <row r="339" spans="1:12" x14ac:dyDescent="0.25">
      <c r="A339" s="272">
        <v>42101</v>
      </c>
      <c r="B339" s="276" t="s">
        <v>138</v>
      </c>
      <c r="C339" s="52">
        <v>131.06369000000001</v>
      </c>
      <c r="D339" s="350">
        <v>131063.69</v>
      </c>
      <c r="E339" s="22">
        <v>86005</v>
      </c>
      <c r="F339" s="48">
        <v>4123</v>
      </c>
      <c r="G339" s="45"/>
      <c r="I339" s="390"/>
      <c r="J339" s="387"/>
      <c r="K339" s="391"/>
    </row>
    <row r="340" spans="1:12" x14ac:dyDescent="0.25">
      <c r="A340" s="287">
        <v>42131</v>
      </c>
      <c r="B340" s="276" t="s">
        <v>417</v>
      </c>
      <c r="C340" s="52">
        <v>853.73328000000004</v>
      </c>
      <c r="D340" s="350">
        <v>853733.28</v>
      </c>
      <c r="E340" s="62">
        <v>86005</v>
      </c>
      <c r="F340" s="48">
        <v>4123</v>
      </c>
      <c r="G340" s="45"/>
      <c r="I340" s="390"/>
      <c r="J340" s="387"/>
      <c r="K340" s="391"/>
    </row>
    <row r="341" spans="1:12" x14ac:dyDescent="0.25">
      <c r="A341" s="287">
        <v>42178</v>
      </c>
      <c r="B341" s="276" t="s">
        <v>245</v>
      </c>
      <c r="C341" s="52">
        <v>823.85523999999998</v>
      </c>
      <c r="D341" s="350">
        <v>823855.24</v>
      </c>
      <c r="E341" s="62">
        <v>86005</v>
      </c>
      <c r="F341" s="48">
        <v>4123</v>
      </c>
      <c r="G341" s="45"/>
      <c r="I341" s="390"/>
      <c r="J341" s="387"/>
      <c r="K341" s="391"/>
    </row>
    <row r="342" spans="1:12" x14ac:dyDescent="0.25">
      <c r="A342" s="287"/>
      <c r="B342" s="276"/>
      <c r="C342" s="52"/>
      <c r="D342" s="350"/>
      <c r="E342" s="62"/>
      <c r="F342" s="48">
        <v>4123</v>
      </c>
      <c r="G342" s="45"/>
      <c r="I342" s="390"/>
      <c r="J342" s="387"/>
      <c r="K342" s="391"/>
    </row>
    <row r="343" spans="1:12" x14ac:dyDescent="0.25">
      <c r="A343" s="43"/>
      <c r="B343" s="291"/>
      <c r="C343" s="358"/>
      <c r="D343" s="358"/>
      <c r="E343" s="28"/>
      <c r="F343" s="48"/>
      <c r="G343" s="45"/>
      <c r="I343" s="390"/>
      <c r="J343" s="387"/>
      <c r="K343" s="391"/>
    </row>
    <row r="344" spans="1:12" x14ac:dyDescent="0.25">
      <c r="A344" s="43"/>
      <c r="B344" s="292" t="s">
        <v>51</v>
      </c>
      <c r="C344" s="30">
        <f>+C345</f>
        <v>0</v>
      </c>
      <c r="D344" s="30">
        <f>+D345</f>
        <v>0</v>
      </c>
      <c r="E344" s="28"/>
      <c r="F344" s="29"/>
      <c r="G344" s="45"/>
      <c r="I344" s="390"/>
      <c r="J344" s="387"/>
      <c r="K344" s="391"/>
    </row>
    <row r="345" spans="1:12" x14ac:dyDescent="0.25">
      <c r="A345" s="43"/>
      <c r="B345" s="44"/>
      <c r="C345" s="46"/>
      <c r="D345" s="46"/>
      <c r="E345" s="28"/>
      <c r="F345" s="48">
        <v>4151</v>
      </c>
      <c r="G345" s="45"/>
      <c r="I345" s="390"/>
      <c r="J345" s="387"/>
      <c r="K345" s="391"/>
    </row>
    <row r="346" spans="1:12" x14ac:dyDescent="0.25">
      <c r="A346" s="43"/>
      <c r="B346" s="44"/>
      <c r="C346" s="46"/>
      <c r="D346" s="46"/>
      <c r="E346" s="28"/>
      <c r="F346" s="48"/>
      <c r="G346" s="45"/>
      <c r="I346" s="390"/>
      <c r="J346" s="387"/>
      <c r="K346" s="391"/>
    </row>
    <row r="347" spans="1:12" x14ac:dyDescent="0.25">
      <c r="A347" s="43"/>
      <c r="B347" s="293" t="s">
        <v>52</v>
      </c>
      <c r="C347" s="30">
        <f>+SUM(C348:C351)</f>
        <v>2377</v>
      </c>
      <c r="D347" s="30">
        <f>+SUM(D348:D351)</f>
        <v>2400018.1000000006</v>
      </c>
      <c r="E347" s="28"/>
      <c r="F347" s="48"/>
      <c r="G347" s="45"/>
      <c r="I347" s="390"/>
      <c r="J347" s="387"/>
      <c r="K347" s="391"/>
    </row>
    <row r="348" spans="1:12" x14ac:dyDescent="0.25">
      <c r="A348" s="43">
        <v>42075</v>
      </c>
      <c r="B348" s="276" t="s">
        <v>124</v>
      </c>
      <c r="C348" s="52">
        <v>582</v>
      </c>
      <c r="D348" s="350">
        <v>581714.24</v>
      </c>
      <c r="E348" s="28"/>
      <c r="F348" s="48">
        <v>4152</v>
      </c>
      <c r="G348" s="45"/>
      <c r="I348" s="390"/>
      <c r="J348" s="387"/>
      <c r="K348" s="391"/>
    </row>
    <row r="349" spans="1:12" x14ac:dyDescent="0.25">
      <c r="A349" s="43">
        <v>42174</v>
      </c>
      <c r="B349" s="276" t="s">
        <v>244</v>
      </c>
      <c r="C349" s="52">
        <v>1795</v>
      </c>
      <c r="D349" s="350">
        <v>1794728.87</v>
      </c>
      <c r="E349" s="28"/>
      <c r="F349" s="48">
        <v>4152</v>
      </c>
      <c r="G349" s="45"/>
      <c r="I349" s="390"/>
      <c r="J349" s="387"/>
      <c r="K349" s="391"/>
    </row>
    <row r="350" spans="1:12" x14ac:dyDescent="0.25">
      <c r="A350" s="43">
        <v>42233</v>
      </c>
      <c r="B350" s="276" t="s">
        <v>402</v>
      </c>
      <c r="C350" s="52">
        <v>0</v>
      </c>
      <c r="D350" s="350">
        <v>23574.99</v>
      </c>
      <c r="E350" s="28"/>
      <c r="F350" s="48">
        <v>4152</v>
      </c>
      <c r="G350" s="45"/>
      <c r="I350" s="390"/>
      <c r="J350" s="387"/>
      <c r="K350" s="391"/>
    </row>
    <row r="351" spans="1:12" x14ac:dyDescent="0.25">
      <c r="A351" s="43"/>
      <c r="B351" s="276"/>
      <c r="C351" s="52"/>
      <c r="D351" s="350"/>
      <c r="E351" s="28"/>
      <c r="F351" s="48">
        <v>4152</v>
      </c>
      <c r="G351" s="45"/>
      <c r="I351" s="390"/>
      <c r="J351" s="387"/>
      <c r="K351" s="391"/>
    </row>
    <row r="352" spans="1:12" x14ac:dyDescent="0.25">
      <c r="A352" s="43"/>
      <c r="B352" s="276"/>
      <c r="C352" s="46"/>
      <c r="D352" s="350"/>
      <c r="E352" s="28"/>
      <c r="F352" s="48"/>
      <c r="G352" s="45"/>
      <c r="I352" s="390"/>
      <c r="J352" s="387"/>
      <c r="K352" s="391"/>
    </row>
    <row r="353" spans="1:11" x14ac:dyDescent="0.25">
      <c r="A353" s="43"/>
      <c r="B353" s="294" t="s">
        <v>53</v>
      </c>
      <c r="C353" s="26">
        <f>+C347+C344+C338+C253+C250+C234+C226+C209+C190+C187+C179+C172+C108+C69+C65+C37+C33+C18+C12+C7</f>
        <v>272751.97179999994</v>
      </c>
      <c r="D353" s="26">
        <f>+D347+D344+D338+D253+D250+D234+D226+D209+D190+D187+D179+D172+D108+D69+D65+D37+D33+D18+D12+D7</f>
        <v>279745946.90000004</v>
      </c>
      <c r="E353" s="71"/>
      <c r="F353" s="22"/>
      <c r="G353" s="45"/>
      <c r="I353" s="390"/>
      <c r="J353" s="387"/>
      <c r="K353" s="391"/>
    </row>
    <row r="354" spans="1:11" ht="16.5" thickBot="1" x14ac:dyDescent="0.3">
      <c r="A354" s="296"/>
      <c r="B354" s="297"/>
      <c r="C354" s="74"/>
      <c r="D354" s="74"/>
      <c r="E354" s="76"/>
      <c r="F354" s="77"/>
      <c r="G354" s="45"/>
      <c r="I354" s="390"/>
      <c r="J354" s="387"/>
      <c r="K354" s="391"/>
    </row>
    <row r="355" spans="1:11" x14ac:dyDescent="0.25">
      <c r="A355" s="300"/>
      <c r="B355" s="79"/>
      <c r="C355" s="7"/>
      <c r="D355" s="7"/>
      <c r="E355" s="80"/>
      <c r="F355" s="80"/>
      <c r="G355" s="45"/>
      <c r="I355" s="390"/>
      <c r="J355" s="387"/>
      <c r="K355" s="391"/>
    </row>
    <row r="356" spans="1:11" ht="16.5" thickBot="1" x14ac:dyDescent="0.3">
      <c r="A356" s="300"/>
      <c r="B356" s="79"/>
      <c r="C356" s="7"/>
      <c r="D356" s="7"/>
      <c r="E356" s="80"/>
      <c r="F356" s="80"/>
      <c r="G356" s="45"/>
      <c r="I356" s="390"/>
      <c r="J356" s="387"/>
      <c r="K356" s="391"/>
    </row>
    <row r="357" spans="1:11" x14ac:dyDescent="0.25">
      <c r="A357" s="690" t="s">
        <v>141</v>
      </c>
      <c r="B357" s="5"/>
      <c r="C357" s="4"/>
      <c r="D357" s="4"/>
      <c r="E357" s="81"/>
      <c r="F357" s="81"/>
      <c r="G357" s="45"/>
      <c r="I357" s="390"/>
      <c r="J357" s="387"/>
      <c r="K357" s="391"/>
    </row>
    <row r="358" spans="1:11" ht="16.5" thickBot="1" x14ac:dyDescent="0.3">
      <c r="A358" s="691"/>
      <c r="B358" s="10" t="s">
        <v>54</v>
      </c>
      <c r="C358" s="9" t="s">
        <v>3</v>
      </c>
      <c r="D358" s="9" t="s">
        <v>4</v>
      </c>
      <c r="E358" s="82" t="s">
        <v>5</v>
      </c>
      <c r="F358" s="82" t="s">
        <v>6</v>
      </c>
      <c r="G358" s="45"/>
      <c r="I358" s="390"/>
      <c r="J358" s="387"/>
      <c r="K358" s="391"/>
    </row>
    <row r="359" spans="1:11" x14ac:dyDescent="0.25">
      <c r="A359" s="43"/>
      <c r="B359" s="273" t="s">
        <v>14</v>
      </c>
      <c r="C359" s="39">
        <f>+SUM(C360:C394)</f>
        <v>1691.3655199999998</v>
      </c>
      <c r="D359" s="39">
        <f>+SUM(D360:D394)</f>
        <v>1691365.5200000005</v>
      </c>
      <c r="E359" s="48"/>
      <c r="F359" s="48"/>
      <c r="G359" s="45"/>
      <c r="I359" s="390"/>
      <c r="J359" s="387"/>
      <c r="K359" s="391"/>
    </row>
    <row r="360" spans="1:11" x14ac:dyDescent="0.25">
      <c r="A360" s="43">
        <v>42069</v>
      </c>
      <c r="B360" s="44" t="s">
        <v>114</v>
      </c>
      <c r="C360" s="52">
        <v>141.55572000000001</v>
      </c>
      <c r="D360" s="20">
        <v>141555.72</v>
      </c>
      <c r="E360" s="48">
        <v>90877</v>
      </c>
      <c r="F360" s="48">
        <v>4213</v>
      </c>
      <c r="G360" s="45"/>
      <c r="I360" s="390"/>
      <c r="J360" s="387"/>
      <c r="K360" s="391"/>
    </row>
    <row r="361" spans="1:11" x14ac:dyDescent="0.25">
      <c r="A361" s="43">
        <v>42114</v>
      </c>
      <c r="B361" s="44" t="s">
        <v>156</v>
      </c>
      <c r="C361" s="52">
        <v>47.117789999999999</v>
      </c>
      <c r="D361" s="20">
        <v>47117.79</v>
      </c>
      <c r="E361" s="48">
        <v>90877</v>
      </c>
      <c r="F361" s="48">
        <v>4213</v>
      </c>
      <c r="G361" s="45"/>
      <c r="I361" s="390"/>
      <c r="J361" s="387"/>
      <c r="K361" s="391"/>
    </row>
    <row r="362" spans="1:11" x14ac:dyDescent="0.25">
      <c r="A362" s="43">
        <v>42142</v>
      </c>
      <c r="B362" s="44" t="s">
        <v>169</v>
      </c>
      <c r="C362" s="52">
        <v>21.145890000000001</v>
      </c>
      <c r="D362" s="20">
        <v>21145.89</v>
      </c>
      <c r="E362" s="48">
        <v>90877</v>
      </c>
      <c r="F362" s="48">
        <v>4213</v>
      </c>
      <c r="G362" s="45"/>
      <c r="I362" s="390"/>
      <c r="J362" s="387"/>
      <c r="K362" s="391"/>
    </row>
    <row r="363" spans="1:11" x14ac:dyDescent="0.25">
      <c r="A363" s="43">
        <v>42150</v>
      </c>
      <c r="B363" s="44" t="s">
        <v>218</v>
      </c>
      <c r="C363" s="52">
        <v>32.193080000000002</v>
      </c>
      <c r="D363" s="20">
        <v>32193.08</v>
      </c>
      <c r="E363" s="48">
        <v>90877</v>
      </c>
      <c r="F363" s="48">
        <v>4213</v>
      </c>
      <c r="G363" s="45"/>
      <c r="I363" s="390"/>
      <c r="J363" s="387"/>
      <c r="K363" s="391"/>
    </row>
    <row r="364" spans="1:11" x14ac:dyDescent="0.25">
      <c r="A364" s="43">
        <v>42150</v>
      </c>
      <c r="B364" s="44" t="s">
        <v>219</v>
      </c>
      <c r="C364" s="52">
        <v>21.296060000000001</v>
      </c>
      <c r="D364" s="20">
        <v>21296.06</v>
      </c>
      <c r="E364" s="48">
        <v>90877</v>
      </c>
      <c r="F364" s="48">
        <v>4213</v>
      </c>
      <c r="G364" s="45"/>
      <c r="I364" s="390"/>
      <c r="J364" s="387"/>
      <c r="K364" s="391"/>
    </row>
    <row r="365" spans="1:11" x14ac:dyDescent="0.25">
      <c r="A365" s="43">
        <v>42167</v>
      </c>
      <c r="B365" s="44" t="s">
        <v>232</v>
      </c>
      <c r="C365" s="52">
        <v>28.64677</v>
      </c>
      <c r="D365" s="20">
        <v>28646.77</v>
      </c>
      <c r="E365" s="48">
        <v>90877</v>
      </c>
      <c r="F365" s="48">
        <v>4213</v>
      </c>
      <c r="G365" s="45"/>
      <c r="I365" s="390"/>
      <c r="J365" s="387"/>
      <c r="K365" s="391"/>
    </row>
    <row r="366" spans="1:11" x14ac:dyDescent="0.25">
      <c r="A366" s="43">
        <v>42199</v>
      </c>
      <c r="B366" s="44" t="s">
        <v>280</v>
      </c>
      <c r="C366" s="52">
        <v>120.05096</v>
      </c>
      <c r="D366" s="20">
        <v>120050.96</v>
      </c>
      <c r="E366" s="48">
        <v>90877</v>
      </c>
      <c r="F366" s="48">
        <v>4213</v>
      </c>
      <c r="G366" s="45"/>
      <c r="I366" s="390"/>
      <c r="J366" s="387"/>
      <c r="K366" s="391"/>
    </row>
    <row r="367" spans="1:11" x14ac:dyDescent="0.25">
      <c r="A367" s="43">
        <v>42195</v>
      </c>
      <c r="B367" s="44" t="s">
        <v>294</v>
      </c>
      <c r="C367" s="52">
        <v>20.106369999999998</v>
      </c>
      <c r="D367" s="20">
        <v>20106.37</v>
      </c>
      <c r="E367" s="48">
        <v>90877</v>
      </c>
      <c r="F367" s="48">
        <v>4213</v>
      </c>
      <c r="G367" s="45"/>
      <c r="I367" s="390"/>
      <c r="J367" s="387"/>
      <c r="K367" s="391"/>
    </row>
    <row r="368" spans="1:11" x14ac:dyDescent="0.25">
      <c r="A368" s="43">
        <v>42205</v>
      </c>
      <c r="B368" s="44" t="s">
        <v>303</v>
      </c>
      <c r="C368" s="52">
        <v>19.5185</v>
      </c>
      <c r="D368" s="20">
        <v>19518.5</v>
      </c>
      <c r="E368" s="48">
        <v>90877</v>
      </c>
      <c r="F368" s="48">
        <v>4213</v>
      </c>
      <c r="G368" s="45"/>
      <c r="I368" s="390"/>
      <c r="J368" s="387"/>
      <c r="K368" s="391"/>
    </row>
    <row r="369" spans="1:11" x14ac:dyDescent="0.25">
      <c r="A369" s="43">
        <v>42209</v>
      </c>
      <c r="B369" s="44" t="s">
        <v>330</v>
      </c>
      <c r="C369" s="52">
        <v>20.354620000000001</v>
      </c>
      <c r="D369" s="20">
        <v>20354.62</v>
      </c>
      <c r="E369" s="48">
        <v>90877</v>
      </c>
      <c r="F369" s="48">
        <v>4213</v>
      </c>
      <c r="G369" s="45"/>
      <c r="I369" s="390"/>
      <c r="J369" s="387"/>
      <c r="K369" s="391"/>
    </row>
    <row r="370" spans="1:11" x14ac:dyDescent="0.25">
      <c r="A370" s="43">
        <v>42220</v>
      </c>
      <c r="B370" s="44" t="s">
        <v>343</v>
      </c>
      <c r="C370" s="52">
        <v>72.443290000000005</v>
      </c>
      <c r="D370" s="20">
        <v>72443.289999999994</v>
      </c>
      <c r="E370" s="48">
        <v>90877</v>
      </c>
      <c r="F370" s="48">
        <v>4213</v>
      </c>
      <c r="G370" s="45"/>
      <c r="I370" s="390"/>
      <c r="J370" s="387"/>
      <c r="K370" s="391"/>
    </row>
    <row r="371" spans="1:11" x14ac:dyDescent="0.25">
      <c r="A371" s="43">
        <v>42222</v>
      </c>
      <c r="B371" s="44" t="s">
        <v>368</v>
      </c>
      <c r="C371" s="52">
        <v>214.12066999999999</v>
      </c>
      <c r="D371" s="20">
        <v>214120.67</v>
      </c>
      <c r="E371" s="48">
        <v>90877</v>
      </c>
      <c r="F371" s="48">
        <v>4213</v>
      </c>
      <c r="G371" s="45"/>
      <c r="I371" s="390"/>
      <c r="J371" s="387"/>
      <c r="K371" s="391"/>
    </row>
    <row r="372" spans="1:11" x14ac:dyDescent="0.25">
      <c r="A372" s="43">
        <v>42226</v>
      </c>
      <c r="B372" s="44" t="s">
        <v>218</v>
      </c>
      <c r="C372" s="52">
        <v>7.7073600000000004</v>
      </c>
      <c r="D372" s="20">
        <v>7707.36</v>
      </c>
      <c r="E372" s="48">
        <v>90877</v>
      </c>
      <c r="F372" s="48">
        <v>4213</v>
      </c>
      <c r="G372" s="45"/>
      <c r="I372" s="390"/>
      <c r="J372" s="387"/>
      <c r="K372" s="391"/>
    </row>
    <row r="373" spans="1:11" x14ac:dyDescent="0.25">
      <c r="A373" s="43">
        <v>42251</v>
      </c>
      <c r="B373" s="44" t="s">
        <v>330</v>
      </c>
      <c r="C373" s="20">
        <v>0.30249999999999999</v>
      </c>
      <c r="D373" s="20">
        <v>302.5</v>
      </c>
      <c r="E373" s="48">
        <v>90877</v>
      </c>
      <c r="F373" s="48">
        <v>4213</v>
      </c>
      <c r="G373" s="45"/>
      <c r="I373" s="390"/>
      <c r="J373" s="387"/>
      <c r="K373" s="391"/>
    </row>
    <row r="374" spans="1:11" hidden="1" x14ac:dyDescent="0.25">
      <c r="A374" s="43"/>
      <c r="B374" s="44"/>
      <c r="C374" s="52"/>
      <c r="D374" s="20"/>
      <c r="E374" s="48"/>
      <c r="F374" s="48">
        <v>4213</v>
      </c>
      <c r="G374" s="45">
        <f>+G373-D394</f>
        <v>-77736.06</v>
      </c>
      <c r="I374" s="390"/>
      <c r="J374" s="387"/>
      <c r="K374" s="391"/>
    </row>
    <row r="375" spans="1:11" hidden="1" x14ac:dyDescent="0.25">
      <c r="A375" s="43"/>
      <c r="B375" s="44"/>
      <c r="C375" s="52"/>
      <c r="D375" s="20"/>
      <c r="E375" s="48"/>
      <c r="F375" s="48">
        <v>4213</v>
      </c>
      <c r="G375" s="45">
        <f>+G374-H389</f>
        <v>-77736.06</v>
      </c>
      <c r="I375" s="390"/>
      <c r="J375" s="387"/>
      <c r="K375" s="391"/>
    </row>
    <row r="376" spans="1:11" hidden="1" x14ac:dyDescent="0.25">
      <c r="A376" s="43"/>
      <c r="B376" s="44"/>
      <c r="C376" s="52"/>
      <c r="D376" s="20"/>
      <c r="E376" s="48"/>
      <c r="F376" s="48">
        <v>4213</v>
      </c>
      <c r="G376" s="45"/>
      <c r="I376" s="390"/>
      <c r="J376" s="387"/>
      <c r="K376" s="391"/>
    </row>
    <row r="377" spans="1:11" hidden="1" x14ac:dyDescent="0.25">
      <c r="A377" s="43"/>
      <c r="B377" s="44"/>
      <c r="C377" s="52"/>
      <c r="D377" s="20"/>
      <c r="E377" s="48"/>
      <c r="F377" s="48">
        <v>4213</v>
      </c>
      <c r="G377" s="45"/>
      <c r="I377" s="390"/>
      <c r="J377" s="387"/>
      <c r="K377" s="391"/>
    </row>
    <row r="378" spans="1:11" hidden="1" x14ac:dyDescent="0.25">
      <c r="A378" s="43"/>
      <c r="B378" s="44"/>
      <c r="C378" s="20"/>
      <c r="D378" s="20"/>
      <c r="E378" s="48"/>
      <c r="F378" s="48">
        <v>4213</v>
      </c>
      <c r="G378" s="45"/>
      <c r="I378" s="390"/>
      <c r="J378" s="387"/>
      <c r="K378" s="391"/>
    </row>
    <row r="379" spans="1:11" hidden="1" x14ac:dyDescent="0.25">
      <c r="A379" s="43"/>
      <c r="B379" s="276"/>
      <c r="C379" s="20"/>
      <c r="D379" s="20"/>
      <c r="E379" s="48"/>
      <c r="F379" s="48">
        <v>4213</v>
      </c>
      <c r="G379" s="45"/>
      <c r="I379" s="390"/>
      <c r="J379" s="387"/>
      <c r="K379" s="391"/>
    </row>
    <row r="380" spans="1:11" hidden="1" x14ac:dyDescent="0.25">
      <c r="A380" s="43"/>
      <c r="B380" s="44"/>
      <c r="C380" s="20"/>
      <c r="D380" s="20"/>
      <c r="E380" s="48"/>
      <c r="F380" s="48">
        <v>4213</v>
      </c>
      <c r="G380" s="45"/>
      <c r="I380" s="390"/>
      <c r="J380" s="387"/>
      <c r="K380" s="391"/>
    </row>
    <row r="381" spans="1:11" hidden="1" x14ac:dyDescent="0.25">
      <c r="A381" s="43"/>
      <c r="B381" s="44"/>
      <c r="C381" s="20"/>
      <c r="D381" s="20"/>
      <c r="E381" s="48"/>
      <c r="F381" s="48">
        <v>4213</v>
      </c>
      <c r="G381" s="45"/>
      <c r="I381" s="390"/>
      <c r="J381" s="387"/>
      <c r="K381" s="391"/>
    </row>
    <row r="382" spans="1:11" hidden="1" x14ac:dyDescent="0.25">
      <c r="A382" s="43"/>
      <c r="B382" s="44"/>
      <c r="C382" s="20"/>
      <c r="D382" s="20"/>
      <c r="E382" s="48"/>
      <c r="F382" s="48">
        <v>4213</v>
      </c>
      <c r="G382" s="45"/>
      <c r="I382" s="390"/>
      <c r="J382" s="387"/>
      <c r="K382" s="391"/>
    </row>
    <row r="383" spans="1:11" hidden="1" x14ac:dyDescent="0.25">
      <c r="A383" s="43"/>
      <c r="B383" s="44"/>
      <c r="C383" s="20"/>
      <c r="D383" s="20"/>
      <c r="E383" s="48"/>
      <c r="F383" s="48">
        <v>4213</v>
      </c>
      <c r="G383" s="45"/>
      <c r="I383" s="390"/>
      <c r="J383" s="387"/>
      <c r="K383" s="391"/>
    </row>
    <row r="384" spans="1:11" x14ac:dyDescent="0.25">
      <c r="A384" s="43"/>
      <c r="B384" s="44" t="s">
        <v>501</v>
      </c>
      <c r="C384" s="174">
        <v>105.33132000000001</v>
      </c>
      <c r="D384" s="174">
        <v>105331.32</v>
      </c>
      <c r="E384" s="48">
        <v>90877</v>
      </c>
      <c r="F384" s="48">
        <v>4213</v>
      </c>
      <c r="G384" s="384" t="s">
        <v>64</v>
      </c>
      <c r="I384" s="390">
        <v>105331.32</v>
      </c>
      <c r="J384" s="389"/>
      <c r="K384" s="391"/>
    </row>
    <row r="385" spans="1:11" x14ac:dyDescent="0.25">
      <c r="A385" s="43"/>
      <c r="B385" s="44" t="s">
        <v>121</v>
      </c>
      <c r="C385" s="174">
        <v>0.97499999999999998</v>
      </c>
      <c r="D385" s="174">
        <v>975</v>
      </c>
      <c r="E385" s="48">
        <v>90877</v>
      </c>
      <c r="F385" s="48">
        <v>4213</v>
      </c>
      <c r="G385" s="45"/>
      <c r="I385" s="390"/>
      <c r="J385" s="389">
        <v>975</v>
      </c>
      <c r="K385" s="391"/>
    </row>
    <row r="386" spans="1:11" x14ac:dyDescent="0.25">
      <c r="A386" s="43"/>
      <c r="B386" s="44" t="s">
        <v>502</v>
      </c>
      <c r="C386" s="174">
        <v>1.42302</v>
      </c>
      <c r="D386" s="174">
        <v>1423.02</v>
      </c>
      <c r="E386" s="48">
        <v>90877</v>
      </c>
      <c r="F386" s="48">
        <v>4213</v>
      </c>
      <c r="G386" s="45"/>
      <c r="I386" s="404"/>
      <c r="J386" s="389">
        <v>1423.02</v>
      </c>
      <c r="K386" s="391"/>
    </row>
    <row r="387" spans="1:11" x14ac:dyDescent="0.25">
      <c r="A387" s="43"/>
      <c r="B387" s="44" t="s">
        <v>503</v>
      </c>
      <c r="C387" s="174">
        <v>54.137300000000003</v>
      </c>
      <c r="D387" s="174">
        <v>54137.3</v>
      </c>
      <c r="E387" s="48">
        <v>90877</v>
      </c>
      <c r="F387" s="48">
        <v>4213</v>
      </c>
      <c r="G387" s="45"/>
      <c r="I387" s="404"/>
      <c r="J387" s="389">
        <v>54137.3</v>
      </c>
      <c r="K387" s="391"/>
    </row>
    <row r="388" spans="1:11" x14ac:dyDescent="0.25">
      <c r="A388" s="43"/>
      <c r="B388" s="44" t="s">
        <v>110</v>
      </c>
      <c r="C388" s="174">
        <v>392.03399999999999</v>
      </c>
      <c r="D388" s="174">
        <v>392034</v>
      </c>
      <c r="E388" s="48">
        <v>90909</v>
      </c>
      <c r="F388" s="48">
        <v>4213</v>
      </c>
      <c r="G388" s="45"/>
      <c r="I388" s="404">
        <v>392034</v>
      </c>
      <c r="J388" s="387"/>
      <c r="K388" s="391"/>
    </row>
    <row r="389" spans="1:11" x14ac:dyDescent="0.25">
      <c r="A389" s="43"/>
      <c r="B389" s="44" t="s">
        <v>284</v>
      </c>
      <c r="C389" s="174">
        <v>277.85216000000003</v>
      </c>
      <c r="D389" s="174">
        <f>217082.01+60770.15</f>
        <v>277852.16000000003</v>
      </c>
      <c r="E389" s="48">
        <v>90877</v>
      </c>
      <c r="F389" s="48">
        <v>4213</v>
      </c>
      <c r="G389" s="384"/>
      <c r="H389" s="384"/>
      <c r="I389" s="390"/>
      <c r="J389" s="389">
        <f>217082.01+60770.15</f>
        <v>277852.16000000003</v>
      </c>
      <c r="K389" s="391"/>
    </row>
    <row r="390" spans="1:11" x14ac:dyDescent="0.25">
      <c r="A390" s="43"/>
      <c r="B390" s="44" t="s">
        <v>499</v>
      </c>
      <c r="C390" s="174">
        <v>0.30249999999999999</v>
      </c>
      <c r="D390" s="174">
        <v>302.5</v>
      </c>
      <c r="E390" s="48">
        <v>90877</v>
      </c>
      <c r="F390" s="48">
        <v>4213</v>
      </c>
      <c r="G390" s="384"/>
      <c r="H390" s="160"/>
      <c r="I390" s="390"/>
      <c r="J390" s="45">
        <v>302.5</v>
      </c>
      <c r="K390" s="391"/>
    </row>
    <row r="391" spans="1:11" x14ac:dyDescent="0.25">
      <c r="A391" s="43"/>
      <c r="B391" s="44" t="s">
        <v>360</v>
      </c>
      <c r="C391" s="174">
        <v>9.3895999999999997</v>
      </c>
      <c r="D391" s="174">
        <v>9389.6</v>
      </c>
      <c r="E391" s="48">
        <v>90877</v>
      </c>
      <c r="F391" s="48">
        <v>4213</v>
      </c>
      <c r="G391" s="45"/>
      <c r="H391" s="160"/>
      <c r="I391" s="390"/>
      <c r="J391" s="402">
        <v>9389.6</v>
      </c>
      <c r="K391" s="391"/>
    </row>
    <row r="392" spans="1:11" x14ac:dyDescent="0.25">
      <c r="A392" s="43"/>
      <c r="B392" s="44" t="s">
        <v>228</v>
      </c>
      <c r="C392" s="174">
        <v>2.125</v>
      </c>
      <c r="D392" s="174">
        <v>2125</v>
      </c>
      <c r="E392" s="48">
        <v>90877</v>
      </c>
      <c r="F392" s="48">
        <v>4213</v>
      </c>
      <c r="G392" s="45"/>
      <c r="H392" s="160"/>
      <c r="I392" s="390"/>
      <c r="J392" s="389">
        <v>2125</v>
      </c>
      <c r="K392" s="391"/>
    </row>
    <row r="393" spans="1:11" x14ac:dyDescent="0.25">
      <c r="A393" s="43"/>
      <c r="B393" s="44" t="s">
        <v>230</v>
      </c>
      <c r="C393" s="174">
        <v>3.4999799999999999</v>
      </c>
      <c r="D393" s="174">
        <v>3499.98</v>
      </c>
      <c r="E393" s="48">
        <v>90877</v>
      </c>
      <c r="F393" s="48">
        <v>4213</v>
      </c>
      <c r="G393" s="45"/>
      <c r="H393" s="160"/>
      <c r="I393" s="390"/>
      <c r="J393" s="389">
        <v>3499.98</v>
      </c>
      <c r="K393" s="391"/>
    </row>
    <row r="394" spans="1:11" x14ac:dyDescent="0.25">
      <c r="A394" s="43"/>
      <c r="B394" s="44" t="s">
        <v>504</v>
      </c>
      <c r="C394" s="174">
        <v>77.736059999999995</v>
      </c>
      <c r="D394" s="174">
        <v>77736.06</v>
      </c>
      <c r="E394" s="48">
        <v>90877</v>
      </c>
      <c r="F394" s="48">
        <v>4213</v>
      </c>
      <c r="G394" s="384"/>
      <c r="H394" s="160"/>
      <c r="I394" s="390"/>
      <c r="J394" s="387">
        <v>77736.06</v>
      </c>
      <c r="K394" s="391"/>
    </row>
    <row r="395" spans="1:11" x14ac:dyDescent="0.25">
      <c r="A395" s="43"/>
      <c r="B395" s="44"/>
      <c r="C395" s="20"/>
      <c r="D395" s="20"/>
      <c r="E395" s="48"/>
      <c r="F395" s="48"/>
      <c r="G395" s="45"/>
      <c r="I395" s="390"/>
      <c r="J395" s="387"/>
      <c r="K395" s="391"/>
    </row>
    <row r="396" spans="1:11" x14ac:dyDescent="0.25">
      <c r="A396" s="43"/>
      <c r="B396" s="285" t="s">
        <v>33</v>
      </c>
      <c r="C396" s="39">
        <f>+C397</f>
        <v>100</v>
      </c>
      <c r="D396" s="39">
        <f>+D397</f>
        <v>100000</v>
      </c>
      <c r="E396" s="48"/>
      <c r="F396" s="48"/>
      <c r="G396" s="45"/>
      <c r="I396" s="390"/>
      <c r="J396" s="387"/>
      <c r="K396" s="391"/>
    </row>
    <row r="397" spans="1:11" x14ac:dyDescent="0.25">
      <c r="A397" s="43">
        <v>42244</v>
      </c>
      <c r="B397" s="44" t="s">
        <v>322</v>
      </c>
      <c r="C397" s="20">
        <v>100</v>
      </c>
      <c r="D397" s="20">
        <v>100000</v>
      </c>
      <c r="E397" s="48">
        <v>34941</v>
      </c>
      <c r="F397" s="48">
        <v>4216</v>
      </c>
      <c r="G397" s="45"/>
      <c r="I397" s="390"/>
      <c r="J397" s="387"/>
      <c r="K397" s="391"/>
    </row>
    <row r="398" spans="1:11" x14ac:dyDescent="0.25">
      <c r="A398" s="43"/>
      <c r="B398" s="44"/>
      <c r="C398" s="20"/>
      <c r="D398" s="39"/>
      <c r="E398" s="48"/>
      <c r="F398" s="48"/>
      <c r="G398" s="45"/>
      <c r="I398" s="390"/>
      <c r="J398" s="387"/>
      <c r="K398" s="391"/>
    </row>
    <row r="399" spans="1:11" x14ac:dyDescent="0.25">
      <c r="A399" s="43"/>
      <c r="B399" s="273" t="s">
        <v>45</v>
      </c>
      <c r="C399" s="39">
        <f>+SUM(C400:C435)</f>
        <v>19682.190220000004</v>
      </c>
      <c r="D399" s="39">
        <f>+SUM(D400:D435)</f>
        <v>19682190.220000003</v>
      </c>
      <c r="E399" s="48"/>
      <c r="F399" s="48"/>
      <c r="G399" s="45"/>
      <c r="I399" s="390"/>
      <c r="J399" s="387"/>
      <c r="K399" s="391"/>
    </row>
    <row r="400" spans="1:11" x14ac:dyDescent="0.25">
      <c r="A400" s="43">
        <v>42114</v>
      </c>
      <c r="B400" s="44" t="s">
        <v>156</v>
      </c>
      <c r="C400" s="52">
        <v>801.00243</v>
      </c>
      <c r="D400" s="20">
        <v>801002.43</v>
      </c>
      <c r="E400" s="48">
        <v>15827</v>
      </c>
      <c r="F400" s="48">
        <v>4216</v>
      </c>
      <c r="G400" s="45"/>
      <c r="I400" s="390"/>
      <c r="J400" s="387"/>
      <c r="K400" s="391"/>
    </row>
    <row r="401" spans="1:11" x14ac:dyDescent="0.25">
      <c r="A401" s="43">
        <v>42139</v>
      </c>
      <c r="B401" s="44" t="s">
        <v>169</v>
      </c>
      <c r="C401" s="52">
        <v>359.48018999999999</v>
      </c>
      <c r="D401" s="20">
        <v>359480.19</v>
      </c>
      <c r="E401" s="48">
        <v>15835</v>
      </c>
      <c r="F401" s="48">
        <v>4216</v>
      </c>
      <c r="G401" s="45"/>
      <c r="I401" s="390"/>
      <c r="J401" s="387"/>
      <c r="K401" s="391"/>
    </row>
    <row r="402" spans="1:11" x14ac:dyDescent="0.25">
      <c r="A402" s="43">
        <v>42150</v>
      </c>
      <c r="B402" s="44" t="s">
        <v>218</v>
      </c>
      <c r="C402" s="52">
        <v>547.28240000000005</v>
      </c>
      <c r="D402" s="20">
        <v>547282.4</v>
      </c>
      <c r="E402" s="48">
        <v>15835</v>
      </c>
      <c r="F402" s="48">
        <v>4216</v>
      </c>
      <c r="G402" s="45"/>
      <c r="I402" s="390"/>
      <c r="J402" s="387"/>
      <c r="K402" s="391"/>
    </row>
    <row r="403" spans="1:11" x14ac:dyDescent="0.25">
      <c r="A403" s="43">
        <v>42150</v>
      </c>
      <c r="B403" s="44" t="s">
        <v>219</v>
      </c>
      <c r="C403" s="52">
        <v>362.03313000000003</v>
      </c>
      <c r="D403" s="20">
        <v>362033.13</v>
      </c>
      <c r="E403" s="48">
        <v>15835</v>
      </c>
      <c r="F403" s="48">
        <v>4216</v>
      </c>
      <c r="G403" s="45"/>
      <c r="I403" s="390"/>
      <c r="J403" s="387"/>
      <c r="K403" s="391"/>
    </row>
    <row r="404" spans="1:11" x14ac:dyDescent="0.25">
      <c r="A404" s="43">
        <v>42167</v>
      </c>
      <c r="B404" s="44" t="s">
        <v>232</v>
      </c>
      <c r="C404" s="52">
        <v>486.99520000000001</v>
      </c>
      <c r="D404" s="20">
        <v>486995.20000000001</v>
      </c>
      <c r="E404" s="48">
        <v>15835</v>
      </c>
      <c r="F404" s="48">
        <v>4216</v>
      </c>
      <c r="G404" s="45"/>
      <c r="I404" s="390"/>
      <c r="J404" s="387"/>
      <c r="K404" s="391"/>
    </row>
    <row r="405" spans="1:11" x14ac:dyDescent="0.25">
      <c r="A405" s="43">
        <v>42198</v>
      </c>
      <c r="B405" s="44" t="s">
        <v>280</v>
      </c>
      <c r="C405" s="52">
        <v>2040.8663899999999</v>
      </c>
      <c r="D405" s="20">
        <v>2040866.39</v>
      </c>
      <c r="E405" s="48">
        <v>15835</v>
      </c>
      <c r="F405" s="48">
        <v>4216</v>
      </c>
      <c r="G405" s="45"/>
      <c r="I405" s="390"/>
      <c r="J405" s="387"/>
      <c r="K405" s="391"/>
    </row>
    <row r="406" spans="1:11" x14ac:dyDescent="0.25">
      <c r="A406" s="43">
        <v>42194</v>
      </c>
      <c r="B406" s="44" t="s">
        <v>294</v>
      </c>
      <c r="C406" s="52">
        <v>341.80831999999998</v>
      </c>
      <c r="D406" s="20">
        <v>341808.32</v>
      </c>
      <c r="E406" s="48">
        <v>15835</v>
      </c>
      <c r="F406" s="48">
        <v>4216</v>
      </c>
      <c r="G406" s="45"/>
      <c r="I406" s="390"/>
      <c r="J406" s="387"/>
      <c r="K406" s="391"/>
    </row>
    <row r="407" spans="1:11" x14ac:dyDescent="0.25">
      <c r="A407" s="43">
        <v>42205</v>
      </c>
      <c r="B407" s="44" t="s">
        <v>303</v>
      </c>
      <c r="C407" s="52">
        <v>331.81452999999999</v>
      </c>
      <c r="D407" s="20">
        <v>331814.53000000003</v>
      </c>
      <c r="E407" s="48">
        <v>15835</v>
      </c>
      <c r="F407" s="48">
        <v>4216</v>
      </c>
      <c r="G407" s="45"/>
      <c r="I407" s="390"/>
      <c r="J407" s="387"/>
      <c r="K407" s="391"/>
    </row>
    <row r="408" spans="1:11" x14ac:dyDescent="0.25">
      <c r="A408" s="43">
        <v>42209</v>
      </c>
      <c r="B408" s="44" t="s">
        <v>329</v>
      </c>
      <c r="C408" s="52">
        <v>346.02866999999998</v>
      </c>
      <c r="D408" s="20">
        <v>346028.67</v>
      </c>
      <c r="E408" s="48">
        <v>15835</v>
      </c>
      <c r="F408" s="48">
        <v>4216</v>
      </c>
      <c r="G408" s="45"/>
      <c r="I408" s="390"/>
      <c r="J408" s="387"/>
      <c r="K408" s="391"/>
    </row>
    <row r="409" spans="1:11" x14ac:dyDescent="0.25">
      <c r="A409" s="43">
        <v>42220</v>
      </c>
      <c r="B409" s="44" t="s">
        <v>343</v>
      </c>
      <c r="C409" s="52">
        <v>1231.53595</v>
      </c>
      <c r="D409" s="20">
        <v>1231535.95</v>
      </c>
      <c r="E409" s="48">
        <v>15835</v>
      </c>
      <c r="F409" s="48">
        <v>4216</v>
      </c>
      <c r="G409" s="45"/>
      <c r="I409" s="390"/>
      <c r="J409" s="387"/>
      <c r="K409" s="391"/>
    </row>
    <row r="410" spans="1:11" x14ac:dyDescent="0.25">
      <c r="A410" s="43">
        <v>42222</v>
      </c>
      <c r="B410" s="44" t="s">
        <v>368</v>
      </c>
      <c r="C410" s="52">
        <v>3640.0515500000001</v>
      </c>
      <c r="D410" s="20">
        <v>3640051.55</v>
      </c>
      <c r="E410" s="48">
        <v>15835</v>
      </c>
      <c r="F410" s="48">
        <v>4216</v>
      </c>
      <c r="G410" s="45"/>
      <c r="I410" s="390"/>
      <c r="J410" s="387"/>
      <c r="K410" s="391"/>
    </row>
    <row r="411" spans="1:11" x14ac:dyDescent="0.25">
      <c r="A411" s="43">
        <v>42223</v>
      </c>
      <c r="B411" s="44" t="s">
        <v>218</v>
      </c>
      <c r="C411" s="52">
        <v>131.02522999999999</v>
      </c>
      <c r="D411" s="20">
        <v>131025.23</v>
      </c>
      <c r="E411" s="48">
        <v>15835</v>
      </c>
      <c r="F411" s="48">
        <v>4216</v>
      </c>
      <c r="G411" s="45"/>
      <c r="I411" s="390"/>
      <c r="J411" s="387"/>
      <c r="K411" s="391"/>
    </row>
    <row r="412" spans="1:11" x14ac:dyDescent="0.25">
      <c r="A412" s="43"/>
      <c r="B412" s="44"/>
      <c r="C412" s="52"/>
      <c r="D412" s="20"/>
      <c r="E412" s="48"/>
      <c r="F412" s="48">
        <v>4216</v>
      </c>
      <c r="G412" s="45"/>
      <c r="I412" s="390"/>
      <c r="J412" s="387"/>
      <c r="K412" s="391"/>
    </row>
    <row r="413" spans="1:11" x14ac:dyDescent="0.25">
      <c r="A413" s="43"/>
      <c r="B413" s="44"/>
      <c r="C413" s="52"/>
      <c r="D413" s="20"/>
      <c r="E413" s="48"/>
      <c r="F413" s="48">
        <v>4216</v>
      </c>
      <c r="G413" s="45"/>
      <c r="I413" s="390"/>
      <c r="J413" s="387"/>
      <c r="K413" s="391"/>
    </row>
    <row r="414" spans="1:11" x14ac:dyDescent="0.25">
      <c r="A414" s="43"/>
      <c r="B414" s="44"/>
      <c r="C414" s="52"/>
      <c r="D414" s="20"/>
      <c r="E414" s="48"/>
      <c r="F414" s="48">
        <v>4216</v>
      </c>
      <c r="G414" s="45"/>
      <c r="I414" s="390"/>
      <c r="J414" s="387"/>
      <c r="K414" s="391"/>
    </row>
    <row r="415" spans="1:11" x14ac:dyDescent="0.25">
      <c r="A415" s="43"/>
      <c r="B415" s="44"/>
      <c r="C415" s="52"/>
      <c r="D415" s="20"/>
      <c r="E415" s="48"/>
      <c r="F415" s="48">
        <v>4216</v>
      </c>
      <c r="G415" s="45"/>
      <c r="I415" s="390"/>
      <c r="J415" s="387"/>
      <c r="K415" s="391"/>
    </row>
    <row r="416" spans="1:11" x14ac:dyDescent="0.25">
      <c r="A416" s="43"/>
      <c r="B416" s="44"/>
      <c r="C416" s="52"/>
      <c r="D416" s="20"/>
      <c r="E416" s="48"/>
      <c r="F416" s="48">
        <v>4216</v>
      </c>
      <c r="G416" s="45"/>
      <c r="I416" s="390"/>
      <c r="J416" s="387"/>
      <c r="K416" s="391"/>
    </row>
    <row r="417" spans="1:11" x14ac:dyDescent="0.25">
      <c r="A417" s="43"/>
      <c r="B417" s="44"/>
      <c r="C417" s="52"/>
      <c r="D417" s="20"/>
      <c r="E417" s="48"/>
      <c r="F417" s="48">
        <v>4216</v>
      </c>
      <c r="G417" s="45"/>
      <c r="I417" s="390"/>
      <c r="J417" s="387"/>
      <c r="K417" s="391"/>
    </row>
    <row r="418" spans="1:11" x14ac:dyDescent="0.25">
      <c r="A418" s="43"/>
      <c r="B418" s="44"/>
      <c r="C418" s="52"/>
      <c r="D418" s="20"/>
      <c r="E418" s="48"/>
      <c r="F418" s="48">
        <v>4216</v>
      </c>
      <c r="G418" s="45"/>
      <c r="I418" s="390"/>
      <c r="J418" s="387"/>
      <c r="K418" s="391"/>
    </row>
    <row r="419" spans="1:11" x14ac:dyDescent="0.25">
      <c r="A419" s="43">
        <v>42251</v>
      </c>
      <c r="B419" s="44" t="s">
        <v>329</v>
      </c>
      <c r="C419" s="52">
        <v>5.1425000000000001</v>
      </c>
      <c r="D419" s="20">
        <v>5142.5</v>
      </c>
      <c r="E419" s="48">
        <v>15835</v>
      </c>
      <c r="F419" s="48">
        <v>4216</v>
      </c>
      <c r="G419" s="45"/>
      <c r="I419" s="390"/>
      <c r="J419" s="387"/>
      <c r="K419" s="391"/>
    </row>
    <row r="420" spans="1:11" x14ac:dyDescent="0.25">
      <c r="A420" s="43"/>
      <c r="B420" s="44" t="s">
        <v>380</v>
      </c>
      <c r="C420" s="174">
        <v>1790.63256</v>
      </c>
      <c r="D420" s="174">
        <v>1790632.56</v>
      </c>
      <c r="E420" s="48">
        <v>15835</v>
      </c>
      <c r="F420" s="48">
        <v>4216</v>
      </c>
      <c r="G420" s="384" t="s">
        <v>64</v>
      </c>
      <c r="I420" s="390">
        <v>1790632.56</v>
      </c>
      <c r="J420" s="387"/>
      <c r="K420" s="391"/>
    </row>
    <row r="421" spans="1:11" x14ac:dyDescent="0.25">
      <c r="A421" s="43"/>
      <c r="B421" s="44" t="s">
        <v>121</v>
      </c>
      <c r="C421" s="174">
        <v>16.574999999999999</v>
      </c>
      <c r="D421" s="174">
        <v>16575</v>
      </c>
      <c r="E421" s="48">
        <v>15835</v>
      </c>
      <c r="F421" s="48">
        <v>4216</v>
      </c>
      <c r="G421" s="45"/>
      <c r="I421" s="390"/>
      <c r="J421" s="402">
        <v>16575</v>
      </c>
      <c r="K421" s="391"/>
    </row>
    <row r="422" spans="1:11" x14ac:dyDescent="0.25">
      <c r="A422" s="43"/>
      <c r="B422" s="44" t="s">
        <v>301</v>
      </c>
      <c r="C422" s="174">
        <v>24.19134</v>
      </c>
      <c r="D422" s="174">
        <v>24191.34</v>
      </c>
      <c r="E422" s="48">
        <v>15835</v>
      </c>
      <c r="F422" s="48">
        <v>4216</v>
      </c>
      <c r="G422" s="45"/>
      <c r="I422" s="390"/>
      <c r="J422" s="402">
        <v>24191.34</v>
      </c>
      <c r="K422" s="391"/>
    </row>
    <row r="423" spans="1:11" x14ac:dyDescent="0.25">
      <c r="A423" s="43"/>
      <c r="B423" s="44" t="s">
        <v>418</v>
      </c>
      <c r="C423" s="174">
        <v>920.33410000000003</v>
      </c>
      <c r="D423" s="174">
        <v>920334.1</v>
      </c>
      <c r="E423" s="48">
        <v>15835</v>
      </c>
      <c r="F423" s="48">
        <v>4216</v>
      </c>
      <c r="G423" s="45"/>
      <c r="I423" s="390"/>
      <c r="J423" s="402">
        <v>920334.1</v>
      </c>
      <c r="K423" s="391"/>
    </row>
    <row r="424" spans="1:11" x14ac:dyDescent="0.25">
      <c r="A424" s="43"/>
      <c r="B424" s="44" t="s">
        <v>284</v>
      </c>
      <c r="C424" s="174">
        <v>4723.4869399999998</v>
      </c>
      <c r="D424" s="174">
        <f>3690394.27+1033092.67</f>
        <v>4723486.9400000004</v>
      </c>
      <c r="E424" s="48">
        <v>15835</v>
      </c>
      <c r="F424" s="48">
        <v>4216</v>
      </c>
      <c r="G424" s="384"/>
      <c r="H424" s="384"/>
      <c r="I424" s="390"/>
      <c r="J424" s="402">
        <f>3690394.27+1033092.67</f>
        <v>4723486.9400000004</v>
      </c>
      <c r="K424" s="391"/>
    </row>
    <row r="425" spans="1:11" x14ac:dyDescent="0.25">
      <c r="A425" s="43"/>
      <c r="B425" s="44" t="s">
        <v>499</v>
      </c>
      <c r="C425" s="174">
        <v>5.1425000000000001</v>
      </c>
      <c r="D425" s="174">
        <v>5142.5</v>
      </c>
      <c r="E425" s="48">
        <v>15835</v>
      </c>
      <c r="F425" s="48">
        <v>4216</v>
      </c>
      <c r="G425" s="384"/>
      <c r="H425" s="384"/>
      <c r="I425" s="390"/>
      <c r="J425" s="402">
        <v>5142.5</v>
      </c>
      <c r="K425" s="391"/>
    </row>
    <row r="426" spans="1:11" x14ac:dyDescent="0.25">
      <c r="A426" s="43"/>
      <c r="B426" s="44" t="s">
        <v>360</v>
      </c>
      <c r="C426" s="174">
        <v>159.6232</v>
      </c>
      <c r="D426" s="174">
        <v>159623.20000000001</v>
      </c>
      <c r="E426" s="48">
        <v>15835</v>
      </c>
      <c r="F426" s="48">
        <v>4216</v>
      </c>
      <c r="G426" s="45"/>
      <c r="H426" s="384"/>
      <c r="I426" s="390"/>
      <c r="J426" s="45">
        <v>159623.20000000001</v>
      </c>
      <c r="K426" s="391"/>
    </row>
    <row r="427" spans="1:11" x14ac:dyDescent="0.25">
      <c r="A427" s="43"/>
      <c r="B427" s="44" t="s">
        <v>228</v>
      </c>
      <c r="C427" s="174">
        <v>36.125</v>
      </c>
      <c r="D427" s="174">
        <v>36125</v>
      </c>
      <c r="E427" s="48">
        <v>15835</v>
      </c>
      <c r="F427" s="48">
        <v>4216</v>
      </c>
      <c r="G427" s="45"/>
      <c r="H427" s="384"/>
      <c r="I427" s="390"/>
      <c r="J427" s="402">
        <v>36125</v>
      </c>
      <c r="K427" s="391"/>
    </row>
    <row r="428" spans="1:11" x14ac:dyDescent="0.25">
      <c r="A428" s="43"/>
      <c r="B428" s="44" t="s">
        <v>230</v>
      </c>
      <c r="C428" s="174">
        <v>59.499980000000001</v>
      </c>
      <c r="D428" s="174">
        <v>59499.98</v>
      </c>
      <c r="E428" s="48">
        <v>15835</v>
      </c>
      <c r="F428" s="48">
        <v>4216</v>
      </c>
      <c r="G428" s="45"/>
      <c r="H428" s="384"/>
      <c r="I428" s="390"/>
      <c r="J428" s="402">
        <v>59499.98</v>
      </c>
      <c r="K428" s="391"/>
    </row>
    <row r="429" spans="1:11" x14ac:dyDescent="0.25">
      <c r="A429" s="43"/>
      <c r="B429" s="44" t="s">
        <v>396</v>
      </c>
      <c r="C429" s="174">
        <v>1321.5131100000001</v>
      </c>
      <c r="D429" s="174">
        <v>1321513.1100000001</v>
      </c>
      <c r="E429" s="48">
        <v>15835</v>
      </c>
      <c r="F429" s="48">
        <v>4216</v>
      </c>
      <c r="G429" s="384"/>
      <c r="H429" s="384"/>
      <c r="I429" s="390"/>
      <c r="J429" s="387">
        <v>1321513.1100000001</v>
      </c>
      <c r="K429" s="391"/>
    </row>
    <row r="430" spans="1:11" x14ac:dyDescent="0.25">
      <c r="A430" s="43"/>
      <c r="B430" s="276"/>
      <c r="C430" s="52"/>
      <c r="D430" s="20"/>
      <c r="E430" s="48"/>
      <c r="F430" s="48">
        <v>4216</v>
      </c>
      <c r="G430" s="45"/>
      <c r="H430" s="384"/>
      <c r="I430" s="390"/>
      <c r="J430" s="387"/>
      <c r="K430" s="391"/>
    </row>
    <row r="431" spans="1:11" x14ac:dyDescent="0.25">
      <c r="A431" s="43"/>
      <c r="B431" s="276"/>
      <c r="C431" s="52"/>
      <c r="D431" s="20"/>
      <c r="E431" s="48"/>
      <c r="F431" s="48">
        <v>4216</v>
      </c>
      <c r="G431" s="45"/>
      <c r="I431" s="390"/>
      <c r="J431" s="387"/>
      <c r="K431" s="391"/>
    </row>
    <row r="432" spans="1:11" x14ac:dyDescent="0.25">
      <c r="A432" s="43"/>
      <c r="B432" s="276"/>
      <c r="C432" s="52"/>
      <c r="D432" s="20"/>
      <c r="E432" s="48"/>
      <c r="F432" s="48">
        <v>4216</v>
      </c>
      <c r="G432" s="45"/>
      <c r="I432" s="390"/>
      <c r="J432" s="387"/>
      <c r="K432" s="391"/>
    </row>
    <row r="433" spans="1:11" x14ac:dyDescent="0.25">
      <c r="A433" s="43"/>
      <c r="B433" s="276"/>
      <c r="C433" s="52"/>
      <c r="D433" s="20"/>
      <c r="E433" s="48"/>
      <c r="F433" s="48">
        <v>4216</v>
      </c>
      <c r="G433" s="45"/>
      <c r="I433" s="390"/>
      <c r="J433" s="387"/>
      <c r="K433" s="391"/>
    </row>
    <row r="434" spans="1:11" x14ac:dyDescent="0.25">
      <c r="A434" s="43"/>
      <c r="B434" s="276"/>
      <c r="C434" s="52"/>
      <c r="D434" s="20"/>
      <c r="E434" s="48"/>
      <c r="F434" s="48">
        <v>4216</v>
      </c>
      <c r="G434" s="45"/>
      <c r="I434" s="390"/>
      <c r="J434" s="387"/>
      <c r="K434" s="391"/>
    </row>
    <row r="435" spans="1:11" x14ac:dyDescent="0.25">
      <c r="A435" s="43"/>
      <c r="B435" s="276"/>
      <c r="C435" s="20"/>
      <c r="D435" s="20"/>
      <c r="E435" s="48"/>
      <c r="F435" s="48">
        <v>4216</v>
      </c>
      <c r="G435" s="45"/>
      <c r="I435" s="390"/>
      <c r="J435" s="387"/>
      <c r="K435" s="391"/>
    </row>
    <row r="436" spans="1:11" x14ac:dyDescent="0.25">
      <c r="A436" s="43"/>
      <c r="B436" s="31" t="s">
        <v>36</v>
      </c>
      <c r="C436" s="39">
        <f>+C437+C438</f>
        <v>0</v>
      </c>
      <c r="D436" s="39">
        <f>+D437+D438</f>
        <v>0</v>
      </c>
      <c r="E436" s="48"/>
      <c r="F436" s="48"/>
      <c r="G436" s="45"/>
      <c r="I436" s="390"/>
      <c r="J436" s="387"/>
      <c r="K436" s="391"/>
    </row>
    <row r="437" spans="1:11" x14ac:dyDescent="0.25">
      <c r="A437" s="43"/>
      <c r="B437" s="276"/>
      <c r="C437" s="20"/>
      <c r="D437" s="20"/>
      <c r="E437" s="48"/>
      <c r="F437" s="48">
        <v>4216</v>
      </c>
      <c r="G437" s="45"/>
      <c r="I437" s="390"/>
      <c r="J437" s="387"/>
      <c r="K437" s="391"/>
    </row>
    <row r="438" spans="1:11" x14ac:dyDescent="0.25">
      <c r="A438" s="43"/>
      <c r="B438" s="276"/>
      <c r="C438" s="20"/>
      <c r="D438" s="20"/>
      <c r="E438" s="48"/>
      <c r="F438" s="48">
        <v>4216</v>
      </c>
      <c r="G438" s="45"/>
      <c r="I438" s="390"/>
      <c r="J438" s="387"/>
      <c r="K438" s="391"/>
    </row>
    <row r="439" spans="1:11" x14ac:dyDescent="0.25">
      <c r="A439" s="43"/>
      <c r="B439" s="285" t="s">
        <v>91</v>
      </c>
      <c r="C439" s="39">
        <f>+SUM(C440:C444)</f>
        <v>35636.295599999998</v>
      </c>
      <c r="D439" s="39">
        <f>+SUM(D440:D444)</f>
        <v>35636295.599999994</v>
      </c>
      <c r="E439" s="48"/>
      <c r="F439" s="48"/>
      <c r="G439" s="45"/>
      <c r="I439" s="390"/>
      <c r="J439" s="387"/>
      <c r="K439" s="391"/>
    </row>
    <row r="440" spans="1:11" x14ac:dyDescent="0.25">
      <c r="A440" s="43">
        <v>42034</v>
      </c>
      <c r="B440" s="276" t="s">
        <v>103</v>
      </c>
      <c r="C440" s="20">
        <v>4395.5924400000004</v>
      </c>
      <c r="D440" s="20">
        <v>4395592.4400000004</v>
      </c>
      <c r="E440" s="48">
        <v>17871</v>
      </c>
      <c r="F440" s="48">
        <v>4216</v>
      </c>
      <c r="G440" s="45"/>
      <c r="I440" s="390"/>
      <c r="J440" s="387"/>
      <c r="K440" s="391"/>
    </row>
    <row r="441" spans="1:11" x14ac:dyDescent="0.25">
      <c r="A441" s="43">
        <v>42034</v>
      </c>
      <c r="B441" s="276" t="s">
        <v>103</v>
      </c>
      <c r="C441" s="20">
        <v>775.69277999999997</v>
      </c>
      <c r="D441" s="20">
        <v>775692.78</v>
      </c>
      <c r="E441" s="48">
        <v>17870</v>
      </c>
      <c r="F441" s="48">
        <v>4216</v>
      </c>
      <c r="G441" s="45"/>
      <c r="I441" s="390"/>
      <c r="J441" s="387"/>
      <c r="K441" s="391"/>
    </row>
    <row r="442" spans="1:11" x14ac:dyDescent="0.25">
      <c r="A442" s="43">
        <v>42151</v>
      </c>
      <c r="B442" s="276" t="s">
        <v>220</v>
      </c>
      <c r="C442" s="20">
        <v>22777.845359999999</v>
      </c>
      <c r="D442" s="20">
        <v>22777845.359999999</v>
      </c>
      <c r="E442" s="48">
        <v>17871</v>
      </c>
      <c r="F442" s="48">
        <v>4216</v>
      </c>
      <c r="G442" s="45"/>
      <c r="I442" s="390"/>
      <c r="J442" s="387"/>
      <c r="K442" s="391"/>
    </row>
    <row r="443" spans="1:11" x14ac:dyDescent="0.25">
      <c r="A443" s="43">
        <v>42250</v>
      </c>
      <c r="B443" s="276" t="s">
        <v>419</v>
      </c>
      <c r="C443" s="20">
        <v>1153.07475</v>
      </c>
      <c r="D443" s="20">
        <v>1153074.75</v>
      </c>
      <c r="E443" s="48">
        <v>17870</v>
      </c>
      <c r="F443" s="48">
        <v>4216</v>
      </c>
      <c r="G443" s="45"/>
      <c r="I443" s="390"/>
      <c r="J443" s="387"/>
      <c r="K443" s="391"/>
    </row>
    <row r="444" spans="1:11" x14ac:dyDescent="0.25">
      <c r="A444" s="43">
        <v>42250</v>
      </c>
      <c r="B444" s="276" t="s">
        <v>419</v>
      </c>
      <c r="C444" s="20">
        <v>6534.0902699999997</v>
      </c>
      <c r="D444" s="20">
        <v>6534090.2699999996</v>
      </c>
      <c r="E444" s="48">
        <v>17871</v>
      </c>
      <c r="F444" s="48">
        <v>4216</v>
      </c>
      <c r="G444" s="45"/>
      <c r="I444" s="390"/>
      <c r="J444" s="387"/>
      <c r="K444" s="391"/>
    </row>
    <row r="445" spans="1:11" x14ac:dyDescent="0.25">
      <c r="A445" s="43"/>
      <c r="B445" s="276"/>
      <c r="C445" s="20"/>
      <c r="D445" s="20"/>
      <c r="E445" s="48"/>
      <c r="F445" s="48"/>
      <c r="G445" s="45"/>
      <c r="I445" s="390"/>
      <c r="J445" s="387"/>
      <c r="K445" s="391"/>
    </row>
    <row r="446" spans="1:11" x14ac:dyDescent="0.25">
      <c r="A446" s="43"/>
      <c r="B446" s="31" t="s">
        <v>149</v>
      </c>
      <c r="C446" s="39">
        <f>+C447</f>
        <v>450</v>
      </c>
      <c r="D446" s="39">
        <f>+D447</f>
        <v>450000</v>
      </c>
      <c r="E446" s="48"/>
      <c r="F446" s="48"/>
      <c r="G446" s="45"/>
      <c r="I446" s="390"/>
      <c r="J446" s="387"/>
      <c r="K446" s="391"/>
    </row>
    <row r="447" spans="1:11" x14ac:dyDescent="0.25">
      <c r="A447" s="43">
        <v>42121</v>
      </c>
      <c r="B447" s="276" t="s">
        <v>155</v>
      </c>
      <c r="C447" s="20">
        <v>450</v>
      </c>
      <c r="D447" s="20">
        <v>450000</v>
      </c>
      <c r="E447" s="48">
        <v>35674</v>
      </c>
      <c r="F447" s="48">
        <v>4216</v>
      </c>
      <c r="G447" s="45"/>
      <c r="I447" s="390"/>
      <c r="J447" s="387"/>
      <c r="K447" s="391"/>
    </row>
    <row r="448" spans="1:11" x14ac:dyDescent="0.25">
      <c r="A448" s="43"/>
      <c r="B448" s="273"/>
      <c r="C448" s="39"/>
      <c r="D448" s="39"/>
      <c r="E448" s="48"/>
      <c r="F448" s="48"/>
      <c r="G448" s="45"/>
      <c r="I448" s="390"/>
      <c r="J448" s="387"/>
      <c r="K448" s="391"/>
    </row>
    <row r="449" spans="1:11" x14ac:dyDescent="0.25">
      <c r="A449" s="43"/>
      <c r="B449" s="273" t="s">
        <v>48</v>
      </c>
      <c r="C449" s="39">
        <f>SUM(C450:C463)</f>
        <v>2720</v>
      </c>
      <c r="D449" s="39">
        <f>SUM(D450:D463)</f>
        <v>2720000</v>
      </c>
      <c r="E449" s="48"/>
      <c r="F449" s="48"/>
      <c r="G449" s="45"/>
      <c r="I449" s="390"/>
      <c r="J449" s="387"/>
      <c r="K449" s="391"/>
    </row>
    <row r="450" spans="1:11" hidden="1" x14ac:dyDescent="0.25">
      <c r="A450" s="43"/>
      <c r="B450" s="44"/>
      <c r="C450" s="52"/>
      <c r="D450" s="350"/>
      <c r="E450" s="22"/>
      <c r="F450" s="48">
        <v>4222</v>
      </c>
      <c r="G450" s="45"/>
      <c r="H450" s="269"/>
      <c r="I450" s="390"/>
      <c r="J450" s="387"/>
      <c r="K450" s="391"/>
    </row>
    <row r="451" spans="1:11" hidden="1" x14ac:dyDescent="0.25">
      <c r="A451" s="43"/>
      <c r="B451" s="44"/>
      <c r="C451" s="52"/>
      <c r="D451" s="350"/>
      <c r="E451" s="22"/>
      <c r="F451" s="48">
        <v>4222</v>
      </c>
      <c r="G451" s="45"/>
      <c r="H451" s="269"/>
      <c r="I451" s="390"/>
      <c r="J451" s="387"/>
      <c r="K451" s="391"/>
    </row>
    <row r="452" spans="1:11" hidden="1" x14ac:dyDescent="0.25">
      <c r="A452" s="43"/>
      <c r="B452" s="44"/>
      <c r="C452" s="20"/>
      <c r="D452" s="350"/>
      <c r="E452" s="48"/>
      <c r="F452" s="48">
        <v>4222</v>
      </c>
      <c r="G452" s="45"/>
      <c r="I452" s="390"/>
      <c r="J452" s="387"/>
      <c r="K452" s="391"/>
    </row>
    <row r="453" spans="1:11" hidden="1" x14ac:dyDescent="0.25">
      <c r="A453" s="43"/>
      <c r="B453" s="44"/>
      <c r="C453" s="20"/>
      <c r="D453" s="350"/>
      <c r="E453" s="48"/>
      <c r="F453" s="48">
        <v>4222</v>
      </c>
      <c r="G453" s="45"/>
      <c r="I453" s="390"/>
      <c r="J453" s="387"/>
      <c r="K453" s="391"/>
    </row>
    <row r="454" spans="1:11" hidden="1" x14ac:dyDescent="0.25">
      <c r="A454" s="43"/>
      <c r="B454" s="44"/>
      <c r="C454" s="20"/>
      <c r="D454" s="350"/>
      <c r="E454" s="48"/>
      <c r="F454" s="48">
        <v>4222</v>
      </c>
      <c r="G454" s="45"/>
      <c r="I454" s="390"/>
      <c r="J454" s="387"/>
      <c r="K454" s="391"/>
    </row>
    <row r="455" spans="1:11" hidden="1" x14ac:dyDescent="0.25">
      <c r="A455" s="43"/>
      <c r="B455" s="44"/>
      <c r="C455" s="20"/>
      <c r="D455" s="350"/>
      <c r="E455" s="48"/>
      <c r="F455" s="48">
        <v>4222</v>
      </c>
      <c r="G455" s="45"/>
      <c r="I455" s="390"/>
      <c r="J455" s="387"/>
      <c r="K455" s="391"/>
    </row>
    <row r="456" spans="1:11" x14ac:dyDescent="0.25">
      <c r="A456" s="43"/>
      <c r="B456" s="44" t="s">
        <v>308</v>
      </c>
      <c r="C456" s="174">
        <v>200</v>
      </c>
      <c r="D456" s="423">
        <v>200000</v>
      </c>
      <c r="E456" s="48">
        <v>551</v>
      </c>
      <c r="F456" s="48">
        <v>4222</v>
      </c>
      <c r="G456" s="45"/>
      <c r="I456" s="390"/>
      <c r="J456" s="387">
        <v>200000</v>
      </c>
      <c r="K456" s="395"/>
    </row>
    <row r="457" spans="1:11" x14ac:dyDescent="0.25">
      <c r="A457" s="43"/>
      <c r="B457" s="44" t="s">
        <v>305</v>
      </c>
      <c r="C457" s="174">
        <v>500</v>
      </c>
      <c r="D457" s="423">
        <v>500000</v>
      </c>
      <c r="E457" s="48">
        <v>551</v>
      </c>
      <c r="F457" s="48">
        <v>4222</v>
      </c>
      <c r="G457" s="45"/>
      <c r="I457" s="390"/>
      <c r="J457" s="387">
        <v>500000</v>
      </c>
      <c r="K457" s="395"/>
    </row>
    <row r="458" spans="1:11" x14ac:dyDescent="0.25">
      <c r="A458" s="43"/>
      <c r="B458" s="44" t="s">
        <v>312</v>
      </c>
      <c r="C458" s="174">
        <v>90</v>
      </c>
      <c r="D458" s="423">
        <v>90000</v>
      </c>
      <c r="E458" s="48">
        <v>551</v>
      </c>
      <c r="F458" s="48">
        <v>4222</v>
      </c>
      <c r="G458" s="45"/>
      <c r="I458" s="390"/>
      <c r="J458" s="387">
        <v>90000</v>
      </c>
      <c r="K458" s="395"/>
    </row>
    <row r="459" spans="1:11" x14ac:dyDescent="0.25">
      <c r="A459" s="43"/>
      <c r="B459" s="44" t="s">
        <v>345</v>
      </c>
      <c r="C459" s="174">
        <v>500</v>
      </c>
      <c r="D459" s="423">
        <v>500000</v>
      </c>
      <c r="E459" s="48">
        <v>551</v>
      </c>
      <c r="F459" s="48">
        <v>4222</v>
      </c>
      <c r="G459" s="45"/>
      <c r="I459" s="390"/>
      <c r="J459" s="387">
        <v>500000</v>
      </c>
      <c r="K459" s="395"/>
    </row>
    <row r="460" spans="1:11" x14ac:dyDescent="0.25">
      <c r="A460" s="43"/>
      <c r="B460" s="44" t="s">
        <v>306</v>
      </c>
      <c r="C460" s="174">
        <v>300</v>
      </c>
      <c r="D460" s="423">
        <v>300000</v>
      </c>
      <c r="E460" s="48">
        <v>551</v>
      </c>
      <c r="F460" s="48">
        <v>4222</v>
      </c>
      <c r="G460" s="45"/>
      <c r="I460" s="390"/>
      <c r="J460" s="387">
        <v>300000</v>
      </c>
      <c r="K460" s="395"/>
    </row>
    <row r="461" spans="1:11" x14ac:dyDescent="0.25">
      <c r="A461" s="43"/>
      <c r="B461" s="44" t="s">
        <v>313</v>
      </c>
      <c r="C461" s="174">
        <v>700</v>
      </c>
      <c r="D461" s="423">
        <v>700000</v>
      </c>
      <c r="E461" s="48">
        <v>551</v>
      </c>
      <c r="F461" s="48">
        <v>4222</v>
      </c>
      <c r="G461" s="45"/>
      <c r="I461" s="390"/>
      <c r="J461" s="387">
        <v>700000</v>
      </c>
      <c r="K461" s="395"/>
    </row>
    <row r="462" spans="1:11" x14ac:dyDescent="0.25">
      <c r="A462" s="43"/>
      <c r="B462" s="44" t="s">
        <v>302</v>
      </c>
      <c r="C462" s="179">
        <v>30</v>
      </c>
      <c r="D462" s="423">
        <v>30000</v>
      </c>
      <c r="E462" s="48">
        <v>433</v>
      </c>
      <c r="F462" s="48">
        <v>4222</v>
      </c>
      <c r="G462" s="45"/>
      <c r="I462" s="390"/>
      <c r="J462" s="387">
        <v>30000</v>
      </c>
      <c r="K462" s="391"/>
    </row>
    <row r="463" spans="1:11" x14ac:dyDescent="0.25">
      <c r="A463" s="43"/>
      <c r="B463" s="44" t="s">
        <v>307</v>
      </c>
      <c r="C463" s="174">
        <v>400</v>
      </c>
      <c r="D463" s="423">
        <v>400000</v>
      </c>
      <c r="E463" s="48">
        <v>551</v>
      </c>
      <c r="F463" s="48">
        <v>4222</v>
      </c>
      <c r="G463" s="45"/>
      <c r="I463" s="390"/>
      <c r="J463" s="387">
        <v>400000</v>
      </c>
      <c r="K463" s="395"/>
    </row>
    <row r="464" spans="1:11" x14ac:dyDescent="0.25">
      <c r="A464" s="43"/>
      <c r="B464" s="304"/>
      <c r="C464" s="52"/>
      <c r="D464" s="350"/>
      <c r="E464" s="22"/>
      <c r="F464" s="48"/>
      <c r="G464" s="45"/>
      <c r="I464" s="390"/>
      <c r="J464" s="387"/>
      <c r="K464" s="391"/>
    </row>
    <row r="465" spans="1:11" x14ac:dyDescent="0.25">
      <c r="A465" s="43"/>
      <c r="B465" s="31" t="s">
        <v>50</v>
      </c>
      <c r="C465" s="30">
        <f>+SUM(C466:C476)</f>
        <v>97280.79221</v>
      </c>
      <c r="D465" s="30">
        <f>+SUM(D466:D476)</f>
        <v>101266290.89999999</v>
      </c>
      <c r="E465" s="48"/>
      <c r="F465" s="48"/>
      <c r="G465" s="45"/>
      <c r="I465" s="390"/>
      <c r="J465" s="387"/>
      <c r="K465" s="391"/>
    </row>
    <row r="466" spans="1:11" x14ac:dyDescent="0.25">
      <c r="A466" s="43">
        <v>42073</v>
      </c>
      <c r="B466" s="276" t="s">
        <v>112</v>
      </c>
      <c r="C466" s="20">
        <v>24568.326000000001</v>
      </c>
      <c r="D466" s="20">
        <v>24568326</v>
      </c>
      <c r="E466" s="48">
        <v>86505</v>
      </c>
      <c r="F466" s="48">
        <v>4223</v>
      </c>
      <c r="G466" s="45"/>
      <c r="I466" s="390"/>
      <c r="J466" s="387"/>
      <c r="K466" s="391"/>
    </row>
    <row r="467" spans="1:11" x14ac:dyDescent="0.25">
      <c r="A467" s="43">
        <v>42073</v>
      </c>
      <c r="B467" s="276" t="s">
        <v>112</v>
      </c>
      <c r="C467" s="20">
        <v>2167.7934799999998</v>
      </c>
      <c r="D467" s="20">
        <v>2167793.48</v>
      </c>
      <c r="E467" s="48">
        <v>86501</v>
      </c>
      <c r="F467" s="48">
        <v>4223</v>
      </c>
      <c r="G467" s="45"/>
      <c r="I467" s="390"/>
      <c r="J467" s="387"/>
      <c r="K467" s="391"/>
    </row>
    <row r="468" spans="1:11" x14ac:dyDescent="0.25">
      <c r="A468" s="43">
        <v>42087</v>
      </c>
      <c r="B468" s="44" t="s">
        <v>123</v>
      </c>
      <c r="C468" s="46">
        <v>17507.565600000002</v>
      </c>
      <c r="D468" s="46">
        <v>17507565.600000001</v>
      </c>
      <c r="E468" s="22">
        <v>86505</v>
      </c>
      <c r="F468" s="48">
        <v>4223</v>
      </c>
      <c r="G468" s="45"/>
      <c r="I468" s="390"/>
      <c r="J468" s="387"/>
      <c r="K468" s="391"/>
    </row>
    <row r="469" spans="1:11" x14ac:dyDescent="0.25">
      <c r="A469" s="43">
        <v>42101</v>
      </c>
      <c r="B469" s="44" t="s">
        <v>138</v>
      </c>
      <c r="C469" s="46">
        <v>3893.92481</v>
      </c>
      <c r="D469" s="46">
        <v>3893924.81</v>
      </c>
      <c r="E469" s="22">
        <v>86505</v>
      </c>
      <c r="F469" s="48">
        <v>4223</v>
      </c>
      <c r="G469" s="45"/>
      <c r="I469" s="390"/>
      <c r="J469" s="387"/>
      <c r="K469" s="391"/>
    </row>
    <row r="470" spans="1:11" x14ac:dyDescent="0.25">
      <c r="A470" s="43">
        <v>42122</v>
      </c>
      <c r="B470" s="44" t="s">
        <v>152</v>
      </c>
      <c r="C470" s="46">
        <v>4191.1944100000001</v>
      </c>
      <c r="D470" s="46">
        <v>4191194.41</v>
      </c>
      <c r="E470" s="22">
        <v>86505</v>
      </c>
      <c r="F470" s="48">
        <v>4223</v>
      </c>
      <c r="G470" s="45"/>
      <c r="I470" s="390"/>
      <c r="J470" s="387"/>
      <c r="K470" s="391"/>
    </row>
    <row r="471" spans="1:11" x14ac:dyDescent="0.25">
      <c r="A471" s="43">
        <v>42143</v>
      </c>
      <c r="B471" s="44" t="s">
        <v>171</v>
      </c>
      <c r="C471" s="46">
        <v>18985.09273</v>
      </c>
      <c r="D471" s="20">
        <v>18985092.73</v>
      </c>
      <c r="E471" s="22">
        <v>86505</v>
      </c>
      <c r="F471" s="48">
        <v>4223</v>
      </c>
      <c r="G471" s="45"/>
      <c r="I471" s="390"/>
      <c r="J471" s="387"/>
      <c r="K471" s="391"/>
    </row>
    <row r="472" spans="1:11" x14ac:dyDescent="0.25">
      <c r="A472" s="43">
        <v>42178</v>
      </c>
      <c r="B472" s="44" t="s">
        <v>246</v>
      </c>
      <c r="C472" s="46">
        <v>10777.64892</v>
      </c>
      <c r="D472" s="20">
        <v>10777648.92</v>
      </c>
      <c r="E472" s="22">
        <v>86505</v>
      </c>
      <c r="F472" s="48">
        <v>4223</v>
      </c>
      <c r="G472" s="45"/>
      <c r="I472" s="390"/>
      <c r="J472" s="387"/>
      <c r="K472" s="391"/>
    </row>
    <row r="473" spans="1:11" x14ac:dyDescent="0.25">
      <c r="A473" s="43">
        <v>42242</v>
      </c>
      <c r="B473" s="44" t="s">
        <v>393</v>
      </c>
      <c r="C473" s="46">
        <v>9577.3184600000004</v>
      </c>
      <c r="D473" s="20">
        <v>9577318.4600000009</v>
      </c>
      <c r="E473" s="22">
        <v>86505</v>
      </c>
      <c r="F473" s="48">
        <v>4223</v>
      </c>
      <c r="G473" s="45"/>
      <c r="I473" s="390"/>
      <c r="J473" s="387"/>
      <c r="K473" s="391"/>
    </row>
    <row r="474" spans="1:11" x14ac:dyDescent="0.25">
      <c r="A474" s="43"/>
      <c r="B474" s="44" t="s">
        <v>437</v>
      </c>
      <c r="C474" s="179">
        <v>0</v>
      </c>
      <c r="D474" s="174">
        <v>3985498.69</v>
      </c>
      <c r="E474" s="22">
        <v>86505</v>
      </c>
      <c r="F474" s="48">
        <v>4223</v>
      </c>
      <c r="G474" s="384" t="s">
        <v>351</v>
      </c>
      <c r="I474" s="390"/>
      <c r="J474" s="387"/>
      <c r="K474" s="391"/>
    </row>
    <row r="475" spans="1:11" x14ac:dyDescent="0.25">
      <c r="A475" s="43"/>
      <c r="B475" s="44" t="s">
        <v>262</v>
      </c>
      <c r="C475" s="179">
        <v>5611.9278000000004</v>
      </c>
      <c r="D475" s="174">
        <v>5611927.7999999998</v>
      </c>
      <c r="E475" s="22">
        <v>86505</v>
      </c>
      <c r="F475" s="48">
        <v>4223</v>
      </c>
      <c r="G475" s="384" t="s">
        <v>351</v>
      </c>
      <c r="I475" s="404">
        <v>5611927.7999999998</v>
      </c>
      <c r="J475" s="387"/>
      <c r="K475" s="391"/>
    </row>
    <row r="476" spans="1:11" x14ac:dyDescent="0.25">
      <c r="A476" s="43"/>
      <c r="B476" s="44"/>
      <c r="C476" s="46"/>
      <c r="D476" s="20"/>
      <c r="E476" s="22"/>
      <c r="F476" s="48"/>
      <c r="G476" s="45"/>
      <c r="I476" s="390"/>
      <c r="J476" s="387"/>
      <c r="K476" s="391"/>
    </row>
    <row r="477" spans="1:11" x14ac:dyDescent="0.25">
      <c r="A477" s="43"/>
      <c r="B477" s="293" t="s">
        <v>52</v>
      </c>
      <c r="C477" s="30">
        <f>+C478</f>
        <v>877</v>
      </c>
      <c r="D477" s="39">
        <f>+D478</f>
        <v>876199.86</v>
      </c>
      <c r="E477" s="22"/>
      <c r="F477" s="48"/>
      <c r="G477" s="45"/>
      <c r="I477" s="390"/>
      <c r="J477" s="387"/>
      <c r="K477" s="391"/>
    </row>
    <row r="478" spans="1:11" x14ac:dyDescent="0.25">
      <c r="A478" s="43">
        <v>42174</v>
      </c>
      <c r="B478" s="44" t="s">
        <v>244</v>
      </c>
      <c r="C478" s="46">
        <v>877</v>
      </c>
      <c r="D478" s="20">
        <v>876199.86</v>
      </c>
      <c r="E478" s="22"/>
      <c r="F478" s="48">
        <v>4232</v>
      </c>
      <c r="G478" s="45"/>
      <c r="I478" s="390"/>
      <c r="J478" s="387"/>
      <c r="K478" s="391"/>
    </row>
    <row r="479" spans="1:11" x14ac:dyDescent="0.25">
      <c r="A479" s="43"/>
      <c r="B479" s="44"/>
      <c r="C479" s="46"/>
      <c r="D479" s="20"/>
      <c r="E479" s="22"/>
      <c r="F479" s="48"/>
      <c r="I479" s="390"/>
      <c r="J479" s="387"/>
      <c r="K479" s="391"/>
    </row>
    <row r="480" spans="1:11" x14ac:dyDescent="0.25">
      <c r="A480" s="43"/>
      <c r="B480" s="276"/>
      <c r="C480" s="46"/>
      <c r="D480" s="424"/>
      <c r="E480" s="48"/>
      <c r="F480" s="48"/>
      <c r="I480" s="390"/>
      <c r="J480" s="387"/>
      <c r="K480" s="391"/>
    </row>
    <row r="481" spans="1:13" x14ac:dyDescent="0.25">
      <c r="A481" s="43"/>
      <c r="B481" s="294" t="s">
        <v>55</v>
      </c>
      <c r="C481" s="26">
        <f>+C477+C465+C449+C446+C439+C436+C399+C396+C359</f>
        <v>158437.64354999998</v>
      </c>
      <c r="D481" s="26">
        <f>+D477+D465+D449+D446+D439+D436+D399+D396+D359</f>
        <v>162422342.09999999</v>
      </c>
      <c r="E481" s="71"/>
      <c r="F481" s="28"/>
      <c r="I481" s="390"/>
      <c r="J481" s="387"/>
      <c r="K481" s="391"/>
    </row>
    <row r="482" spans="1:13" ht="16.5" thickBot="1" x14ac:dyDescent="0.3">
      <c r="A482" s="296"/>
      <c r="B482" s="297"/>
      <c r="C482" s="74"/>
      <c r="D482" s="74"/>
      <c r="E482" s="76"/>
      <c r="F482" s="76"/>
      <c r="I482" s="390"/>
      <c r="J482" s="387"/>
      <c r="K482" s="391"/>
    </row>
    <row r="483" spans="1:13" ht="16.5" thickBot="1" x14ac:dyDescent="0.3">
      <c r="I483" s="405"/>
      <c r="J483" s="406"/>
      <c r="K483" s="407"/>
    </row>
    <row r="484" spans="1:13" ht="16.5" thickBot="1" x14ac:dyDescent="0.3">
      <c r="A484" s="307"/>
      <c r="B484" s="91"/>
      <c r="C484" s="90"/>
      <c r="D484" s="90"/>
      <c r="E484" s="92"/>
      <c r="F484" s="92"/>
      <c r="I484" s="408">
        <f>SUM(I8:I482)</f>
        <v>17424499.68</v>
      </c>
      <c r="J484" s="409">
        <f>SUM(J8:J482)</f>
        <v>75754849.600000009</v>
      </c>
      <c r="K484" s="401">
        <f>SUM(K8:K482)</f>
        <v>148904</v>
      </c>
      <c r="L484" s="45">
        <f>SUM(L6:L482)</f>
        <v>95640251.670000002</v>
      </c>
    </row>
    <row r="485" spans="1:13" x14ac:dyDescent="0.25">
      <c r="A485" s="309"/>
      <c r="B485" s="310"/>
      <c r="C485" s="94"/>
      <c r="D485" s="4"/>
      <c r="E485" s="95"/>
      <c r="F485" s="165"/>
      <c r="G485" s="306"/>
      <c r="H485" s="269"/>
      <c r="J485" s="45">
        <f>+D491-J484-I484</f>
        <v>348988939.71999997</v>
      </c>
    </row>
    <row r="486" spans="1:13" ht="16.5" thickBot="1" x14ac:dyDescent="0.3">
      <c r="A486" s="309"/>
      <c r="B486" s="10" t="s">
        <v>56</v>
      </c>
      <c r="C486" s="9" t="s">
        <v>3</v>
      </c>
      <c r="D486" s="9" t="s">
        <v>4</v>
      </c>
      <c r="E486" s="95"/>
      <c r="F486" s="165"/>
      <c r="G486" s="306"/>
      <c r="H486" s="269"/>
      <c r="J486" s="45">
        <f>+J485-D509</f>
        <v>-93179349.280000031</v>
      </c>
    </row>
    <row r="487" spans="1:13" x14ac:dyDescent="0.25">
      <c r="A487" s="309"/>
      <c r="B487" s="313"/>
      <c r="C487" s="96"/>
      <c r="D487" s="361"/>
      <c r="E487" s="95"/>
      <c r="F487" s="165"/>
      <c r="G487" s="306"/>
      <c r="H487" s="269"/>
    </row>
    <row r="488" spans="1:13" x14ac:dyDescent="0.25">
      <c r="A488" s="314"/>
      <c r="B488" s="122" t="s">
        <v>57</v>
      </c>
      <c r="C488" s="99">
        <f>+C353</f>
        <v>272751.97179999994</v>
      </c>
      <c r="D488" s="358">
        <f>+D353</f>
        <v>279745946.90000004</v>
      </c>
      <c r="E488" s="95"/>
      <c r="F488" s="165"/>
      <c r="G488" s="306" t="s">
        <v>61</v>
      </c>
      <c r="H488" s="269">
        <f>'[1]Vstupni Seznam'!$M$1</f>
        <v>951693271.66000009</v>
      </c>
      <c r="I488" s="319"/>
    </row>
    <row r="489" spans="1:13" x14ac:dyDescent="0.25">
      <c r="A489" s="314"/>
      <c r="B489" s="122" t="s">
        <v>58</v>
      </c>
      <c r="C489" s="99">
        <f>+C481</f>
        <v>158437.64354999998</v>
      </c>
      <c r="D489" s="99">
        <f>+D481</f>
        <v>162422342.09999999</v>
      </c>
      <c r="E489" s="95"/>
      <c r="F489" s="165"/>
      <c r="G489" s="306" t="s">
        <v>62</v>
      </c>
      <c r="H489" s="269">
        <f>27388800*10</f>
        <v>273888000</v>
      </c>
      <c r="I489" s="45">
        <f>+F497-D497</f>
        <v>0</v>
      </c>
    </row>
    <row r="490" spans="1:13" x14ac:dyDescent="0.25">
      <c r="A490" s="314"/>
      <c r="B490" s="122"/>
      <c r="C490" s="99"/>
      <c r="D490" s="358"/>
      <c r="E490" s="95"/>
      <c r="F490" s="165"/>
      <c r="G490" s="306" t="s">
        <v>64</v>
      </c>
      <c r="H490" s="269">
        <f>+D46+D47+D50+D49+D51+D52+D53+D54+D55+D56+D57+D58+D59+D60+D61+D62+D63+D48+D475+D388+D420+D384+D44+D474+D45</f>
        <v>23301111.370000001</v>
      </c>
    </row>
    <row r="491" spans="1:13" x14ac:dyDescent="0.25">
      <c r="A491" s="314"/>
      <c r="B491" s="317" t="s">
        <v>59</v>
      </c>
      <c r="C491" s="102">
        <f>+C488+C489</f>
        <v>431189.61534999992</v>
      </c>
      <c r="D491" s="26">
        <f>SUM(D488:D489)</f>
        <v>442168289</v>
      </c>
      <c r="E491" s="95"/>
      <c r="F491" s="165"/>
      <c r="G491" s="45" t="s">
        <v>63</v>
      </c>
      <c r="H491" s="269">
        <f>+H488-H489+H490-H487</f>
        <v>701106383.03000009</v>
      </c>
    </row>
    <row r="492" spans="1:13" ht="16.5" thickBot="1" x14ac:dyDescent="0.3">
      <c r="A492" s="314"/>
      <c r="B492" s="318"/>
      <c r="C492" s="103"/>
      <c r="D492" s="103"/>
      <c r="E492" s="100"/>
      <c r="F492" s="80"/>
      <c r="G492" s="45"/>
      <c r="H492" s="269">
        <f>+D491-H491</f>
        <v>-258938094.03000009</v>
      </c>
      <c r="I492" s="319"/>
      <c r="K492" s="367"/>
    </row>
    <row r="493" spans="1:13" x14ac:dyDescent="0.25">
      <c r="B493" s="45">
        <f>5142.5+302.5</f>
        <v>5445</v>
      </c>
      <c r="C493" s="38"/>
      <c r="D493" s="362"/>
      <c r="E493" s="1"/>
      <c r="F493" s="2"/>
      <c r="H493" s="269">
        <v>0</v>
      </c>
      <c r="I493" s="320"/>
    </row>
    <row r="494" spans="1:13" ht="16.5" thickBot="1" x14ac:dyDescent="0.3">
      <c r="B494" s="321">
        <f>36912917.42-36907772.42</f>
        <v>5145</v>
      </c>
      <c r="C494" s="131"/>
      <c r="D494" s="131"/>
      <c r="E494" s="87"/>
      <c r="F494" s="87"/>
      <c r="H494" s="269">
        <f>+H492-H493</f>
        <v>-258938094.03000009</v>
      </c>
      <c r="I494" s="45" t="s">
        <v>427</v>
      </c>
    </row>
    <row r="495" spans="1:13" ht="16.5" thickBot="1" x14ac:dyDescent="0.3">
      <c r="B495" s="322" t="s">
        <v>79</v>
      </c>
      <c r="C495" s="140" t="s">
        <v>80</v>
      </c>
      <c r="D495" s="140" t="s">
        <v>80</v>
      </c>
      <c r="E495" s="140" t="s">
        <v>82</v>
      </c>
      <c r="F495" s="140" t="s">
        <v>81</v>
      </c>
      <c r="G495" s="323" t="s">
        <v>83</v>
      </c>
      <c r="H495" s="324" t="s">
        <v>84</v>
      </c>
      <c r="I495" s="45" t="s">
        <v>428</v>
      </c>
    </row>
    <row r="496" spans="1:13" s="329" customFormat="1" x14ac:dyDescent="0.25">
      <c r="A496" s="325"/>
      <c r="B496" s="412">
        <v>4111</v>
      </c>
      <c r="C496" s="425"/>
      <c r="D496" s="411"/>
      <c r="E496" s="141">
        <f t="shared" ref="E496:E508" si="0">SUMIF($F$7:$F$541,B496,$C$7:$C$541)</f>
        <v>0</v>
      </c>
      <c r="F496" s="141">
        <f t="shared" ref="F496:F508" si="1">SUMIF($F$7:$F$494,B496,$D$7:$D$494)</f>
        <v>0</v>
      </c>
      <c r="G496" s="328">
        <f>C496-E496*1000</f>
        <v>0</v>
      </c>
      <c r="H496" s="328">
        <f>+D496-F496</f>
        <v>0</v>
      </c>
      <c r="I496" s="185">
        <v>85222</v>
      </c>
      <c r="J496" s="419">
        <v>29008</v>
      </c>
      <c r="K496" s="419"/>
      <c r="L496" s="45"/>
      <c r="M496" s="45"/>
    </row>
    <row r="497" spans="2:14" x14ac:dyDescent="0.25">
      <c r="B497" s="412">
        <v>4113</v>
      </c>
      <c r="C497" s="425">
        <v>5949827.7599999998</v>
      </c>
      <c r="D497" s="411">
        <v>3583301.21</v>
      </c>
      <c r="E497" s="142">
        <f t="shared" si="0"/>
        <v>5949.827760000001</v>
      </c>
      <c r="F497" s="141">
        <f t="shared" si="1"/>
        <v>3583301.2100000004</v>
      </c>
      <c r="G497" s="328">
        <f t="shared" ref="G497:G508" si="2">C497-E497*1000</f>
        <v>0</v>
      </c>
      <c r="H497" s="328">
        <f t="shared" ref="H497:H508" si="3">+D497-F497</f>
        <v>0</v>
      </c>
      <c r="I497" s="185">
        <v>75543</v>
      </c>
      <c r="J497" s="419">
        <v>14023</v>
      </c>
      <c r="K497" s="419"/>
      <c r="N497" s="329"/>
    </row>
    <row r="498" spans="2:14" x14ac:dyDescent="0.25">
      <c r="B498" s="412">
        <v>4116</v>
      </c>
      <c r="C498" s="425">
        <v>149404186.27000001</v>
      </c>
      <c r="D498" s="411">
        <v>158601669.81999999</v>
      </c>
      <c r="E498" s="142">
        <f t="shared" si="0"/>
        <v>149404.18626999998</v>
      </c>
      <c r="F498" s="141">
        <f t="shared" si="1"/>
        <v>158601669.82000002</v>
      </c>
      <c r="G498" s="328">
        <f t="shared" ref="G498" si="4">C498-E498*1000</f>
        <v>0</v>
      </c>
      <c r="H498" s="328">
        <f t="shared" ref="H498" si="5">+D498-F498</f>
        <v>0</v>
      </c>
      <c r="I498" s="185"/>
      <c r="J498" s="419"/>
      <c r="K498" s="419"/>
      <c r="N498" s="329"/>
    </row>
    <row r="499" spans="2:14" x14ac:dyDescent="0.25">
      <c r="B499" s="412">
        <v>4119</v>
      </c>
      <c r="C499" s="425">
        <v>0</v>
      </c>
      <c r="D499" s="411">
        <v>0</v>
      </c>
      <c r="E499" s="142">
        <f t="shared" si="0"/>
        <v>0</v>
      </c>
      <c r="F499" s="141">
        <f t="shared" si="1"/>
        <v>0</v>
      </c>
      <c r="G499" s="328">
        <f>C499-E499*1000</f>
        <v>0</v>
      </c>
      <c r="H499" s="328">
        <f t="shared" si="3"/>
        <v>0</v>
      </c>
      <c r="I499" s="185">
        <v>5142.5</v>
      </c>
      <c r="J499" s="419">
        <v>15835</v>
      </c>
      <c r="K499" s="419" t="s">
        <v>433</v>
      </c>
      <c r="N499" s="329"/>
    </row>
    <row r="500" spans="2:14" x14ac:dyDescent="0.25">
      <c r="B500" s="412">
        <v>4122</v>
      </c>
      <c r="C500" s="425">
        <v>113212305.56</v>
      </c>
      <c r="D500" s="411">
        <v>113352305.56</v>
      </c>
      <c r="E500" s="142">
        <f t="shared" si="0"/>
        <v>113212.30556000001</v>
      </c>
      <c r="F500" s="141">
        <f t="shared" si="1"/>
        <v>113352305.56</v>
      </c>
      <c r="G500" s="328">
        <f t="shared" si="2"/>
        <v>0</v>
      </c>
      <c r="H500" s="328">
        <f t="shared" si="3"/>
        <v>0</v>
      </c>
      <c r="I500" s="185">
        <v>302.5</v>
      </c>
      <c r="J500" s="419">
        <v>90877</v>
      </c>
      <c r="K500" s="419" t="s">
        <v>433</v>
      </c>
      <c r="N500" s="329"/>
    </row>
    <row r="501" spans="2:14" x14ac:dyDescent="0.25">
      <c r="B501" s="412">
        <v>4123</v>
      </c>
      <c r="C501" s="425">
        <v>1808652.21</v>
      </c>
      <c r="D501" s="411">
        <v>1808652.21</v>
      </c>
      <c r="E501" s="142">
        <f t="shared" si="0"/>
        <v>1808.6522100000002</v>
      </c>
      <c r="F501" s="141">
        <f t="shared" si="1"/>
        <v>1808652.21</v>
      </c>
      <c r="G501" s="328">
        <f t="shared" si="2"/>
        <v>0</v>
      </c>
      <c r="H501" s="328">
        <f t="shared" si="3"/>
        <v>0</v>
      </c>
      <c r="I501" s="185">
        <v>181877.39</v>
      </c>
      <c r="J501" s="419">
        <v>15835</v>
      </c>
      <c r="K501" s="419" t="s">
        <v>434</v>
      </c>
      <c r="N501" s="329"/>
    </row>
    <row r="502" spans="2:14" x14ac:dyDescent="0.25">
      <c r="B502" s="412">
        <v>4151</v>
      </c>
      <c r="C502" s="425">
        <v>0</v>
      </c>
      <c r="D502" s="411">
        <v>0</v>
      </c>
      <c r="E502" s="142">
        <f t="shared" si="0"/>
        <v>0</v>
      </c>
      <c r="F502" s="141">
        <f t="shared" si="1"/>
        <v>0</v>
      </c>
      <c r="G502" s="328">
        <f t="shared" si="2"/>
        <v>0</v>
      </c>
      <c r="H502" s="328">
        <f t="shared" si="3"/>
        <v>0</v>
      </c>
      <c r="I502" s="185"/>
      <c r="J502" s="419"/>
      <c r="K502" s="419"/>
      <c r="N502" s="329"/>
    </row>
    <row r="503" spans="2:14" x14ac:dyDescent="0.25">
      <c r="B503" s="412">
        <v>4152</v>
      </c>
      <c r="C503" s="425">
        <v>2377000</v>
      </c>
      <c r="D503" s="411">
        <v>2400018.1</v>
      </c>
      <c r="E503" s="142">
        <f t="shared" si="0"/>
        <v>2377</v>
      </c>
      <c r="F503" s="141">
        <f t="shared" si="1"/>
        <v>2400018.1000000006</v>
      </c>
      <c r="G503" s="328">
        <f t="shared" si="2"/>
        <v>0</v>
      </c>
      <c r="H503" s="328">
        <f t="shared" si="3"/>
        <v>0</v>
      </c>
      <c r="I503" s="185">
        <v>10698.67</v>
      </c>
      <c r="J503" s="419">
        <v>90877</v>
      </c>
      <c r="K503" s="419" t="s">
        <v>434</v>
      </c>
      <c r="N503" s="329"/>
    </row>
    <row r="504" spans="2:14" x14ac:dyDescent="0.25">
      <c r="B504" s="412">
        <v>4213</v>
      </c>
      <c r="C504" s="425">
        <v>1691365.52</v>
      </c>
      <c r="D504" s="411">
        <v>1691365.52</v>
      </c>
      <c r="E504" s="142">
        <f t="shared" si="0"/>
        <v>1691.3655199999998</v>
      </c>
      <c r="F504" s="141">
        <f t="shared" si="1"/>
        <v>1691365.5200000005</v>
      </c>
      <c r="G504" s="328">
        <f t="shared" si="2"/>
        <v>0</v>
      </c>
      <c r="H504" s="328">
        <f t="shared" si="3"/>
        <v>0</v>
      </c>
      <c r="I504" s="185">
        <v>-28000</v>
      </c>
      <c r="J504" s="419">
        <v>13010</v>
      </c>
      <c r="K504" s="419" t="s">
        <v>435</v>
      </c>
      <c r="N504" s="329"/>
    </row>
    <row r="505" spans="2:14" x14ac:dyDescent="0.25">
      <c r="B505" s="412">
        <v>4216</v>
      </c>
      <c r="C505" s="425">
        <v>55868485.82</v>
      </c>
      <c r="D505" s="411">
        <v>55868485.82</v>
      </c>
      <c r="E505" s="142">
        <f t="shared" si="0"/>
        <v>55868.485820000002</v>
      </c>
      <c r="F505" s="141">
        <f t="shared" si="1"/>
        <v>55868485.820000008</v>
      </c>
      <c r="G505" s="328">
        <f t="shared" si="2"/>
        <v>0</v>
      </c>
      <c r="H505" s="328">
        <f t="shared" si="3"/>
        <v>0</v>
      </c>
      <c r="I505" s="185">
        <v>55520</v>
      </c>
      <c r="J505" s="419">
        <v>92241</v>
      </c>
      <c r="K505" s="419" t="s">
        <v>436</v>
      </c>
      <c r="N505" s="329"/>
    </row>
    <row r="506" spans="2:14" x14ac:dyDescent="0.25">
      <c r="B506" s="412">
        <v>4222</v>
      </c>
      <c r="C506" s="425">
        <v>2720000</v>
      </c>
      <c r="D506" s="411">
        <v>2720000</v>
      </c>
      <c r="E506" s="142">
        <f t="shared" si="0"/>
        <v>2720</v>
      </c>
      <c r="F506" s="141">
        <f t="shared" si="1"/>
        <v>2720000</v>
      </c>
      <c r="G506" s="328">
        <f t="shared" si="2"/>
        <v>0</v>
      </c>
      <c r="H506" s="328">
        <f t="shared" si="3"/>
        <v>0</v>
      </c>
      <c r="I506" s="185">
        <v>411103.35</v>
      </c>
      <c r="J506" s="419">
        <v>15835</v>
      </c>
      <c r="K506" s="419" t="s">
        <v>439</v>
      </c>
      <c r="N506" s="329"/>
    </row>
    <row r="507" spans="2:14" x14ac:dyDescent="0.25">
      <c r="B507" s="412">
        <v>4223</v>
      </c>
      <c r="C507" s="425">
        <v>97280792.209999993</v>
      </c>
      <c r="D507" s="411">
        <v>101266290.90000001</v>
      </c>
      <c r="E507" s="142">
        <f t="shared" si="0"/>
        <v>97280.79221</v>
      </c>
      <c r="F507" s="141">
        <f t="shared" si="1"/>
        <v>101266290.89999999</v>
      </c>
      <c r="G507" s="328">
        <f t="shared" si="2"/>
        <v>0</v>
      </c>
      <c r="H507" s="328">
        <f t="shared" si="3"/>
        <v>0</v>
      </c>
      <c r="I507" s="185">
        <v>24182.55</v>
      </c>
      <c r="J507" s="419">
        <v>90877</v>
      </c>
      <c r="K507" s="419" t="s">
        <v>440</v>
      </c>
      <c r="N507" s="329"/>
    </row>
    <row r="508" spans="2:14" x14ac:dyDescent="0.25">
      <c r="B508" s="412">
        <v>4232</v>
      </c>
      <c r="C508" s="425">
        <v>877000</v>
      </c>
      <c r="D508" s="411">
        <v>876199.86</v>
      </c>
      <c r="E508" s="142">
        <f t="shared" si="0"/>
        <v>877</v>
      </c>
      <c r="F508" s="141">
        <f t="shared" si="1"/>
        <v>876199.86</v>
      </c>
      <c r="G508" s="328">
        <f t="shared" si="2"/>
        <v>0</v>
      </c>
      <c r="H508" s="328">
        <f t="shared" si="3"/>
        <v>0</v>
      </c>
      <c r="I508" s="185">
        <v>808394.82</v>
      </c>
      <c r="J508" s="419">
        <v>15827</v>
      </c>
      <c r="K508" s="419" t="s">
        <v>441</v>
      </c>
      <c r="N508" s="329"/>
    </row>
    <row r="509" spans="2:14" x14ac:dyDescent="0.25">
      <c r="B509" s="332"/>
      <c r="C509" s="144">
        <f t="shared" ref="C509:H509" si="6">+SUM(C496:C508)</f>
        <v>431189615.34999996</v>
      </c>
      <c r="D509" s="144">
        <f t="shared" si="6"/>
        <v>442168289</v>
      </c>
      <c r="E509" s="144">
        <f t="shared" si="6"/>
        <v>431189.61534999992</v>
      </c>
      <c r="F509" s="144">
        <f t="shared" si="6"/>
        <v>442168289</v>
      </c>
      <c r="G509" s="328">
        <f t="shared" si="6"/>
        <v>0</v>
      </c>
      <c r="H509" s="328">
        <f t="shared" si="6"/>
        <v>0</v>
      </c>
      <c r="I509" s="185">
        <v>53892.98</v>
      </c>
      <c r="J509" s="419">
        <v>90877</v>
      </c>
      <c r="K509" s="419" t="s">
        <v>441</v>
      </c>
      <c r="N509" s="329"/>
    </row>
    <row r="510" spans="2:14" ht="16.5" thickBot="1" x14ac:dyDescent="0.3">
      <c r="B510" s="333"/>
      <c r="C510" s="145">
        <f>+C491*1000-C509</f>
        <v>0</v>
      </c>
      <c r="D510" s="145">
        <f>+D491-D509</f>
        <v>0</v>
      </c>
      <c r="E510" s="426"/>
      <c r="F510" s="426"/>
      <c r="G510" s="335"/>
      <c r="H510" s="336"/>
      <c r="I510" s="185">
        <v>5516772.4500000002</v>
      </c>
      <c r="J510" s="419">
        <v>15835</v>
      </c>
      <c r="K510" s="419" t="s">
        <v>442</v>
      </c>
      <c r="N510" s="329"/>
    </row>
    <row r="511" spans="2:14" x14ac:dyDescent="0.25">
      <c r="I511" s="185">
        <v>324516.02</v>
      </c>
      <c r="J511" s="419">
        <v>90877</v>
      </c>
      <c r="K511" s="419" t="s">
        <v>442</v>
      </c>
      <c r="N511" s="329"/>
    </row>
    <row r="512" spans="2:14" x14ac:dyDescent="0.25">
      <c r="B512" s="337"/>
      <c r="C512" s="365"/>
      <c r="D512" s="364"/>
      <c r="E512" s="364"/>
      <c r="F512" s="364"/>
      <c r="G512" s="338"/>
      <c r="H512" s="337"/>
      <c r="I512" s="185">
        <v>381309.2</v>
      </c>
      <c r="J512" s="419" t="s">
        <v>443</v>
      </c>
      <c r="K512" s="419"/>
      <c r="N512" s="329"/>
    </row>
    <row r="513" spans="2:14" x14ac:dyDescent="0.25">
      <c r="B513" s="337"/>
      <c r="D513" s="364"/>
      <c r="E513" s="364"/>
      <c r="F513" s="364"/>
      <c r="G513" s="337"/>
      <c r="H513" s="338"/>
      <c r="I513" s="185">
        <v>6482256.5700000003</v>
      </c>
      <c r="J513" s="419" t="s">
        <v>443</v>
      </c>
      <c r="K513" s="419"/>
      <c r="N513" s="329"/>
    </row>
    <row r="514" spans="2:14" x14ac:dyDescent="0.25">
      <c r="B514" s="337"/>
      <c r="C514" s="2" t="s">
        <v>352</v>
      </c>
      <c r="D514" s="364"/>
      <c r="E514" s="364"/>
      <c r="F514" s="364"/>
      <c r="G514" s="338"/>
      <c r="I514" s="185">
        <v>30000</v>
      </c>
      <c r="J514" s="419">
        <v>331</v>
      </c>
      <c r="K514" s="419"/>
      <c r="N514" s="329"/>
    </row>
    <row r="515" spans="2:14" x14ac:dyDescent="0.25">
      <c r="B515" s="337"/>
      <c r="C515" s="365" t="s">
        <v>353</v>
      </c>
      <c r="D515" s="364"/>
      <c r="E515" s="364"/>
      <c r="F515" s="364"/>
      <c r="G515" s="338"/>
      <c r="I515" s="185">
        <v>40000</v>
      </c>
      <c r="J515" s="419">
        <v>331</v>
      </c>
      <c r="K515" s="419"/>
      <c r="N515" s="329"/>
    </row>
    <row r="516" spans="2:14" x14ac:dyDescent="0.25">
      <c r="B516" s="337"/>
      <c r="C516" s="365" t="s">
        <v>354</v>
      </c>
      <c r="D516" s="364"/>
      <c r="E516" s="364"/>
      <c r="F516" s="364"/>
      <c r="G516" s="338"/>
      <c r="H516" s="337"/>
      <c r="I516" s="185">
        <v>61000</v>
      </c>
      <c r="J516" s="419">
        <v>331</v>
      </c>
      <c r="K516" s="419"/>
      <c r="N516" s="329"/>
    </row>
    <row r="517" spans="2:14" x14ac:dyDescent="0.25">
      <c r="B517" s="337"/>
      <c r="C517" s="365" t="s">
        <v>356</v>
      </c>
      <c r="D517" s="364"/>
      <c r="E517" s="364"/>
      <c r="F517" s="364"/>
      <c r="G517" s="338"/>
      <c r="H517" s="337"/>
      <c r="I517" s="185">
        <v>37000</v>
      </c>
      <c r="J517" s="419">
        <v>331</v>
      </c>
      <c r="K517" s="419"/>
      <c r="N517" s="329"/>
    </row>
    <row r="518" spans="2:14" x14ac:dyDescent="0.25">
      <c r="B518" s="337"/>
      <c r="C518" s="365"/>
      <c r="D518" s="364"/>
      <c r="E518" s="364"/>
      <c r="F518" s="364"/>
      <c r="G518" s="337"/>
      <c r="H518" s="337"/>
      <c r="I518" s="185">
        <v>8424082.9800000004</v>
      </c>
      <c r="J518" s="419" t="s">
        <v>444</v>
      </c>
      <c r="K518" s="419"/>
      <c r="N518" s="329"/>
    </row>
    <row r="519" spans="2:14" x14ac:dyDescent="0.25">
      <c r="B519" s="337"/>
      <c r="C519" s="365"/>
      <c r="D519" s="364"/>
      <c r="E519" s="364"/>
      <c r="F519" s="364"/>
      <c r="G519" s="338"/>
      <c r="H519" s="337"/>
      <c r="I519" s="185">
        <v>50000</v>
      </c>
      <c r="J519" s="419"/>
      <c r="K519" s="419"/>
      <c r="N519" s="329"/>
    </row>
    <row r="520" spans="2:14" x14ac:dyDescent="0.25">
      <c r="B520" s="337"/>
      <c r="C520" s="365" t="s">
        <v>357</v>
      </c>
      <c r="D520" s="364"/>
      <c r="E520" s="438">
        <v>5949827.7599999998</v>
      </c>
      <c r="F520" s="364"/>
      <c r="G520" s="338"/>
      <c r="H520" s="337"/>
      <c r="I520" s="185">
        <v>82424</v>
      </c>
      <c r="J520" s="419">
        <v>92241</v>
      </c>
      <c r="K520" s="419"/>
      <c r="N520" s="329"/>
    </row>
    <row r="521" spans="2:14" x14ac:dyDescent="0.25">
      <c r="B521" s="337"/>
      <c r="C521" s="365"/>
      <c r="D521" s="364"/>
      <c r="E521" s="438" t="s">
        <v>522</v>
      </c>
      <c r="F521" s="364"/>
      <c r="G521" s="338"/>
      <c r="H521" s="337"/>
      <c r="I521" s="185">
        <v>126687</v>
      </c>
      <c r="J521" s="419">
        <v>92241</v>
      </c>
      <c r="K521" s="419"/>
      <c r="N521" s="329"/>
    </row>
    <row r="522" spans="2:14" x14ac:dyDescent="0.25">
      <c r="B522" s="337"/>
      <c r="C522" s="365"/>
      <c r="D522" s="365"/>
      <c r="E522" s="438" t="s">
        <v>523</v>
      </c>
      <c r="F522" s="364"/>
      <c r="G522" s="338"/>
      <c r="H522" s="337"/>
      <c r="I522" s="185">
        <v>134825</v>
      </c>
      <c r="J522" s="419">
        <v>92241</v>
      </c>
      <c r="K522" s="419"/>
      <c r="N522" s="329"/>
    </row>
    <row r="523" spans="2:14" x14ac:dyDescent="0.25">
      <c r="B523" s="337"/>
      <c r="C523" s="365"/>
      <c r="D523" s="365"/>
      <c r="E523" s="438" t="s">
        <v>524</v>
      </c>
      <c r="F523" s="364"/>
      <c r="G523" s="338"/>
      <c r="H523" s="337"/>
      <c r="I523" s="185">
        <v>165995</v>
      </c>
      <c r="J523" s="419">
        <v>92241</v>
      </c>
      <c r="K523" s="419"/>
      <c r="N523" s="329"/>
    </row>
    <row r="524" spans="2:14" x14ac:dyDescent="0.25">
      <c r="B524" s="337"/>
      <c r="C524" s="365"/>
      <c r="D524" s="365"/>
      <c r="E524" s="438" t="s">
        <v>525</v>
      </c>
      <c r="F524" s="365"/>
      <c r="G524" s="338"/>
      <c r="H524" s="337"/>
      <c r="I524" s="185">
        <v>215860</v>
      </c>
      <c r="J524" s="419">
        <v>92241</v>
      </c>
      <c r="K524" s="419"/>
      <c r="N524" s="329"/>
    </row>
    <row r="525" spans="2:14" x14ac:dyDescent="0.25">
      <c r="B525" s="337"/>
      <c r="C525" s="365"/>
      <c r="D525" s="365"/>
      <c r="E525" s="438" t="s">
        <v>526</v>
      </c>
      <c r="F525" s="364"/>
      <c r="G525" s="338"/>
      <c r="H525" s="337"/>
      <c r="I525" s="185">
        <v>215860</v>
      </c>
      <c r="J525" s="419">
        <v>92241</v>
      </c>
      <c r="K525" s="419"/>
      <c r="N525" s="329"/>
    </row>
    <row r="526" spans="2:14" x14ac:dyDescent="0.25">
      <c r="B526" s="337"/>
      <c r="C526" s="365"/>
      <c r="D526" s="365"/>
      <c r="E526" s="438" t="s">
        <v>527</v>
      </c>
      <c r="F526" s="364"/>
      <c r="G526" s="338"/>
      <c r="H526" s="337"/>
      <c r="I526" s="2"/>
      <c r="J526" s="419"/>
      <c r="K526" s="419"/>
    </row>
    <row r="527" spans="2:14" x14ac:dyDescent="0.25">
      <c r="B527" s="337"/>
      <c r="C527" s="365"/>
      <c r="D527" s="365"/>
      <c r="E527" s="438" t="s">
        <v>528</v>
      </c>
      <c r="F527" s="364"/>
      <c r="G527" s="338"/>
      <c r="H527" s="337"/>
      <c r="I527" s="329">
        <f>SUM(I496:I526)</f>
        <v>23972467.98</v>
      </c>
      <c r="J527" s="419">
        <f>+H494+I527</f>
        <v>-234965626.0500001</v>
      </c>
      <c r="K527" s="419" t="s">
        <v>160</v>
      </c>
    </row>
    <row r="528" spans="2:14" x14ac:dyDescent="0.25">
      <c r="B528" s="337"/>
      <c r="C528" s="365"/>
      <c r="D528" s="365"/>
      <c r="E528" s="438" t="s">
        <v>529</v>
      </c>
      <c r="F528" s="365"/>
      <c r="G528" s="337"/>
      <c r="H528" s="337"/>
      <c r="J528" s="419"/>
      <c r="K528" s="419"/>
    </row>
    <row r="529" spans="2:11" x14ac:dyDescent="0.25">
      <c r="B529" s="337"/>
      <c r="C529" s="365"/>
      <c r="D529" s="365"/>
      <c r="E529" s="438" t="s">
        <v>530</v>
      </c>
      <c r="F529" s="364"/>
      <c r="G529" s="337"/>
      <c r="H529" s="337"/>
      <c r="J529" s="419"/>
      <c r="K529" s="419"/>
    </row>
    <row r="530" spans="2:11" x14ac:dyDescent="0.25">
      <c r="B530" s="337"/>
      <c r="C530" s="365"/>
      <c r="D530" s="365"/>
      <c r="E530" s="144"/>
      <c r="F530" s="364"/>
      <c r="G530" s="338"/>
      <c r="H530" s="337"/>
      <c r="J530" s="419"/>
      <c r="K530" s="419"/>
    </row>
    <row r="531" spans="2:11" x14ac:dyDescent="0.25">
      <c r="B531" s="337"/>
      <c r="C531" s="365"/>
      <c r="D531" s="365"/>
      <c r="E531" s="364">
        <f>SUM(E520:E530)</f>
        <v>5949827.7599999998</v>
      </c>
      <c r="F531" s="364"/>
      <c r="G531" s="338"/>
      <c r="H531" s="337"/>
      <c r="J531" s="419"/>
      <c r="K531" s="419"/>
    </row>
    <row r="532" spans="2:11" x14ac:dyDescent="0.25">
      <c r="B532" s="337"/>
      <c r="C532" s="365"/>
      <c r="D532" s="365"/>
      <c r="E532" s="365"/>
      <c r="F532" s="365"/>
      <c r="G532" s="338"/>
      <c r="H532" s="337"/>
      <c r="J532" s="419"/>
      <c r="K532" s="419"/>
    </row>
    <row r="533" spans="2:11" x14ac:dyDescent="0.25">
      <c r="B533" s="337"/>
      <c r="C533" s="365"/>
      <c r="D533" s="365"/>
      <c r="E533" s="365"/>
      <c r="F533" s="365"/>
      <c r="G533" s="338"/>
      <c r="H533" s="337"/>
      <c r="J533" s="419"/>
      <c r="K533" s="419"/>
    </row>
    <row r="534" spans="2:11" x14ac:dyDescent="0.25">
      <c r="B534" s="337"/>
      <c r="C534" s="365"/>
      <c r="D534" s="365"/>
      <c r="E534" s="364"/>
      <c r="F534" s="364"/>
      <c r="G534" s="338"/>
      <c r="H534" s="337"/>
      <c r="J534" s="419"/>
      <c r="K534" s="419"/>
    </row>
    <row r="535" spans="2:11" x14ac:dyDescent="0.25">
      <c r="B535" s="337"/>
      <c r="C535" s="365"/>
      <c r="D535" s="365"/>
      <c r="E535" s="365"/>
      <c r="F535" s="365"/>
      <c r="G535" s="338"/>
      <c r="H535" s="337"/>
      <c r="J535" s="419"/>
      <c r="K535" s="419"/>
    </row>
    <row r="536" spans="2:11" x14ac:dyDescent="0.25">
      <c r="B536" s="337"/>
      <c r="C536" s="365"/>
      <c r="D536" s="365"/>
      <c r="E536" s="365"/>
      <c r="F536" s="365"/>
      <c r="G536" s="337"/>
      <c r="H536" s="337"/>
      <c r="J536" s="419"/>
      <c r="K536" s="419"/>
    </row>
    <row r="537" spans="2:11" x14ac:dyDescent="0.25">
      <c r="B537" s="337"/>
      <c r="C537" s="365"/>
      <c r="D537" s="365"/>
      <c r="E537" s="365"/>
      <c r="F537" s="365"/>
      <c r="G537" s="337"/>
      <c r="H537" s="337"/>
      <c r="J537" s="419"/>
      <c r="K537" s="419"/>
    </row>
    <row r="538" spans="2:11" x14ac:dyDescent="0.25">
      <c r="B538" s="337"/>
      <c r="C538" s="365"/>
      <c r="D538" s="365"/>
      <c r="E538" s="365"/>
      <c r="F538" s="365"/>
      <c r="G538" s="338"/>
      <c r="H538" s="337"/>
      <c r="J538" s="419"/>
      <c r="K538" s="419"/>
    </row>
    <row r="539" spans="2:11" x14ac:dyDescent="0.25">
      <c r="B539" s="337"/>
      <c r="C539" s="365"/>
      <c r="D539" s="365"/>
      <c r="E539" s="365"/>
      <c r="F539" s="365"/>
      <c r="G539" s="337"/>
      <c r="H539" s="337"/>
      <c r="J539" s="419"/>
      <c r="K539" s="419"/>
    </row>
    <row r="540" spans="2:11" x14ac:dyDescent="0.25">
      <c r="B540" s="337"/>
      <c r="C540" s="365"/>
      <c r="D540" s="365"/>
      <c r="E540" s="365"/>
      <c r="F540" s="365"/>
      <c r="G540" s="337"/>
      <c r="H540" s="337"/>
      <c r="J540" s="419"/>
      <c r="K540" s="419"/>
    </row>
    <row r="541" spans="2:11" x14ac:dyDescent="0.25">
      <c r="J541" s="419"/>
      <c r="K541" s="419"/>
    </row>
    <row r="542" spans="2:11" x14ac:dyDescent="0.25">
      <c r="J542" s="419"/>
      <c r="K542" s="419"/>
    </row>
    <row r="543" spans="2:11" x14ac:dyDescent="0.25">
      <c r="J543" s="419"/>
      <c r="K543" s="419"/>
    </row>
    <row r="544" spans="2:11" x14ac:dyDescent="0.25">
      <c r="J544" s="419"/>
      <c r="K544" s="419"/>
    </row>
    <row r="545" spans="10:11" x14ac:dyDescent="0.25">
      <c r="J545" s="419"/>
      <c r="K545" s="419"/>
    </row>
    <row r="546" spans="10:11" x14ac:dyDescent="0.25">
      <c r="J546" s="419"/>
      <c r="K546" s="419"/>
    </row>
    <row r="547" spans="10:11" x14ac:dyDescent="0.25">
      <c r="J547" s="419"/>
      <c r="K547" s="419"/>
    </row>
    <row r="548" spans="10:11" x14ac:dyDescent="0.25">
      <c r="J548" s="419"/>
      <c r="K548" s="419"/>
    </row>
    <row r="549" spans="10:11" x14ac:dyDescent="0.25">
      <c r="J549" s="419"/>
      <c r="K549" s="419"/>
    </row>
    <row r="550" spans="10:11" x14ac:dyDescent="0.25">
      <c r="J550" s="419"/>
      <c r="K550" s="419"/>
    </row>
    <row r="551" spans="10:11" x14ac:dyDescent="0.25">
      <c r="J551" s="419"/>
      <c r="K551" s="419"/>
    </row>
    <row r="552" spans="10:11" x14ac:dyDescent="0.25">
      <c r="J552" s="419"/>
      <c r="K552" s="419"/>
    </row>
    <row r="553" spans="10:11" x14ac:dyDescent="0.25">
      <c r="J553" s="419"/>
      <c r="K553" s="419"/>
    </row>
    <row r="554" spans="10:11" x14ac:dyDescent="0.25">
      <c r="J554" s="419"/>
      <c r="K554" s="419"/>
    </row>
    <row r="555" spans="10:11" x14ac:dyDescent="0.25">
      <c r="J555" s="419"/>
      <c r="K555" s="419"/>
    </row>
    <row r="556" spans="10:11" x14ac:dyDescent="0.25">
      <c r="J556" s="419"/>
      <c r="K556" s="419"/>
    </row>
    <row r="557" spans="10:11" x14ac:dyDescent="0.25">
      <c r="J557" s="419"/>
      <c r="K557" s="419"/>
    </row>
    <row r="558" spans="10:11" x14ac:dyDescent="0.25">
      <c r="J558" s="419"/>
      <c r="K558" s="419"/>
    </row>
    <row r="559" spans="10:11" x14ac:dyDescent="0.25">
      <c r="J559" s="419"/>
      <c r="K559" s="419"/>
    </row>
    <row r="560" spans="10:11" x14ac:dyDescent="0.25">
      <c r="J560" s="419"/>
      <c r="K560" s="419"/>
    </row>
    <row r="561" spans="10:11" x14ac:dyDescent="0.25">
      <c r="J561" s="419"/>
      <c r="K561" s="419"/>
    </row>
    <row r="562" spans="10:11" x14ac:dyDescent="0.25">
      <c r="J562" s="419"/>
      <c r="K562" s="419"/>
    </row>
    <row r="563" spans="10:11" x14ac:dyDescent="0.25">
      <c r="J563" s="419"/>
      <c r="K563" s="419"/>
    </row>
    <row r="564" spans="10:11" x14ac:dyDescent="0.25">
      <c r="J564" s="419"/>
      <c r="K564" s="419"/>
    </row>
    <row r="565" spans="10:11" x14ac:dyDescent="0.25">
      <c r="J565" s="419"/>
      <c r="K565" s="419"/>
    </row>
    <row r="566" spans="10:11" x14ac:dyDescent="0.25">
      <c r="J566" s="419"/>
      <c r="K566" s="419"/>
    </row>
    <row r="567" spans="10:11" x14ac:dyDescent="0.25">
      <c r="J567" s="419"/>
      <c r="K567" s="419"/>
    </row>
    <row r="568" spans="10:11" x14ac:dyDescent="0.25">
      <c r="J568" s="419"/>
      <c r="K568" s="419"/>
    </row>
    <row r="569" spans="10:11" x14ac:dyDescent="0.25">
      <c r="J569" s="419"/>
      <c r="K569" s="419"/>
    </row>
    <row r="570" spans="10:11" x14ac:dyDescent="0.25">
      <c r="J570" s="419"/>
      <c r="K570" s="419"/>
    </row>
    <row r="571" spans="10:11" x14ac:dyDescent="0.25">
      <c r="J571" s="419"/>
      <c r="K571" s="419"/>
    </row>
    <row r="572" spans="10:11" x14ac:dyDescent="0.25">
      <c r="J572" s="419"/>
      <c r="K572" s="419"/>
    </row>
    <row r="573" spans="10:11" x14ac:dyDescent="0.25">
      <c r="J573" s="419"/>
      <c r="K573" s="419"/>
    </row>
    <row r="574" spans="10:11" x14ac:dyDescent="0.25">
      <c r="J574" s="419"/>
      <c r="K574" s="419"/>
    </row>
    <row r="575" spans="10:11" x14ac:dyDescent="0.25">
      <c r="J575" s="419"/>
      <c r="K575" s="419"/>
    </row>
    <row r="576" spans="10:11" x14ac:dyDescent="0.25">
      <c r="J576" s="419"/>
      <c r="K576" s="419"/>
    </row>
    <row r="577" spans="1:11" x14ac:dyDescent="0.25">
      <c r="A577" s="339"/>
      <c r="B577" s="340"/>
      <c r="C577" s="190"/>
      <c r="D577" s="191"/>
      <c r="E577" s="192"/>
      <c r="F577" s="193"/>
      <c r="G577" s="341"/>
      <c r="H577" s="194"/>
      <c r="J577" s="419"/>
      <c r="K577" s="419"/>
    </row>
    <row r="578" spans="1:11" x14ac:dyDescent="0.25">
      <c r="A578" s="339"/>
      <c r="B578" s="340"/>
      <c r="C578" s="190"/>
      <c r="D578" s="191"/>
      <c r="E578" s="192"/>
      <c r="F578" s="193"/>
      <c r="G578" s="341"/>
      <c r="H578" s="194"/>
      <c r="J578" s="419"/>
      <c r="K578" s="419"/>
    </row>
    <row r="579" spans="1:11" x14ac:dyDescent="0.25">
      <c r="A579" s="339"/>
      <c r="B579" s="340"/>
      <c r="C579" s="190"/>
      <c r="D579" s="191"/>
      <c r="E579" s="192"/>
      <c r="F579" s="193"/>
      <c r="G579" s="341"/>
      <c r="H579" s="194"/>
      <c r="J579" s="419"/>
      <c r="K579" s="419"/>
    </row>
    <row r="580" spans="1:11" x14ac:dyDescent="0.25">
      <c r="A580" s="339"/>
      <c r="B580" s="340"/>
      <c r="C580" s="190"/>
      <c r="D580" s="191"/>
      <c r="E580" s="192"/>
      <c r="F580" s="193"/>
      <c r="G580" s="341"/>
      <c r="H580" s="194"/>
      <c r="J580" s="419"/>
      <c r="K580" s="419"/>
    </row>
    <row r="581" spans="1:11" x14ac:dyDescent="0.25">
      <c r="A581" s="339"/>
      <c r="B581" s="340"/>
      <c r="C581" s="190"/>
      <c r="D581" s="191"/>
      <c r="E581" s="192"/>
      <c r="F581" s="193"/>
      <c r="G581" s="341"/>
      <c r="H581" s="194"/>
      <c r="J581" s="419"/>
      <c r="K581" s="419"/>
    </row>
    <row r="582" spans="1:11" x14ac:dyDescent="0.25">
      <c r="A582" s="339"/>
      <c r="B582" s="340"/>
      <c r="C582" s="190"/>
      <c r="D582" s="191"/>
      <c r="E582" s="192"/>
      <c r="F582" s="193"/>
      <c r="G582" s="341"/>
      <c r="H582" s="194"/>
      <c r="J582" s="419"/>
      <c r="K582" s="419"/>
    </row>
    <row r="583" spans="1:11" x14ac:dyDescent="0.25">
      <c r="A583" s="339"/>
      <c r="B583" s="340"/>
      <c r="C583" s="190"/>
      <c r="D583" s="191"/>
      <c r="E583" s="192"/>
      <c r="F583" s="193"/>
      <c r="G583" s="341"/>
      <c r="H583" s="194"/>
      <c r="J583" s="419"/>
      <c r="K583" s="419"/>
    </row>
    <row r="584" spans="1:11" x14ac:dyDescent="0.25">
      <c r="A584" s="339"/>
      <c r="B584" s="340"/>
      <c r="C584" s="190"/>
      <c r="D584" s="191"/>
      <c r="E584" s="192"/>
      <c r="F584" s="193"/>
      <c r="G584" s="341"/>
      <c r="H584" s="194"/>
      <c r="J584" s="419"/>
      <c r="K584" s="419"/>
    </row>
    <row r="585" spans="1:11" x14ac:dyDescent="0.25">
      <c r="A585" s="339"/>
      <c r="B585" s="340"/>
      <c r="C585" s="190"/>
      <c r="D585" s="191"/>
      <c r="E585" s="192"/>
      <c r="F585" s="193"/>
      <c r="G585" s="341"/>
      <c r="H585" s="194"/>
      <c r="J585" s="419"/>
      <c r="K585" s="419"/>
    </row>
    <row r="586" spans="1:11" x14ac:dyDescent="0.25">
      <c r="A586" s="339"/>
      <c r="B586" s="340"/>
      <c r="C586" s="190"/>
      <c r="D586" s="191"/>
      <c r="E586" s="192"/>
      <c r="F586" s="193"/>
      <c r="G586" s="341"/>
      <c r="H586" s="194"/>
      <c r="J586" s="419"/>
      <c r="K586" s="419"/>
    </row>
    <row r="587" spans="1:11" x14ac:dyDescent="0.25">
      <c r="A587" s="339"/>
      <c r="B587" s="340"/>
      <c r="C587" s="190"/>
      <c r="D587" s="191"/>
      <c r="E587" s="192"/>
      <c r="F587" s="193"/>
      <c r="G587" s="341"/>
      <c r="H587" s="194"/>
      <c r="J587" s="419"/>
      <c r="K587" s="419"/>
    </row>
    <row r="588" spans="1:11" x14ac:dyDescent="0.25">
      <c r="A588" s="339"/>
      <c r="B588" s="340"/>
      <c r="C588" s="190"/>
      <c r="D588" s="191"/>
      <c r="E588" s="192"/>
      <c r="F588" s="193"/>
      <c r="G588" s="341"/>
      <c r="H588" s="194"/>
      <c r="J588" s="419"/>
      <c r="K588" s="419"/>
    </row>
    <row r="589" spans="1:11" x14ac:dyDescent="0.25">
      <c r="A589" s="339"/>
      <c r="B589" s="340"/>
      <c r="C589" s="190"/>
      <c r="D589" s="191"/>
      <c r="E589" s="192"/>
      <c r="F589" s="193"/>
      <c r="G589" s="341"/>
      <c r="H589" s="194"/>
      <c r="J589" s="419"/>
      <c r="K589" s="419"/>
    </row>
    <row r="590" spans="1:11" x14ac:dyDescent="0.25">
      <c r="A590" s="339"/>
      <c r="B590" s="340"/>
      <c r="C590" s="190"/>
      <c r="D590" s="191"/>
      <c r="E590" s="192"/>
      <c r="F590" s="193"/>
      <c r="G590" s="341"/>
      <c r="H590" s="194"/>
      <c r="J590" s="419"/>
      <c r="K590" s="419"/>
    </row>
    <row r="591" spans="1:11" x14ac:dyDescent="0.25">
      <c r="A591" s="339"/>
      <c r="B591" s="340"/>
      <c r="C591" s="190"/>
      <c r="D591" s="191"/>
      <c r="E591" s="192"/>
      <c r="F591" s="193"/>
      <c r="G591" s="341"/>
      <c r="H591" s="194"/>
      <c r="J591" s="419"/>
      <c r="K591" s="419"/>
    </row>
    <row r="592" spans="1:11" x14ac:dyDescent="0.25">
      <c r="A592" s="339"/>
      <c r="B592" s="340"/>
      <c r="C592" s="190"/>
      <c r="D592" s="191"/>
      <c r="E592" s="192"/>
      <c r="F592" s="193"/>
      <c r="G592" s="341"/>
      <c r="H592" s="194"/>
      <c r="J592" s="419"/>
      <c r="K592" s="419"/>
    </row>
    <row r="593" spans="1:11" x14ac:dyDescent="0.25">
      <c r="A593" s="339"/>
      <c r="B593" s="340"/>
      <c r="C593" s="190"/>
      <c r="D593" s="191"/>
      <c r="E593" s="192"/>
      <c r="F593" s="193"/>
      <c r="G593" s="341"/>
      <c r="H593" s="194"/>
      <c r="J593" s="419"/>
      <c r="K593" s="419"/>
    </row>
    <row r="594" spans="1:11" x14ac:dyDescent="0.25">
      <c r="A594" s="339"/>
      <c r="B594" s="340"/>
      <c r="C594" s="190"/>
      <c r="D594" s="191"/>
      <c r="E594" s="192"/>
      <c r="F594" s="193"/>
      <c r="G594" s="341"/>
      <c r="H594" s="194"/>
      <c r="J594" s="419"/>
      <c r="K594" s="419"/>
    </row>
    <row r="595" spans="1:11" x14ac:dyDescent="0.25">
      <c r="A595" s="339"/>
      <c r="B595" s="340"/>
      <c r="C595" s="190"/>
      <c r="D595" s="191"/>
      <c r="E595" s="192"/>
      <c r="F595" s="193"/>
      <c r="G595" s="341"/>
      <c r="H595" s="194"/>
      <c r="J595" s="419"/>
      <c r="K595" s="419"/>
    </row>
    <row r="596" spans="1:11" x14ac:dyDescent="0.25">
      <c r="A596" s="339"/>
      <c r="B596" s="340"/>
      <c r="C596" s="190"/>
      <c r="D596" s="191"/>
      <c r="E596" s="192"/>
      <c r="F596" s="193"/>
      <c r="G596" s="341"/>
      <c r="H596" s="194"/>
      <c r="J596" s="419"/>
      <c r="K596" s="419"/>
    </row>
    <row r="597" spans="1:11" x14ac:dyDescent="0.25">
      <c r="A597" s="339"/>
      <c r="B597" s="340"/>
      <c r="C597" s="190"/>
      <c r="D597" s="191"/>
      <c r="E597" s="192"/>
      <c r="F597" s="193"/>
      <c r="G597" s="341"/>
      <c r="H597" s="194"/>
      <c r="J597" s="419"/>
      <c r="K597" s="419"/>
    </row>
    <row r="598" spans="1:11" x14ac:dyDescent="0.25">
      <c r="A598" s="339"/>
      <c r="B598" s="340"/>
      <c r="C598" s="190"/>
      <c r="D598" s="191"/>
      <c r="E598" s="192"/>
      <c r="F598" s="193"/>
      <c r="G598" s="341"/>
      <c r="H598" s="194"/>
      <c r="J598" s="419"/>
      <c r="K598" s="419"/>
    </row>
    <row r="599" spans="1:11" x14ac:dyDescent="0.25">
      <c r="A599" s="339"/>
      <c r="B599" s="340"/>
      <c r="C599" s="190"/>
      <c r="D599" s="191"/>
      <c r="E599" s="192"/>
      <c r="F599" s="193"/>
      <c r="G599" s="341"/>
      <c r="H599" s="194"/>
      <c r="J599" s="419"/>
      <c r="K599" s="419"/>
    </row>
    <row r="600" spans="1:11" x14ac:dyDescent="0.25">
      <c r="A600" s="339"/>
      <c r="B600" s="340"/>
      <c r="C600" s="190"/>
      <c r="D600" s="191"/>
      <c r="E600" s="192"/>
      <c r="F600" s="193"/>
      <c r="G600" s="341"/>
      <c r="H600" s="194"/>
      <c r="J600" s="419"/>
      <c r="K600" s="419"/>
    </row>
    <row r="601" spans="1:11" x14ac:dyDescent="0.25">
      <c r="A601" s="339"/>
      <c r="B601" s="340"/>
      <c r="C601" s="190"/>
      <c r="D601" s="191"/>
      <c r="E601" s="192"/>
      <c r="F601" s="193"/>
      <c r="G601" s="341"/>
      <c r="H601" s="194"/>
      <c r="J601" s="419"/>
      <c r="K601" s="419"/>
    </row>
    <row r="602" spans="1:11" x14ac:dyDescent="0.25">
      <c r="A602" s="339"/>
      <c r="B602" s="340"/>
      <c r="C602" s="190"/>
      <c r="D602" s="191"/>
      <c r="E602" s="192"/>
      <c r="F602" s="193"/>
      <c r="G602" s="341"/>
      <c r="H602" s="194"/>
      <c r="J602" s="419"/>
      <c r="K602" s="419"/>
    </row>
    <row r="603" spans="1:11" x14ac:dyDescent="0.25">
      <c r="A603" s="339"/>
      <c r="B603" s="340"/>
      <c r="C603" s="190"/>
      <c r="D603" s="191"/>
      <c r="E603" s="192"/>
      <c r="F603" s="193"/>
      <c r="G603" s="341"/>
      <c r="H603" s="194"/>
      <c r="J603" s="419"/>
      <c r="K603" s="419"/>
    </row>
    <row r="604" spans="1:11" x14ac:dyDescent="0.25">
      <c r="A604" s="339"/>
      <c r="B604" s="340"/>
      <c r="C604" s="190"/>
      <c r="D604" s="191"/>
      <c r="E604" s="192"/>
      <c r="F604" s="193"/>
      <c r="G604" s="341"/>
      <c r="H604" s="194"/>
      <c r="J604" s="419"/>
      <c r="K604" s="419"/>
    </row>
    <row r="605" spans="1:11" x14ac:dyDescent="0.25">
      <c r="A605" s="339"/>
      <c r="B605" s="340"/>
      <c r="C605" s="190"/>
      <c r="D605" s="191"/>
      <c r="E605" s="192"/>
      <c r="F605" s="193"/>
      <c r="G605" s="341"/>
      <c r="H605" s="194"/>
      <c r="J605" s="419"/>
      <c r="K605" s="419"/>
    </row>
    <row r="606" spans="1:11" x14ac:dyDescent="0.25">
      <c r="A606" s="339"/>
      <c r="B606" s="340"/>
      <c r="C606" s="190"/>
      <c r="D606" s="191"/>
      <c r="E606" s="192"/>
      <c r="F606" s="193"/>
      <c r="G606" s="341"/>
      <c r="H606" s="194"/>
      <c r="J606" s="419"/>
      <c r="K606" s="419"/>
    </row>
    <row r="607" spans="1:11" x14ac:dyDescent="0.25">
      <c r="A607" s="339"/>
      <c r="B607" s="340"/>
      <c r="C607" s="190"/>
      <c r="D607" s="191"/>
      <c r="E607" s="192"/>
      <c r="F607" s="193"/>
      <c r="G607" s="341"/>
      <c r="H607" s="194"/>
      <c r="J607" s="419"/>
      <c r="K607" s="419"/>
    </row>
    <row r="608" spans="1:11" x14ac:dyDescent="0.25">
      <c r="A608" s="339"/>
      <c r="B608" s="340"/>
      <c r="C608" s="190"/>
      <c r="D608" s="191"/>
      <c r="E608" s="192"/>
      <c r="F608" s="193"/>
      <c r="G608" s="341"/>
      <c r="H608" s="194"/>
      <c r="J608" s="419"/>
      <c r="K608" s="419"/>
    </row>
    <row r="609" spans="1:11" x14ac:dyDescent="0.25">
      <c r="A609" s="339"/>
      <c r="B609" s="340"/>
      <c r="C609" s="190"/>
      <c r="D609" s="191"/>
      <c r="E609" s="192"/>
      <c r="F609" s="193"/>
      <c r="G609" s="341"/>
      <c r="H609" s="194"/>
      <c r="J609" s="419"/>
      <c r="K609" s="419"/>
    </row>
    <row r="610" spans="1:11" x14ac:dyDescent="0.25">
      <c r="A610" s="339"/>
      <c r="B610" s="340"/>
      <c r="C610" s="190"/>
      <c r="D610" s="191"/>
      <c r="E610" s="192"/>
      <c r="F610" s="193"/>
      <c r="G610" s="341"/>
      <c r="H610" s="194"/>
      <c r="J610" s="419"/>
      <c r="K610" s="419"/>
    </row>
    <row r="611" spans="1:11" x14ac:dyDescent="0.25">
      <c r="A611" s="339"/>
      <c r="B611" s="340"/>
      <c r="C611" s="190"/>
      <c r="D611" s="191"/>
      <c r="E611" s="192"/>
      <c r="F611" s="193"/>
      <c r="G611" s="341"/>
      <c r="H611" s="194"/>
      <c r="J611" s="419"/>
      <c r="K611" s="419"/>
    </row>
    <row r="612" spans="1:11" x14ac:dyDescent="0.25">
      <c r="A612" s="339"/>
      <c r="B612" s="340"/>
      <c r="C612" s="190"/>
      <c r="D612" s="191"/>
      <c r="E612" s="192"/>
      <c r="F612" s="193"/>
      <c r="G612" s="341"/>
      <c r="H612" s="194"/>
    </row>
    <row r="613" spans="1:11" x14ac:dyDescent="0.25">
      <c r="A613" s="339"/>
      <c r="B613" s="340"/>
      <c r="C613" s="190"/>
      <c r="D613" s="191"/>
      <c r="E613" s="192"/>
      <c r="F613" s="193"/>
      <c r="G613" s="341"/>
      <c r="H613" s="194"/>
    </row>
    <row r="614" spans="1:11" x14ac:dyDescent="0.25">
      <c r="A614" s="339"/>
      <c r="B614" s="340"/>
      <c r="C614" s="190"/>
      <c r="D614" s="191"/>
      <c r="E614" s="192"/>
      <c r="F614" s="193"/>
      <c r="G614" s="341"/>
      <c r="H614" s="194"/>
    </row>
    <row r="615" spans="1:11" x14ac:dyDescent="0.25">
      <c r="A615" s="339"/>
      <c r="B615" s="340"/>
      <c r="C615" s="190"/>
      <c r="D615" s="191"/>
      <c r="E615" s="192"/>
      <c r="F615" s="193"/>
      <c r="G615" s="341"/>
      <c r="H615" s="194"/>
    </row>
    <row r="616" spans="1:11" x14ac:dyDescent="0.25">
      <c r="A616" s="339"/>
      <c r="B616" s="340"/>
      <c r="C616" s="190"/>
      <c r="D616" s="191"/>
      <c r="E616" s="192"/>
      <c r="F616" s="193"/>
      <c r="G616" s="341"/>
      <c r="H616" s="194"/>
    </row>
    <row r="617" spans="1:11" x14ac:dyDescent="0.25">
      <c r="A617" s="339"/>
      <c r="B617" s="340"/>
      <c r="C617" s="190"/>
      <c r="D617" s="191"/>
      <c r="E617" s="192"/>
      <c r="F617" s="193"/>
      <c r="G617" s="341"/>
      <c r="H617" s="194"/>
    </row>
    <row r="618" spans="1:11" x14ac:dyDescent="0.25">
      <c r="A618" s="339"/>
      <c r="B618" s="340"/>
      <c r="C618" s="190"/>
      <c r="D618" s="191"/>
      <c r="E618" s="192"/>
      <c r="F618" s="193"/>
      <c r="G618" s="341"/>
      <c r="H618" s="194"/>
    </row>
    <row r="619" spans="1:11" x14ac:dyDescent="0.25">
      <c r="A619" s="339"/>
      <c r="B619" s="340"/>
      <c r="C619" s="190"/>
      <c r="D619" s="191"/>
      <c r="E619" s="192"/>
      <c r="F619" s="193"/>
      <c r="G619" s="341"/>
      <c r="H619" s="194"/>
    </row>
    <row r="620" spans="1:11" x14ac:dyDescent="0.25">
      <c r="A620" s="339"/>
      <c r="B620" s="340"/>
      <c r="C620" s="190"/>
      <c r="D620" s="191"/>
      <c r="E620" s="192"/>
      <c r="F620" s="193"/>
      <c r="G620" s="341"/>
      <c r="H620" s="194"/>
    </row>
    <row r="621" spans="1:11" x14ac:dyDescent="0.25">
      <c r="A621" s="339"/>
      <c r="B621" s="340"/>
      <c r="C621" s="190"/>
      <c r="D621" s="191"/>
      <c r="E621" s="192"/>
      <c r="F621" s="193"/>
      <c r="G621" s="341"/>
      <c r="H621" s="194"/>
    </row>
    <row r="622" spans="1:11" x14ac:dyDescent="0.25">
      <c r="A622" s="339"/>
      <c r="B622" s="340"/>
      <c r="C622" s="190"/>
      <c r="D622" s="191"/>
      <c r="E622" s="192"/>
      <c r="F622" s="193"/>
      <c r="G622" s="341"/>
      <c r="H622" s="194"/>
    </row>
    <row r="623" spans="1:11" x14ac:dyDescent="0.25">
      <c r="A623" s="339"/>
      <c r="B623" s="340"/>
      <c r="C623" s="190"/>
      <c r="D623" s="191"/>
      <c r="E623" s="192"/>
      <c r="F623" s="193"/>
      <c r="G623" s="341"/>
      <c r="H623" s="194"/>
    </row>
    <row r="624" spans="1:11" x14ac:dyDescent="0.25">
      <c r="A624" s="339"/>
      <c r="B624" s="340"/>
      <c r="C624" s="190"/>
      <c r="D624" s="191"/>
      <c r="E624" s="192"/>
      <c r="F624" s="193"/>
      <c r="G624" s="341"/>
      <c r="H624" s="194"/>
    </row>
    <row r="625" spans="1:8" x14ac:dyDescent="0.25">
      <c r="A625" s="339"/>
      <c r="B625" s="340"/>
      <c r="C625" s="190"/>
      <c r="D625" s="191"/>
      <c r="E625" s="192"/>
      <c r="F625" s="193"/>
      <c r="G625" s="341"/>
      <c r="H625" s="194"/>
    </row>
    <row r="626" spans="1:8" x14ac:dyDescent="0.25">
      <c r="A626" s="339"/>
      <c r="B626" s="340"/>
      <c r="C626" s="190"/>
      <c r="D626" s="191"/>
      <c r="E626" s="192"/>
      <c r="F626" s="193"/>
      <c r="G626" s="341"/>
      <c r="H626" s="194"/>
    </row>
    <row r="627" spans="1:8" x14ac:dyDescent="0.25">
      <c r="A627" s="339"/>
      <c r="B627" s="340"/>
      <c r="C627" s="190"/>
      <c r="D627" s="191"/>
      <c r="E627" s="192"/>
      <c r="F627" s="193"/>
      <c r="G627" s="341"/>
      <c r="H627" s="194"/>
    </row>
    <row r="628" spans="1:8" x14ac:dyDescent="0.25">
      <c r="A628" s="339"/>
      <c r="B628" s="340"/>
      <c r="C628" s="190"/>
      <c r="D628" s="191"/>
      <c r="E628" s="192"/>
      <c r="F628" s="193"/>
      <c r="G628" s="341"/>
      <c r="H628" s="194"/>
    </row>
    <row r="629" spans="1:8" x14ac:dyDescent="0.25">
      <c r="A629" s="339"/>
      <c r="B629" s="340"/>
      <c r="C629" s="190"/>
      <c r="D629" s="191"/>
      <c r="E629" s="192"/>
      <c r="F629" s="193"/>
      <c r="G629" s="341"/>
      <c r="H629" s="194"/>
    </row>
    <row r="630" spans="1:8" x14ac:dyDescent="0.25">
      <c r="A630" s="339"/>
      <c r="B630" s="340"/>
      <c r="C630" s="190"/>
      <c r="D630" s="191"/>
      <c r="E630" s="192"/>
      <c r="F630" s="193"/>
      <c r="G630" s="341"/>
      <c r="H630" s="194"/>
    </row>
    <row r="631" spans="1:8" x14ac:dyDescent="0.25">
      <c r="A631" s="339"/>
      <c r="B631" s="340"/>
      <c r="C631" s="190"/>
      <c r="D631" s="191"/>
      <c r="E631" s="192"/>
      <c r="F631" s="193"/>
      <c r="G631" s="341"/>
      <c r="H631" s="194"/>
    </row>
    <row r="632" spans="1:8" x14ac:dyDescent="0.25">
      <c r="A632" s="339"/>
      <c r="B632" s="340"/>
      <c r="C632" s="190"/>
      <c r="D632" s="191"/>
      <c r="E632" s="192"/>
      <c r="F632" s="193"/>
      <c r="G632" s="341"/>
      <c r="H632" s="194"/>
    </row>
    <row r="633" spans="1:8" x14ac:dyDescent="0.25">
      <c r="A633" s="339"/>
      <c r="B633" s="340"/>
      <c r="C633" s="190"/>
      <c r="D633" s="191"/>
      <c r="E633" s="192"/>
      <c r="F633" s="193"/>
      <c r="G633" s="341"/>
      <c r="H633" s="194"/>
    </row>
    <row r="634" spans="1:8" x14ac:dyDescent="0.25">
      <c r="A634" s="339"/>
      <c r="B634" s="340"/>
      <c r="C634" s="190"/>
      <c r="D634" s="191"/>
      <c r="E634" s="192"/>
      <c r="F634" s="193"/>
      <c r="G634" s="341"/>
      <c r="H634" s="194"/>
    </row>
    <row r="635" spans="1:8" x14ac:dyDescent="0.25">
      <c r="A635" s="339"/>
      <c r="B635" s="340"/>
      <c r="C635" s="190"/>
      <c r="D635" s="191"/>
      <c r="E635" s="192"/>
      <c r="F635" s="193"/>
      <c r="G635" s="341"/>
      <c r="H635" s="194"/>
    </row>
    <row r="636" spans="1:8" x14ac:dyDescent="0.25">
      <c r="A636" s="339"/>
      <c r="B636" s="340"/>
      <c r="C636" s="190"/>
      <c r="D636" s="191"/>
      <c r="E636" s="192"/>
      <c r="F636" s="193"/>
      <c r="G636" s="341"/>
      <c r="H636" s="194"/>
    </row>
    <row r="637" spans="1:8" x14ac:dyDescent="0.25">
      <c r="A637" s="339"/>
      <c r="B637" s="340"/>
      <c r="C637" s="190"/>
      <c r="D637" s="191"/>
      <c r="E637" s="192"/>
      <c r="F637" s="193"/>
      <c r="G637" s="341"/>
      <c r="H637" s="194"/>
    </row>
    <row r="638" spans="1:8" x14ac:dyDescent="0.25">
      <c r="A638" s="339"/>
      <c r="B638" s="340"/>
      <c r="C638" s="190"/>
      <c r="D638" s="191"/>
      <c r="E638" s="192"/>
      <c r="F638" s="193"/>
      <c r="G638" s="341"/>
      <c r="H638" s="194"/>
    </row>
    <row r="639" spans="1:8" x14ac:dyDescent="0.25">
      <c r="A639" s="339"/>
      <c r="B639" s="340"/>
      <c r="C639" s="190"/>
      <c r="D639" s="191"/>
      <c r="E639" s="192"/>
      <c r="F639" s="193"/>
      <c r="G639" s="341"/>
      <c r="H639" s="194"/>
    </row>
    <row r="640" spans="1:8" x14ac:dyDescent="0.25">
      <c r="A640" s="339"/>
      <c r="B640" s="340"/>
      <c r="C640" s="190"/>
      <c r="D640" s="191"/>
      <c r="E640" s="192"/>
      <c r="F640" s="193"/>
      <c r="G640" s="341"/>
      <c r="H640" s="194"/>
    </row>
    <row r="641" spans="1:8" x14ac:dyDescent="0.25">
      <c r="A641" s="339"/>
      <c r="B641" s="340"/>
      <c r="C641" s="190"/>
      <c r="D641" s="191"/>
      <c r="E641" s="192"/>
      <c r="F641" s="193"/>
      <c r="G641" s="341"/>
      <c r="H641" s="194"/>
    </row>
    <row r="642" spans="1:8" x14ac:dyDescent="0.25">
      <c r="A642" s="339"/>
      <c r="B642" s="340"/>
      <c r="C642" s="190"/>
      <c r="D642" s="191"/>
      <c r="E642" s="192"/>
      <c r="F642" s="193"/>
      <c r="G642" s="341"/>
      <c r="H642" s="194"/>
    </row>
    <row r="643" spans="1:8" x14ac:dyDescent="0.25">
      <c r="A643" s="339"/>
      <c r="B643" s="340"/>
      <c r="C643" s="190"/>
      <c r="D643" s="191"/>
      <c r="E643" s="192"/>
      <c r="F643" s="193"/>
      <c r="G643" s="341"/>
      <c r="H643" s="194"/>
    </row>
    <row r="644" spans="1:8" x14ac:dyDescent="0.25">
      <c r="A644" s="339"/>
      <c r="B644" s="340"/>
      <c r="C644" s="190"/>
      <c r="D644" s="191"/>
      <c r="E644" s="192"/>
      <c r="F644" s="193"/>
      <c r="G644" s="341"/>
      <c r="H644" s="194"/>
    </row>
    <row r="645" spans="1:8" x14ac:dyDescent="0.25">
      <c r="A645" s="339"/>
      <c r="B645" s="340"/>
      <c r="C645" s="190"/>
      <c r="D645" s="191"/>
      <c r="E645" s="192"/>
      <c r="F645" s="193"/>
      <c r="G645" s="341"/>
      <c r="H645" s="194"/>
    </row>
    <row r="646" spans="1:8" x14ac:dyDescent="0.25">
      <c r="A646" s="339"/>
      <c r="B646" s="340"/>
      <c r="C646" s="190"/>
      <c r="D646" s="191"/>
      <c r="E646" s="192"/>
      <c r="F646" s="193"/>
      <c r="G646" s="341"/>
      <c r="H646" s="194"/>
    </row>
    <row r="647" spans="1:8" x14ac:dyDescent="0.25">
      <c r="A647" s="339"/>
      <c r="B647" s="340"/>
      <c r="C647" s="190"/>
      <c r="D647" s="191"/>
      <c r="E647" s="192"/>
      <c r="F647" s="193"/>
      <c r="G647" s="341"/>
      <c r="H647" s="194"/>
    </row>
    <row r="648" spans="1:8" x14ac:dyDescent="0.25">
      <c r="A648" s="339"/>
      <c r="B648" s="340"/>
      <c r="C648" s="190"/>
      <c r="D648" s="191"/>
      <c r="E648" s="192"/>
      <c r="F648" s="193"/>
      <c r="G648" s="341"/>
      <c r="H648" s="194"/>
    </row>
    <row r="649" spans="1:8" x14ac:dyDescent="0.25">
      <c r="A649" s="339"/>
      <c r="B649" s="340"/>
      <c r="C649" s="190"/>
      <c r="D649" s="191"/>
      <c r="E649" s="192"/>
      <c r="F649" s="193"/>
      <c r="G649" s="341"/>
      <c r="H649" s="194"/>
    </row>
    <row r="650" spans="1:8" x14ac:dyDescent="0.25">
      <c r="A650" s="339"/>
      <c r="B650" s="340"/>
      <c r="C650" s="190"/>
      <c r="D650" s="191"/>
      <c r="E650" s="192"/>
      <c r="F650" s="193"/>
      <c r="G650" s="341"/>
      <c r="H650" s="194"/>
    </row>
    <row r="651" spans="1:8" x14ac:dyDescent="0.25">
      <c r="A651" s="339"/>
      <c r="B651" s="340"/>
      <c r="C651" s="190"/>
      <c r="D651" s="191"/>
      <c r="E651" s="192"/>
      <c r="F651" s="193"/>
      <c r="G651" s="341"/>
      <c r="H651" s="194"/>
    </row>
    <row r="652" spans="1:8" x14ac:dyDescent="0.25">
      <c r="A652" s="339"/>
      <c r="B652" s="340"/>
      <c r="C652" s="190"/>
      <c r="D652" s="191"/>
      <c r="E652" s="192"/>
      <c r="F652" s="193"/>
      <c r="G652" s="341"/>
      <c r="H652" s="194"/>
    </row>
    <row r="653" spans="1:8" x14ac:dyDescent="0.25">
      <c r="A653" s="339"/>
      <c r="B653" s="340"/>
      <c r="C653" s="190"/>
      <c r="D653" s="191"/>
      <c r="E653" s="192"/>
      <c r="F653" s="193"/>
      <c r="G653" s="341"/>
      <c r="H653" s="194"/>
    </row>
    <row r="654" spans="1:8" x14ac:dyDescent="0.25">
      <c r="A654" s="339"/>
      <c r="B654" s="340"/>
      <c r="C654" s="190"/>
      <c r="D654" s="191"/>
      <c r="E654" s="192"/>
      <c r="F654" s="193"/>
      <c r="G654" s="341"/>
      <c r="H654" s="194"/>
    </row>
    <row r="655" spans="1:8" x14ac:dyDescent="0.25">
      <c r="A655" s="339"/>
      <c r="B655" s="340"/>
      <c r="C655" s="190"/>
      <c r="D655" s="191"/>
      <c r="E655" s="192"/>
      <c r="F655" s="193"/>
      <c r="G655" s="341"/>
      <c r="H655" s="194"/>
    </row>
    <row r="656" spans="1:8" x14ac:dyDescent="0.25">
      <c r="A656" s="339"/>
      <c r="B656" s="340"/>
      <c r="C656" s="190"/>
      <c r="D656" s="191"/>
      <c r="E656" s="192"/>
      <c r="F656" s="193"/>
      <c r="G656" s="341"/>
      <c r="H656" s="194"/>
    </row>
    <row r="657" spans="1:8" x14ac:dyDescent="0.25">
      <c r="A657" s="339"/>
      <c r="B657" s="340"/>
      <c r="C657" s="190"/>
      <c r="D657" s="191"/>
      <c r="E657" s="192"/>
      <c r="F657" s="193"/>
      <c r="G657" s="341"/>
      <c r="H657" s="194"/>
    </row>
    <row r="658" spans="1:8" x14ac:dyDescent="0.25">
      <c r="A658" s="339"/>
      <c r="B658" s="340"/>
      <c r="C658" s="190"/>
      <c r="D658" s="191"/>
      <c r="E658" s="192"/>
      <c r="F658" s="193"/>
      <c r="G658" s="341"/>
      <c r="H658" s="194"/>
    </row>
    <row r="659" spans="1:8" x14ac:dyDescent="0.25">
      <c r="A659" s="339"/>
      <c r="B659" s="340"/>
      <c r="C659" s="190"/>
      <c r="D659" s="191"/>
      <c r="E659" s="192"/>
      <c r="F659" s="193"/>
      <c r="G659" s="341"/>
      <c r="H659" s="194"/>
    </row>
    <row r="660" spans="1:8" x14ac:dyDescent="0.25">
      <c r="A660" s="339"/>
      <c r="B660" s="340"/>
      <c r="C660" s="190"/>
      <c r="D660" s="191"/>
      <c r="E660" s="192"/>
      <c r="F660" s="193"/>
      <c r="G660" s="341"/>
      <c r="H660" s="194"/>
    </row>
    <row r="661" spans="1:8" x14ac:dyDescent="0.25">
      <c r="A661" s="339"/>
      <c r="B661" s="340"/>
      <c r="C661" s="190"/>
      <c r="D661" s="191"/>
      <c r="E661" s="192"/>
      <c r="F661" s="193"/>
      <c r="G661" s="341"/>
      <c r="H661" s="194"/>
    </row>
    <row r="662" spans="1:8" x14ac:dyDescent="0.25">
      <c r="A662" s="339"/>
      <c r="B662" s="340"/>
      <c r="C662" s="190"/>
      <c r="D662" s="191"/>
      <c r="E662" s="192"/>
      <c r="F662" s="193"/>
      <c r="G662" s="341"/>
      <c r="H662" s="194"/>
    </row>
    <row r="663" spans="1:8" x14ac:dyDescent="0.25">
      <c r="A663" s="339"/>
      <c r="B663" s="340"/>
      <c r="C663" s="190"/>
      <c r="D663" s="191"/>
      <c r="E663" s="192"/>
      <c r="F663" s="193"/>
      <c r="G663" s="341"/>
      <c r="H663" s="194"/>
    </row>
    <row r="664" spans="1:8" x14ac:dyDescent="0.25">
      <c r="A664" s="339"/>
      <c r="B664" s="340"/>
      <c r="C664" s="190"/>
      <c r="D664" s="191"/>
      <c r="E664" s="192"/>
      <c r="F664" s="193"/>
      <c r="G664" s="341"/>
      <c r="H664" s="194"/>
    </row>
    <row r="665" spans="1:8" x14ac:dyDescent="0.25">
      <c r="A665" s="339"/>
      <c r="B665" s="340"/>
      <c r="C665" s="190"/>
      <c r="D665" s="191"/>
      <c r="E665" s="192"/>
      <c r="F665" s="193"/>
      <c r="G665" s="341"/>
      <c r="H665" s="194"/>
    </row>
    <row r="666" spans="1:8" x14ac:dyDescent="0.25">
      <c r="A666" s="339"/>
      <c r="B666" s="340"/>
      <c r="C666" s="190"/>
      <c r="D666" s="191"/>
      <c r="E666" s="192"/>
      <c r="F666" s="193"/>
      <c r="G666" s="341"/>
      <c r="H666" s="194"/>
    </row>
    <row r="667" spans="1:8" x14ac:dyDescent="0.25">
      <c r="A667" s="339"/>
      <c r="B667" s="340"/>
      <c r="C667" s="190"/>
      <c r="D667" s="191"/>
      <c r="E667" s="192"/>
      <c r="F667" s="193"/>
      <c r="G667" s="341"/>
      <c r="H667" s="194"/>
    </row>
    <row r="668" spans="1:8" x14ac:dyDescent="0.25">
      <c r="A668" s="339"/>
      <c r="B668" s="340"/>
      <c r="C668" s="190"/>
      <c r="D668" s="191"/>
      <c r="E668" s="192"/>
      <c r="F668" s="193"/>
      <c r="G668" s="341"/>
      <c r="H668" s="194"/>
    </row>
    <row r="669" spans="1:8" x14ac:dyDescent="0.25">
      <c r="A669" s="339"/>
      <c r="B669" s="340"/>
      <c r="C669" s="190"/>
      <c r="D669" s="191"/>
      <c r="E669" s="192"/>
      <c r="F669" s="193"/>
      <c r="G669" s="341"/>
      <c r="H669" s="194"/>
    </row>
    <row r="670" spans="1:8" x14ac:dyDescent="0.25">
      <c r="A670" s="339"/>
      <c r="B670" s="340"/>
      <c r="C670" s="190"/>
      <c r="D670" s="191"/>
      <c r="E670" s="192"/>
      <c r="F670" s="193"/>
      <c r="G670" s="341"/>
      <c r="H670" s="194"/>
    </row>
    <row r="671" spans="1:8" x14ac:dyDescent="0.25">
      <c r="A671" s="339"/>
      <c r="B671" s="340"/>
      <c r="C671" s="190"/>
      <c r="D671" s="191"/>
      <c r="E671" s="192"/>
      <c r="F671" s="193"/>
      <c r="G671" s="341"/>
      <c r="H671" s="194"/>
    </row>
    <row r="672" spans="1:8" x14ac:dyDescent="0.25">
      <c r="A672" s="339"/>
      <c r="B672" s="340"/>
      <c r="C672" s="190"/>
      <c r="D672" s="191"/>
      <c r="E672" s="192"/>
      <c r="F672" s="193"/>
      <c r="G672" s="341"/>
      <c r="H672" s="194"/>
    </row>
    <row r="673" spans="1:8" x14ac:dyDescent="0.25">
      <c r="A673" s="339"/>
      <c r="B673" s="340"/>
      <c r="C673" s="190"/>
      <c r="D673" s="191"/>
      <c r="E673" s="192"/>
      <c r="F673" s="193"/>
      <c r="G673" s="341"/>
      <c r="H673" s="194"/>
    </row>
    <row r="674" spans="1:8" x14ac:dyDescent="0.25">
      <c r="A674" s="339"/>
      <c r="B674" s="340"/>
      <c r="C674" s="190"/>
      <c r="D674" s="191"/>
      <c r="E674" s="192"/>
      <c r="F674" s="193"/>
      <c r="G674" s="341"/>
      <c r="H674" s="194"/>
    </row>
    <row r="675" spans="1:8" x14ac:dyDescent="0.25">
      <c r="A675" s="339"/>
      <c r="B675" s="340"/>
      <c r="C675" s="190"/>
      <c r="D675" s="191"/>
      <c r="E675" s="192"/>
      <c r="F675" s="193"/>
      <c r="G675" s="341"/>
      <c r="H675" s="194"/>
    </row>
    <row r="676" spans="1:8" x14ac:dyDescent="0.25">
      <c r="A676" s="339"/>
      <c r="B676" s="340"/>
      <c r="C676" s="190"/>
      <c r="D676" s="191"/>
      <c r="E676" s="192"/>
      <c r="F676" s="193"/>
      <c r="G676" s="341"/>
      <c r="H676" s="194"/>
    </row>
    <row r="677" spans="1:8" x14ac:dyDescent="0.25">
      <c r="A677" s="339"/>
      <c r="B677" s="340"/>
      <c r="C677" s="190"/>
      <c r="D677" s="191"/>
      <c r="E677" s="192"/>
      <c r="F677" s="193"/>
      <c r="G677" s="341"/>
      <c r="H677" s="194"/>
    </row>
    <row r="678" spans="1:8" x14ac:dyDescent="0.25">
      <c r="A678" s="339"/>
      <c r="B678" s="340"/>
      <c r="C678" s="190"/>
      <c r="D678" s="191"/>
      <c r="E678" s="192"/>
      <c r="F678" s="193"/>
      <c r="G678" s="341"/>
      <c r="H678" s="194"/>
    </row>
    <row r="679" spans="1:8" x14ac:dyDescent="0.25">
      <c r="A679" s="339"/>
      <c r="B679" s="340"/>
      <c r="C679" s="190"/>
      <c r="D679" s="191"/>
      <c r="E679" s="192"/>
      <c r="F679" s="193"/>
      <c r="G679" s="341"/>
      <c r="H679" s="194"/>
    </row>
    <row r="680" spans="1:8" x14ac:dyDescent="0.25">
      <c r="A680" s="339"/>
      <c r="B680" s="340"/>
      <c r="C680" s="190"/>
      <c r="D680" s="191"/>
      <c r="E680" s="192"/>
      <c r="F680" s="193"/>
      <c r="G680" s="341"/>
      <c r="H680" s="194"/>
    </row>
    <row r="681" spans="1:8" x14ac:dyDescent="0.25">
      <c r="A681" s="339"/>
      <c r="B681" s="340"/>
      <c r="C681" s="190"/>
      <c r="D681" s="191"/>
      <c r="E681" s="192"/>
      <c r="F681" s="193"/>
      <c r="G681" s="341"/>
      <c r="H681" s="194"/>
    </row>
    <row r="682" spans="1:8" x14ac:dyDescent="0.25">
      <c r="A682" s="339"/>
      <c r="B682" s="340"/>
      <c r="C682" s="190"/>
      <c r="D682" s="191"/>
      <c r="E682" s="192"/>
      <c r="F682" s="193"/>
      <c r="G682" s="341"/>
      <c r="H682" s="194"/>
    </row>
    <row r="683" spans="1:8" x14ac:dyDescent="0.25">
      <c r="A683" s="339"/>
      <c r="B683" s="340"/>
      <c r="C683" s="190"/>
      <c r="D683" s="191"/>
      <c r="E683" s="192"/>
      <c r="F683" s="193"/>
      <c r="G683" s="341"/>
      <c r="H683" s="194"/>
    </row>
    <row r="684" spans="1:8" x14ac:dyDescent="0.25">
      <c r="A684" s="339"/>
      <c r="B684" s="340"/>
      <c r="C684" s="190"/>
      <c r="D684" s="191"/>
      <c r="E684" s="192"/>
      <c r="F684" s="193"/>
      <c r="G684" s="341"/>
      <c r="H684" s="194"/>
    </row>
    <row r="685" spans="1:8" x14ac:dyDescent="0.25">
      <c r="A685" s="339"/>
      <c r="B685" s="340"/>
      <c r="C685" s="190"/>
      <c r="D685" s="191"/>
      <c r="E685" s="192"/>
      <c r="F685" s="193"/>
      <c r="G685" s="341"/>
      <c r="H685" s="194"/>
    </row>
    <row r="686" spans="1:8" x14ac:dyDescent="0.25">
      <c r="A686" s="339"/>
      <c r="B686" s="340"/>
      <c r="C686" s="190"/>
      <c r="D686" s="191"/>
      <c r="E686" s="192"/>
      <c r="F686" s="193"/>
      <c r="G686" s="341"/>
      <c r="H686" s="194"/>
    </row>
    <row r="687" spans="1:8" x14ac:dyDescent="0.25">
      <c r="A687" s="339"/>
      <c r="B687" s="340"/>
      <c r="C687" s="190"/>
      <c r="D687" s="191"/>
      <c r="E687" s="192"/>
      <c r="F687" s="193"/>
      <c r="G687" s="341"/>
      <c r="H687" s="194"/>
    </row>
    <row r="688" spans="1:8" x14ac:dyDescent="0.25">
      <c r="A688" s="339"/>
      <c r="B688" s="340"/>
      <c r="C688" s="190"/>
      <c r="D688" s="191"/>
      <c r="E688" s="192"/>
      <c r="F688" s="193"/>
      <c r="G688" s="341"/>
      <c r="H688" s="194"/>
    </row>
    <row r="689" spans="1:8" x14ac:dyDescent="0.25">
      <c r="A689" s="339"/>
      <c r="B689" s="340"/>
      <c r="C689" s="190"/>
      <c r="D689" s="191"/>
      <c r="E689" s="192"/>
      <c r="F689" s="193"/>
      <c r="G689" s="341"/>
      <c r="H689" s="194"/>
    </row>
    <row r="690" spans="1:8" x14ac:dyDescent="0.25">
      <c r="A690" s="339"/>
      <c r="B690" s="340"/>
      <c r="C690" s="190"/>
      <c r="D690" s="191"/>
      <c r="E690" s="192"/>
      <c r="F690" s="193"/>
      <c r="G690" s="341"/>
      <c r="H690" s="194"/>
    </row>
    <row r="691" spans="1:8" x14ac:dyDescent="0.25">
      <c r="A691" s="339"/>
      <c r="B691" s="340"/>
      <c r="C691" s="190"/>
      <c r="D691" s="191"/>
      <c r="E691" s="192"/>
      <c r="F691" s="193"/>
      <c r="G691" s="341"/>
      <c r="H691" s="194"/>
    </row>
    <row r="692" spans="1:8" x14ac:dyDescent="0.25">
      <c r="A692" s="339"/>
      <c r="B692" s="340"/>
      <c r="C692" s="190"/>
      <c r="D692" s="191"/>
      <c r="E692" s="192"/>
      <c r="F692" s="193"/>
      <c r="G692" s="341"/>
      <c r="H692" s="194"/>
    </row>
    <row r="693" spans="1:8" x14ac:dyDescent="0.25">
      <c r="A693" s="339"/>
      <c r="B693" s="340"/>
      <c r="C693" s="190"/>
      <c r="D693" s="191"/>
      <c r="E693" s="192"/>
      <c r="F693" s="193"/>
      <c r="G693" s="341"/>
      <c r="H693" s="194"/>
    </row>
    <row r="694" spans="1:8" x14ac:dyDescent="0.25">
      <c r="A694" s="339"/>
      <c r="B694" s="340"/>
      <c r="C694" s="190"/>
      <c r="D694" s="191"/>
      <c r="E694" s="192"/>
      <c r="F694" s="193"/>
      <c r="G694" s="341"/>
      <c r="H694" s="194"/>
    </row>
    <row r="695" spans="1:8" x14ac:dyDescent="0.25">
      <c r="A695" s="339"/>
      <c r="B695" s="340"/>
      <c r="C695" s="190"/>
      <c r="D695" s="191"/>
      <c r="E695" s="192"/>
      <c r="F695" s="193"/>
      <c r="G695" s="341"/>
      <c r="H695" s="194"/>
    </row>
    <row r="696" spans="1:8" x14ac:dyDescent="0.25">
      <c r="A696" s="339"/>
      <c r="B696" s="340"/>
      <c r="C696" s="190"/>
      <c r="D696" s="191"/>
      <c r="E696" s="192"/>
      <c r="F696" s="193"/>
      <c r="G696" s="341"/>
      <c r="H696" s="194"/>
    </row>
    <row r="697" spans="1:8" x14ac:dyDescent="0.25">
      <c r="A697" s="339"/>
      <c r="B697" s="340"/>
      <c r="C697" s="190"/>
      <c r="D697" s="191"/>
      <c r="E697" s="192"/>
      <c r="F697" s="193"/>
      <c r="G697" s="341"/>
      <c r="H697" s="194"/>
    </row>
    <row r="698" spans="1:8" x14ac:dyDescent="0.25">
      <c r="A698" s="339"/>
      <c r="B698" s="340"/>
      <c r="C698" s="190"/>
      <c r="D698" s="191"/>
      <c r="E698" s="192"/>
      <c r="F698" s="193"/>
      <c r="G698" s="341"/>
      <c r="H698" s="194"/>
    </row>
    <row r="699" spans="1:8" x14ac:dyDescent="0.25">
      <c r="A699" s="339"/>
      <c r="B699" s="340"/>
      <c r="C699" s="190"/>
      <c r="D699" s="191"/>
      <c r="E699" s="192"/>
      <c r="F699" s="193"/>
      <c r="G699" s="341"/>
      <c r="H699" s="194"/>
    </row>
    <row r="700" spans="1:8" x14ac:dyDescent="0.25">
      <c r="A700" s="339"/>
      <c r="B700" s="340"/>
      <c r="C700" s="190"/>
      <c r="D700" s="191"/>
      <c r="E700" s="192"/>
      <c r="F700" s="193"/>
      <c r="G700" s="341"/>
      <c r="H700" s="194"/>
    </row>
    <row r="701" spans="1:8" x14ac:dyDescent="0.25">
      <c r="A701" s="339"/>
      <c r="B701" s="340"/>
      <c r="C701" s="190"/>
      <c r="D701" s="191"/>
      <c r="E701" s="192"/>
      <c r="F701" s="193"/>
      <c r="G701" s="341"/>
      <c r="H701" s="194"/>
    </row>
    <row r="702" spans="1:8" x14ac:dyDescent="0.25">
      <c r="A702" s="339"/>
      <c r="B702" s="340"/>
      <c r="C702" s="190"/>
      <c r="D702" s="191"/>
      <c r="E702" s="192"/>
      <c r="F702" s="193"/>
      <c r="G702" s="341"/>
      <c r="H702" s="194"/>
    </row>
    <row r="703" spans="1:8" x14ac:dyDescent="0.25">
      <c r="A703" s="339"/>
      <c r="B703" s="340"/>
      <c r="C703" s="190"/>
      <c r="D703" s="191"/>
      <c r="E703" s="192"/>
      <c r="F703" s="193"/>
      <c r="G703" s="341"/>
      <c r="H703" s="194"/>
    </row>
    <row r="704" spans="1:8" x14ac:dyDescent="0.25">
      <c r="A704" s="339"/>
      <c r="B704" s="340"/>
      <c r="C704" s="190"/>
      <c r="D704" s="191"/>
      <c r="E704" s="192"/>
      <c r="F704" s="193"/>
      <c r="G704" s="341"/>
      <c r="H704" s="194"/>
    </row>
    <row r="705" spans="1:8" x14ac:dyDescent="0.25">
      <c r="A705" s="339"/>
      <c r="B705" s="340"/>
      <c r="C705" s="190"/>
      <c r="D705" s="191"/>
      <c r="E705" s="192"/>
      <c r="F705" s="193"/>
      <c r="G705" s="341"/>
      <c r="H705" s="194"/>
    </row>
    <row r="706" spans="1:8" x14ac:dyDescent="0.25">
      <c r="A706" s="339"/>
      <c r="B706" s="340"/>
      <c r="C706" s="190"/>
      <c r="D706" s="191"/>
      <c r="E706" s="192"/>
      <c r="F706" s="193"/>
      <c r="G706" s="341"/>
      <c r="H706" s="194"/>
    </row>
    <row r="707" spans="1:8" x14ac:dyDescent="0.25">
      <c r="A707" s="339"/>
      <c r="B707" s="340"/>
      <c r="C707" s="190"/>
      <c r="D707" s="191"/>
      <c r="E707" s="192"/>
      <c r="F707" s="193"/>
      <c r="G707" s="341"/>
      <c r="H707" s="194"/>
    </row>
    <row r="708" spans="1:8" x14ac:dyDescent="0.25">
      <c r="A708" s="339"/>
      <c r="B708" s="340"/>
      <c r="C708" s="190"/>
      <c r="D708" s="191"/>
      <c r="E708" s="192"/>
      <c r="F708" s="193"/>
      <c r="G708" s="341"/>
      <c r="H708" s="194"/>
    </row>
    <row r="709" spans="1:8" x14ac:dyDescent="0.25">
      <c r="A709" s="339"/>
      <c r="B709" s="340"/>
      <c r="C709" s="190"/>
      <c r="D709" s="191"/>
      <c r="E709" s="192"/>
      <c r="F709" s="193"/>
      <c r="G709" s="341"/>
      <c r="H709" s="194"/>
    </row>
    <row r="710" spans="1:8" x14ac:dyDescent="0.25">
      <c r="A710" s="339"/>
      <c r="B710" s="340"/>
      <c r="C710" s="190"/>
      <c r="D710" s="191"/>
      <c r="E710" s="192"/>
      <c r="F710" s="193"/>
      <c r="G710" s="341"/>
      <c r="H710" s="194"/>
    </row>
    <row r="711" spans="1:8" x14ac:dyDescent="0.25">
      <c r="A711" s="339"/>
      <c r="B711" s="340"/>
      <c r="C711" s="190"/>
      <c r="D711" s="191"/>
      <c r="E711" s="192"/>
      <c r="F711" s="193"/>
      <c r="G711" s="341"/>
      <c r="H711" s="194"/>
    </row>
    <row r="712" spans="1:8" x14ac:dyDescent="0.25">
      <c r="A712" s="339"/>
      <c r="B712" s="340"/>
      <c r="C712" s="190"/>
      <c r="D712" s="191"/>
      <c r="E712" s="192"/>
      <c r="F712" s="193"/>
      <c r="G712" s="341"/>
      <c r="H712" s="194"/>
    </row>
    <row r="713" spans="1:8" x14ac:dyDescent="0.25">
      <c r="A713" s="339"/>
      <c r="B713" s="340"/>
      <c r="C713" s="190"/>
      <c r="D713" s="191"/>
      <c r="E713" s="192"/>
      <c r="F713" s="193"/>
      <c r="G713" s="341"/>
      <c r="H713" s="194"/>
    </row>
    <row r="714" spans="1:8" x14ac:dyDescent="0.25">
      <c r="A714" s="339"/>
      <c r="B714" s="340"/>
      <c r="C714" s="190"/>
      <c r="D714" s="191"/>
      <c r="E714" s="192"/>
      <c r="F714" s="193"/>
      <c r="G714" s="341"/>
      <c r="H714" s="194"/>
    </row>
    <row r="715" spans="1:8" x14ac:dyDescent="0.25">
      <c r="A715" s="339"/>
      <c r="B715" s="340"/>
      <c r="C715" s="190"/>
      <c r="D715" s="191"/>
      <c r="E715" s="192"/>
      <c r="F715" s="193"/>
      <c r="G715" s="341"/>
      <c r="H715" s="194"/>
    </row>
    <row r="716" spans="1:8" x14ac:dyDescent="0.25">
      <c r="A716" s="339"/>
      <c r="B716" s="340"/>
      <c r="C716" s="190"/>
      <c r="D716" s="191"/>
      <c r="E716" s="192"/>
      <c r="F716" s="193"/>
      <c r="G716" s="341"/>
      <c r="H716" s="194"/>
    </row>
    <row r="717" spans="1:8" x14ac:dyDescent="0.25">
      <c r="A717" s="339"/>
      <c r="B717" s="340"/>
      <c r="C717" s="190"/>
      <c r="D717" s="191"/>
      <c r="E717" s="192"/>
      <c r="F717" s="193"/>
      <c r="G717" s="341"/>
      <c r="H717" s="194"/>
    </row>
    <row r="718" spans="1:8" x14ac:dyDescent="0.25">
      <c r="A718" s="339"/>
      <c r="B718" s="340"/>
      <c r="C718" s="190"/>
      <c r="D718" s="191"/>
      <c r="E718" s="192"/>
      <c r="F718" s="193"/>
      <c r="G718" s="341"/>
      <c r="H718" s="194"/>
    </row>
    <row r="719" spans="1:8" x14ac:dyDescent="0.25">
      <c r="A719" s="339"/>
      <c r="B719" s="340"/>
      <c r="C719" s="190"/>
      <c r="D719" s="191"/>
      <c r="E719" s="192"/>
      <c r="F719" s="193"/>
      <c r="G719" s="341"/>
      <c r="H719" s="194"/>
    </row>
    <row r="720" spans="1:8" x14ac:dyDescent="0.25">
      <c r="A720" s="339"/>
      <c r="B720" s="340"/>
      <c r="C720" s="190"/>
      <c r="D720" s="191"/>
      <c r="E720" s="192"/>
      <c r="F720" s="193"/>
      <c r="G720" s="341"/>
      <c r="H720" s="194"/>
    </row>
    <row r="721" spans="1:8" x14ac:dyDescent="0.25">
      <c r="A721" s="339"/>
      <c r="B721" s="340"/>
      <c r="C721" s="190"/>
      <c r="D721" s="191"/>
      <c r="E721" s="192"/>
      <c r="F721" s="193"/>
      <c r="G721" s="341"/>
      <c r="H721" s="194"/>
    </row>
    <row r="722" spans="1:8" x14ac:dyDescent="0.25">
      <c r="A722" s="339"/>
      <c r="B722" s="340"/>
      <c r="C722" s="190"/>
      <c r="D722" s="191"/>
      <c r="E722" s="192"/>
      <c r="F722" s="193"/>
      <c r="G722" s="341"/>
      <c r="H722" s="194"/>
    </row>
    <row r="723" spans="1:8" x14ac:dyDescent="0.25">
      <c r="A723" s="339"/>
      <c r="B723" s="340"/>
      <c r="C723" s="190"/>
      <c r="D723" s="191"/>
      <c r="E723" s="192"/>
      <c r="F723" s="193"/>
      <c r="G723" s="341"/>
      <c r="H723" s="194"/>
    </row>
    <row r="724" spans="1:8" x14ac:dyDescent="0.25">
      <c r="A724" s="339"/>
      <c r="B724" s="340"/>
      <c r="C724" s="190"/>
      <c r="D724" s="191"/>
      <c r="E724" s="192"/>
      <c r="F724" s="193"/>
      <c r="G724" s="341"/>
      <c r="H724" s="194"/>
    </row>
    <row r="725" spans="1:8" x14ac:dyDescent="0.25">
      <c r="A725" s="339"/>
      <c r="B725" s="340"/>
      <c r="C725" s="190"/>
      <c r="D725" s="191"/>
      <c r="E725" s="192"/>
      <c r="F725" s="193"/>
      <c r="G725" s="341"/>
      <c r="H725" s="194"/>
    </row>
    <row r="726" spans="1:8" x14ac:dyDescent="0.25">
      <c r="A726" s="339"/>
      <c r="B726" s="340"/>
      <c r="C726" s="190"/>
      <c r="D726" s="191"/>
      <c r="E726" s="192"/>
      <c r="F726" s="193"/>
      <c r="G726" s="341"/>
      <c r="H726" s="194"/>
    </row>
    <row r="727" spans="1:8" x14ac:dyDescent="0.25">
      <c r="A727" s="339"/>
      <c r="B727" s="340"/>
      <c r="C727" s="190"/>
      <c r="D727" s="191"/>
      <c r="E727" s="192"/>
      <c r="F727" s="193"/>
      <c r="G727" s="341"/>
      <c r="H727" s="194"/>
    </row>
    <row r="728" spans="1:8" x14ac:dyDescent="0.25">
      <c r="A728" s="339"/>
      <c r="B728" s="340"/>
      <c r="C728" s="190"/>
      <c r="D728" s="191"/>
      <c r="E728" s="192"/>
      <c r="F728" s="193"/>
      <c r="G728" s="341"/>
      <c r="H728" s="194"/>
    </row>
    <row r="729" spans="1:8" x14ac:dyDescent="0.25">
      <c r="A729" s="339"/>
      <c r="B729" s="340"/>
      <c r="C729" s="190"/>
      <c r="D729" s="191"/>
      <c r="E729" s="192"/>
      <c r="F729" s="193"/>
      <c r="G729" s="341"/>
      <c r="H729" s="194"/>
    </row>
    <row r="730" spans="1:8" x14ac:dyDescent="0.25">
      <c r="A730" s="339"/>
      <c r="B730" s="340"/>
      <c r="C730" s="190"/>
      <c r="D730" s="191"/>
      <c r="E730" s="192"/>
      <c r="F730" s="193"/>
      <c r="G730" s="341"/>
      <c r="H730" s="194"/>
    </row>
    <row r="731" spans="1:8" x14ac:dyDescent="0.25">
      <c r="A731" s="339"/>
      <c r="B731" s="340"/>
      <c r="C731" s="190"/>
      <c r="D731" s="191"/>
      <c r="E731" s="192"/>
      <c r="F731" s="193"/>
      <c r="G731" s="341"/>
      <c r="H731" s="194"/>
    </row>
    <row r="732" spans="1:8" x14ac:dyDescent="0.25">
      <c r="A732" s="339"/>
      <c r="B732" s="340"/>
      <c r="C732" s="190"/>
      <c r="D732" s="191"/>
      <c r="E732" s="192"/>
      <c r="F732" s="193"/>
      <c r="G732" s="341"/>
      <c r="H732" s="194"/>
    </row>
    <row r="733" spans="1:8" x14ac:dyDescent="0.25">
      <c r="A733" s="339"/>
      <c r="B733" s="340"/>
      <c r="C733" s="190"/>
      <c r="D733" s="191"/>
      <c r="E733" s="192"/>
      <c r="F733" s="193"/>
      <c r="G733" s="341"/>
      <c r="H733" s="194"/>
    </row>
    <row r="734" spans="1:8" x14ac:dyDescent="0.25">
      <c r="A734" s="339"/>
      <c r="B734" s="340"/>
      <c r="C734" s="190"/>
      <c r="D734" s="191"/>
      <c r="E734" s="192"/>
      <c r="F734" s="193"/>
      <c r="G734" s="341"/>
      <c r="H734" s="194"/>
    </row>
    <row r="735" spans="1:8" x14ac:dyDescent="0.25">
      <c r="A735" s="339"/>
      <c r="B735" s="340"/>
      <c r="C735" s="190"/>
      <c r="D735" s="191"/>
      <c r="E735" s="192"/>
      <c r="F735" s="193"/>
      <c r="G735" s="341"/>
      <c r="H735" s="194"/>
    </row>
    <row r="736" spans="1:8" x14ac:dyDescent="0.25">
      <c r="A736" s="339"/>
      <c r="B736" s="340"/>
      <c r="C736" s="190"/>
      <c r="D736" s="191"/>
      <c r="E736" s="192"/>
      <c r="F736" s="193"/>
      <c r="G736" s="341"/>
      <c r="H736" s="194"/>
    </row>
    <row r="737" spans="1:8" x14ac:dyDescent="0.25">
      <c r="A737" s="339"/>
      <c r="B737" s="340"/>
      <c r="C737" s="190"/>
      <c r="D737" s="191"/>
      <c r="E737" s="192"/>
      <c r="F737" s="193"/>
      <c r="G737" s="341"/>
      <c r="H737" s="194"/>
    </row>
    <row r="738" spans="1:8" x14ac:dyDescent="0.25">
      <c r="A738" s="339"/>
      <c r="B738" s="340"/>
      <c r="C738" s="190"/>
      <c r="D738" s="191"/>
      <c r="E738" s="192"/>
      <c r="F738" s="193"/>
      <c r="G738" s="341"/>
      <c r="H738" s="194"/>
    </row>
    <row r="739" spans="1:8" x14ac:dyDescent="0.25">
      <c r="A739" s="339"/>
      <c r="B739" s="340"/>
      <c r="C739" s="190"/>
      <c r="D739" s="191"/>
      <c r="E739" s="192"/>
      <c r="F739" s="193"/>
      <c r="G739" s="341"/>
      <c r="H739" s="194"/>
    </row>
    <row r="740" spans="1:8" x14ac:dyDescent="0.25">
      <c r="A740" s="339"/>
      <c r="B740" s="340"/>
      <c r="C740" s="190"/>
      <c r="D740" s="191"/>
      <c r="E740" s="192"/>
      <c r="F740" s="193"/>
      <c r="G740" s="341"/>
      <c r="H740" s="194"/>
    </row>
    <row r="741" spans="1:8" x14ac:dyDescent="0.25">
      <c r="A741" s="339"/>
      <c r="B741" s="340"/>
      <c r="C741" s="190"/>
      <c r="D741" s="191"/>
      <c r="E741" s="192"/>
      <c r="F741" s="193"/>
      <c r="G741" s="341"/>
      <c r="H741" s="194"/>
    </row>
    <row r="742" spans="1:8" x14ac:dyDescent="0.25">
      <c r="A742" s="339"/>
      <c r="B742" s="340"/>
      <c r="C742" s="190"/>
      <c r="D742" s="191"/>
      <c r="E742" s="192"/>
      <c r="F742" s="193"/>
      <c r="G742" s="341"/>
      <c r="H742" s="194"/>
    </row>
    <row r="743" spans="1:8" x14ac:dyDescent="0.25">
      <c r="A743" s="339"/>
      <c r="B743" s="340"/>
      <c r="C743" s="190"/>
      <c r="D743" s="191"/>
      <c r="E743" s="192"/>
      <c r="F743" s="193"/>
      <c r="G743" s="341"/>
      <c r="H743" s="194"/>
    </row>
    <row r="744" spans="1:8" x14ac:dyDescent="0.25">
      <c r="A744" s="339"/>
      <c r="B744" s="340"/>
      <c r="C744" s="190"/>
      <c r="D744" s="191"/>
      <c r="E744" s="192"/>
      <c r="F744" s="193"/>
      <c r="G744" s="341"/>
      <c r="H744" s="194"/>
    </row>
    <row r="745" spans="1:8" x14ac:dyDescent="0.25">
      <c r="A745" s="339"/>
      <c r="B745" s="340"/>
      <c r="C745" s="190"/>
      <c r="D745" s="191"/>
      <c r="E745" s="192"/>
      <c r="F745" s="193"/>
      <c r="G745" s="341"/>
      <c r="H745" s="194"/>
    </row>
    <row r="746" spans="1:8" x14ac:dyDescent="0.25">
      <c r="A746" s="339"/>
      <c r="B746" s="340"/>
      <c r="C746" s="190"/>
      <c r="D746" s="191"/>
      <c r="E746" s="192"/>
      <c r="F746" s="193"/>
      <c r="G746" s="341"/>
      <c r="H746" s="194"/>
    </row>
    <row r="747" spans="1:8" x14ac:dyDescent="0.25">
      <c r="A747" s="339"/>
      <c r="B747" s="340"/>
      <c r="C747" s="190"/>
      <c r="D747" s="191"/>
      <c r="E747" s="192"/>
      <c r="F747" s="193"/>
      <c r="G747" s="341"/>
      <c r="H747" s="194"/>
    </row>
    <row r="748" spans="1:8" x14ac:dyDescent="0.25">
      <c r="A748" s="339"/>
      <c r="B748" s="340"/>
      <c r="C748" s="190"/>
      <c r="D748" s="191"/>
      <c r="E748" s="192"/>
      <c r="F748" s="193"/>
      <c r="G748" s="341"/>
      <c r="H748" s="194"/>
    </row>
    <row r="749" spans="1:8" x14ac:dyDescent="0.25">
      <c r="A749" s="339"/>
      <c r="B749" s="340"/>
      <c r="C749" s="190"/>
      <c r="D749" s="191"/>
      <c r="E749" s="192"/>
      <c r="F749" s="193"/>
      <c r="G749" s="341"/>
      <c r="H749" s="194"/>
    </row>
    <row r="750" spans="1:8" x14ac:dyDescent="0.25">
      <c r="A750" s="339"/>
      <c r="B750" s="340"/>
      <c r="C750" s="190"/>
      <c r="D750" s="191"/>
      <c r="E750" s="192"/>
      <c r="F750" s="193"/>
      <c r="G750" s="341"/>
      <c r="H750" s="194"/>
    </row>
    <row r="751" spans="1:8" x14ac:dyDescent="0.25">
      <c r="A751" s="339"/>
      <c r="B751" s="340"/>
      <c r="C751" s="190"/>
      <c r="D751" s="191"/>
      <c r="E751" s="192"/>
      <c r="F751" s="193"/>
      <c r="G751" s="341"/>
      <c r="H751" s="194"/>
    </row>
    <row r="752" spans="1:8" x14ac:dyDescent="0.25">
      <c r="A752" s="339"/>
      <c r="B752" s="340"/>
      <c r="C752" s="190"/>
      <c r="D752" s="191"/>
      <c r="E752" s="192"/>
      <c r="F752" s="193"/>
      <c r="G752" s="341"/>
      <c r="H752" s="194"/>
    </row>
    <row r="753" spans="1:8" x14ac:dyDescent="0.25">
      <c r="A753" s="339"/>
      <c r="B753" s="340"/>
      <c r="C753" s="190"/>
      <c r="D753" s="191"/>
      <c r="E753" s="192"/>
      <c r="F753" s="193"/>
      <c r="G753" s="341"/>
      <c r="H753" s="194"/>
    </row>
    <row r="754" spans="1:8" x14ac:dyDescent="0.25">
      <c r="A754" s="339"/>
      <c r="B754" s="340"/>
      <c r="C754" s="190"/>
      <c r="D754" s="191"/>
      <c r="E754" s="192"/>
      <c r="F754" s="193"/>
      <c r="G754" s="341"/>
      <c r="H754" s="194"/>
    </row>
    <row r="755" spans="1:8" x14ac:dyDescent="0.25">
      <c r="A755" s="339"/>
      <c r="B755" s="340"/>
      <c r="C755" s="190"/>
      <c r="D755" s="191"/>
      <c r="E755" s="192"/>
      <c r="F755" s="193"/>
      <c r="G755" s="341"/>
      <c r="H755" s="194"/>
    </row>
    <row r="756" spans="1:8" x14ac:dyDescent="0.25">
      <c r="A756" s="339"/>
      <c r="B756" s="340"/>
      <c r="C756" s="190"/>
      <c r="D756" s="191"/>
      <c r="E756" s="192"/>
      <c r="F756" s="193"/>
      <c r="G756" s="341"/>
      <c r="H756" s="194"/>
    </row>
    <row r="757" spans="1:8" x14ac:dyDescent="0.25">
      <c r="A757" s="339"/>
      <c r="B757" s="340"/>
      <c r="C757" s="190"/>
      <c r="D757" s="191"/>
      <c r="E757" s="192"/>
      <c r="F757" s="193"/>
      <c r="G757" s="341"/>
      <c r="H757" s="194"/>
    </row>
    <row r="758" spans="1:8" x14ac:dyDescent="0.25">
      <c r="A758" s="339"/>
      <c r="B758" s="340"/>
      <c r="C758" s="190"/>
      <c r="D758" s="191"/>
      <c r="E758" s="192"/>
      <c r="F758" s="193"/>
      <c r="G758" s="341"/>
      <c r="H758" s="194"/>
    </row>
    <row r="759" spans="1:8" x14ac:dyDescent="0.25">
      <c r="A759" s="339"/>
      <c r="B759" s="340"/>
      <c r="C759" s="190"/>
      <c r="D759" s="191"/>
      <c r="E759" s="192"/>
      <c r="F759" s="193"/>
      <c r="G759" s="341"/>
      <c r="H759" s="194"/>
    </row>
    <row r="760" spans="1:8" x14ac:dyDescent="0.25">
      <c r="A760" s="339"/>
      <c r="B760" s="340"/>
      <c r="C760" s="190"/>
      <c r="D760" s="191"/>
      <c r="E760" s="192"/>
      <c r="F760" s="193"/>
      <c r="G760" s="341"/>
      <c r="H760" s="194"/>
    </row>
    <row r="761" spans="1:8" x14ac:dyDescent="0.25">
      <c r="A761" s="339"/>
      <c r="B761" s="340"/>
      <c r="C761" s="190"/>
      <c r="D761" s="191"/>
      <c r="E761" s="192"/>
      <c r="F761" s="193"/>
      <c r="G761" s="341"/>
      <c r="H761" s="194"/>
    </row>
    <row r="762" spans="1:8" x14ac:dyDescent="0.25">
      <c r="A762" s="339"/>
      <c r="B762" s="340"/>
      <c r="C762" s="190"/>
      <c r="D762" s="191"/>
      <c r="E762" s="192"/>
      <c r="F762" s="193"/>
      <c r="G762" s="341"/>
      <c r="H762" s="194"/>
    </row>
    <row r="763" spans="1:8" x14ac:dyDescent="0.25">
      <c r="A763" s="339"/>
      <c r="B763" s="340"/>
      <c r="C763" s="190"/>
      <c r="D763" s="191"/>
      <c r="E763" s="192"/>
      <c r="F763" s="193"/>
      <c r="G763" s="341"/>
      <c r="H763" s="194"/>
    </row>
    <row r="764" spans="1:8" x14ac:dyDescent="0.25">
      <c r="A764" s="339"/>
      <c r="B764" s="340"/>
      <c r="C764" s="190"/>
      <c r="D764" s="191"/>
      <c r="E764" s="192"/>
      <c r="F764" s="193"/>
      <c r="G764" s="341"/>
      <c r="H764" s="194"/>
    </row>
    <row r="765" spans="1:8" x14ac:dyDescent="0.25">
      <c r="A765" s="339"/>
      <c r="B765" s="340"/>
      <c r="C765" s="190"/>
      <c r="D765" s="191"/>
      <c r="E765" s="192"/>
      <c r="F765" s="193"/>
      <c r="G765" s="341"/>
      <c r="H765" s="194"/>
    </row>
    <row r="766" spans="1:8" x14ac:dyDescent="0.25">
      <c r="A766" s="339"/>
      <c r="B766" s="340"/>
      <c r="C766" s="190"/>
      <c r="D766" s="191"/>
      <c r="E766" s="192"/>
      <c r="F766" s="193"/>
      <c r="G766" s="341"/>
      <c r="H766" s="194"/>
    </row>
    <row r="767" spans="1:8" x14ac:dyDescent="0.25">
      <c r="A767" s="339"/>
      <c r="B767" s="340"/>
      <c r="C767" s="190"/>
      <c r="D767" s="191"/>
      <c r="E767" s="192"/>
      <c r="F767" s="193"/>
      <c r="G767" s="341"/>
      <c r="H767" s="194"/>
    </row>
    <row r="768" spans="1:8" x14ac:dyDescent="0.25">
      <c r="A768" s="339"/>
      <c r="B768" s="340"/>
      <c r="C768" s="190"/>
      <c r="D768" s="191"/>
      <c r="E768" s="192"/>
      <c r="F768" s="193"/>
      <c r="G768" s="341"/>
      <c r="H768" s="194"/>
    </row>
    <row r="769" spans="1:8" x14ac:dyDescent="0.25">
      <c r="A769" s="339"/>
      <c r="B769" s="340"/>
      <c r="C769" s="190"/>
      <c r="D769" s="191"/>
      <c r="E769" s="192"/>
      <c r="F769" s="193"/>
      <c r="G769" s="341"/>
      <c r="H769" s="194"/>
    </row>
    <row r="770" spans="1:8" x14ac:dyDescent="0.25">
      <c r="A770" s="339"/>
      <c r="B770" s="340"/>
      <c r="C770" s="190"/>
      <c r="D770" s="191"/>
      <c r="E770" s="192"/>
      <c r="F770" s="193"/>
      <c r="G770" s="341"/>
      <c r="H770" s="194"/>
    </row>
    <row r="771" spans="1:8" x14ac:dyDescent="0.25">
      <c r="A771" s="339"/>
      <c r="B771" s="340"/>
      <c r="C771" s="190"/>
      <c r="D771" s="191"/>
      <c r="E771" s="192"/>
      <c r="F771" s="193"/>
      <c r="G771" s="341"/>
      <c r="H771" s="194"/>
    </row>
    <row r="772" spans="1:8" x14ac:dyDescent="0.25">
      <c r="A772" s="339"/>
      <c r="B772" s="340"/>
      <c r="C772" s="190"/>
      <c r="D772" s="191"/>
      <c r="E772" s="192"/>
      <c r="F772" s="193"/>
      <c r="G772" s="341"/>
      <c r="H772" s="194"/>
    </row>
    <row r="773" spans="1:8" x14ac:dyDescent="0.25">
      <c r="A773" s="339"/>
      <c r="B773" s="340"/>
      <c r="C773" s="190"/>
      <c r="D773" s="191"/>
      <c r="E773" s="192"/>
      <c r="F773" s="193"/>
      <c r="G773" s="341"/>
      <c r="H773" s="194"/>
    </row>
    <row r="774" spans="1:8" x14ac:dyDescent="0.25">
      <c r="A774" s="339"/>
      <c r="B774" s="340"/>
      <c r="C774" s="190"/>
      <c r="D774" s="191"/>
      <c r="E774" s="192"/>
      <c r="F774" s="193"/>
      <c r="G774" s="341"/>
      <c r="H774" s="194"/>
    </row>
    <row r="775" spans="1:8" x14ac:dyDescent="0.25">
      <c r="A775" s="339"/>
      <c r="B775" s="340"/>
      <c r="C775" s="190"/>
      <c r="D775" s="191"/>
      <c r="E775" s="192"/>
      <c r="F775" s="193"/>
      <c r="G775" s="341"/>
      <c r="H775" s="194"/>
    </row>
    <row r="776" spans="1:8" x14ac:dyDescent="0.25">
      <c r="A776" s="339"/>
      <c r="B776" s="340"/>
      <c r="C776" s="190"/>
      <c r="D776" s="191"/>
      <c r="E776" s="192"/>
      <c r="F776" s="193"/>
      <c r="G776" s="341"/>
      <c r="H776" s="194"/>
    </row>
    <row r="777" spans="1:8" x14ac:dyDescent="0.25">
      <c r="A777" s="339"/>
      <c r="B777" s="340"/>
      <c r="C777" s="190"/>
      <c r="D777" s="191"/>
      <c r="E777" s="192"/>
      <c r="F777" s="193"/>
      <c r="G777" s="341"/>
      <c r="H777" s="194"/>
    </row>
    <row r="778" spans="1:8" x14ac:dyDescent="0.25">
      <c r="A778" s="339"/>
      <c r="B778" s="340"/>
      <c r="C778" s="190"/>
      <c r="D778" s="191"/>
      <c r="E778" s="192"/>
      <c r="F778" s="193"/>
      <c r="G778" s="341"/>
      <c r="H778" s="194"/>
    </row>
    <row r="779" spans="1:8" x14ac:dyDescent="0.25">
      <c r="A779" s="339"/>
      <c r="B779" s="340"/>
      <c r="C779" s="190"/>
      <c r="D779" s="191"/>
      <c r="E779" s="192"/>
      <c r="F779" s="193"/>
      <c r="G779" s="341"/>
      <c r="H779" s="194"/>
    </row>
    <row r="780" spans="1:8" x14ac:dyDescent="0.25">
      <c r="A780" s="339"/>
      <c r="B780" s="340"/>
      <c r="C780" s="190"/>
      <c r="D780" s="191"/>
      <c r="E780" s="192"/>
      <c r="F780" s="193"/>
      <c r="G780" s="341"/>
      <c r="H780" s="194"/>
    </row>
    <row r="781" spans="1:8" x14ac:dyDescent="0.25">
      <c r="A781" s="339"/>
      <c r="B781" s="340"/>
      <c r="C781" s="190"/>
      <c r="D781" s="191"/>
      <c r="E781" s="192"/>
      <c r="F781" s="193"/>
      <c r="G781" s="341"/>
      <c r="H781" s="194"/>
    </row>
    <row r="782" spans="1:8" x14ac:dyDescent="0.25">
      <c r="A782" s="339"/>
      <c r="B782" s="340"/>
      <c r="C782" s="190"/>
      <c r="D782" s="191"/>
      <c r="E782" s="192"/>
      <c r="F782" s="193"/>
      <c r="G782" s="341"/>
      <c r="H782" s="194"/>
    </row>
    <row r="783" spans="1:8" x14ac:dyDescent="0.25">
      <c r="A783" s="339"/>
      <c r="B783" s="340"/>
      <c r="C783" s="190"/>
      <c r="D783" s="191"/>
      <c r="E783" s="192"/>
      <c r="F783" s="193"/>
      <c r="G783" s="341"/>
      <c r="H783" s="194"/>
    </row>
    <row r="784" spans="1:8" x14ac:dyDescent="0.25">
      <c r="A784" s="339"/>
      <c r="B784" s="340"/>
      <c r="C784" s="190"/>
      <c r="D784" s="191"/>
      <c r="E784" s="192"/>
      <c r="F784" s="193"/>
      <c r="G784" s="341"/>
      <c r="H784" s="194"/>
    </row>
    <row r="785" spans="1:8" x14ac:dyDescent="0.25">
      <c r="A785" s="339"/>
      <c r="B785" s="340"/>
      <c r="C785" s="190"/>
      <c r="D785" s="191"/>
      <c r="E785" s="192"/>
      <c r="F785" s="193"/>
      <c r="G785" s="341"/>
      <c r="H785" s="194"/>
    </row>
    <row r="786" spans="1:8" x14ac:dyDescent="0.25">
      <c r="A786" s="339"/>
      <c r="B786" s="340"/>
      <c r="C786" s="190"/>
      <c r="D786" s="191"/>
      <c r="E786" s="192"/>
      <c r="F786" s="193"/>
      <c r="G786" s="341"/>
      <c r="H786" s="194"/>
    </row>
    <row r="787" spans="1:8" x14ac:dyDescent="0.25">
      <c r="A787" s="339"/>
      <c r="B787" s="340"/>
      <c r="C787" s="190"/>
      <c r="D787" s="191"/>
      <c r="E787" s="192"/>
      <c r="F787" s="193"/>
      <c r="G787" s="341"/>
      <c r="H787" s="194"/>
    </row>
    <row r="788" spans="1:8" x14ac:dyDescent="0.25">
      <c r="A788" s="339"/>
      <c r="B788" s="340"/>
      <c r="C788" s="190"/>
      <c r="D788" s="191"/>
      <c r="E788" s="192"/>
      <c r="F788" s="193"/>
      <c r="G788" s="341"/>
      <c r="H788" s="194"/>
    </row>
    <row r="789" spans="1:8" x14ac:dyDescent="0.25">
      <c r="A789" s="339"/>
      <c r="B789" s="340"/>
      <c r="C789" s="190"/>
      <c r="D789" s="191"/>
      <c r="E789" s="192"/>
      <c r="F789" s="193"/>
      <c r="G789" s="341"/>
      <c r="H789" s="194"/>
    </row>
    <row r="790" spans="1:8" x14ac:dyDescent="0.25">
      <c r="A790" s="339"/>
      <c r="B790" s="340"/>
      <c r="C790" s="190"/>
      <c r="D790" s="191"/>
      <c r="E790" s="192"/>
      <c r="F790" s="193"/>
      <c r="G790" s="341"/>
      <c r="H790" s="194"/>
    </row>
  </sheetData>
  <sortState ref="L497:L525">
    <sortCondition ref="L497:L525"/>
  </sortState>
  <mergeCells count="4">
    <mergeCell ref="A1:F1"/>
    <mergeCell ref="A2:F2"/>
    <mergeCell ref="A5:A6"/>
    <mergeCell ref="A357:A358"/>
  </mergeCells>
  <conditionalFormatting sqref="A496">
    <cfRule type="cellIs" dxfId="331" priority="59" operator="equal">
      <formula>"x"</formula>
    </cfRule>
  </conditionalFormatting>
  <conditionalFormatting sqref="D170:D171 D173:D175 D70:D92 D107 D94:D102 D68">
    <cfRule type="cellIs" dxfId="330" priority="58" operator="notEqual">
      <formula>#REF!</formula>
    </cfRule>
  </conditionalFormatting>
  <conditionalFormatting sqref="A496">
    <cfRule type="iconSet" priority="57">
      <iconSet iconSet="3Flags" showValue="0">
        <cfvo type="percent" val="0"/>
        <cfvo type="num" val="0"/>
        <cfvo type="num" val="1"/>
      </iconSet>
    </cfRule>
  </conditionalFormatting>
  <conditionalFormatting sqref="D187:D191 D193:D224">
    <cfRule type="cellIs" dxfId="329" priority="56" operator="notEqual">
      <formula>#REF!</formula>
    </cfRule>
  </conditionalFormatting>
  <conditionalFormatting sqref="H333">
    <cfRule type="cellIs" dxfId="328" priority="55" operator="notEqual">
      <formula>A333</formula>
    </cfRule>
  </conditionalFormatting>
  <conditionalFormatting sqref="D178:D179">
    <cfRule type="cellIs" dxfId="327" priority="54" operator="notEqual">
      <formula>#REF!</formula>
    </cfRule>
  </conditionalFormatting>
  <conditionalFormatting sqref="D181">
    <cfRule type="cellIs" dxfId="326" priority="53" operator="notEqual">
      <formula>#REF!</formula>
    </cfRule>
  </conditionalFormatting>
  <conditionalFormatting sqref="D172">
    <cfRule type="cellIs" dxfId="325" priority="52" operator="notEqual">
      <formula>#REF!</formula>
    </cfRule>
  </conditionalFormatting>
  <conditionalFormatting sqref="D192">
    <cfRule type="cellIs" dxfId="324" priority="51" operator="notEqual">
      <formula>#REF!</formula>
    </cfRule>
  </conditionalFormatting>
  <conditionalFormatting sqref="D182">
    <cfRule type="cellIs" dxfId="323" priority="50" operator="notEqual">
      <formula>#REF!</formula>
    </cfRule>
  </conditionalFormatting>
  <conditionalFormatting sqref="D184">
    <cfRule type="cellIs" dxfId="322" priority="49" operator="notEqual">
      <formula>#REF!</formula>
    </cfRule>
  </conditionalFormatting>
  <conditionalFormatting sqref="D183">
    <cfRule type="cellIs" dxfId="321" priority="48" operator="notEqual">
      <formula>#REF!</formula>
    </cfRule>
  </conditionalFormatting>
  <conditionalFormatting sqref="D203:D205">
    <cfRule type="cellIs" dxfId="320" priority="47" operator="notEqual">
      <formula>#REF!</formula>
    </cfRule>
  </conditionalFormatting>
  <conditionalFormatting sqref="D182:D183 D185:D187">
    <cfRule type="cellIs" dxfId="319" priority="46" operator="notEqual">
      <formula>#REF!</formula>
    </cfRule>
  </conditionalFormatting>
  <conditionalFormatting sqref="D188:D190">
    <cfRule type="cellIs" dxfId="318" priority="45" operator="notEqual">
      <formula>#REF!</formula>
    </cfRule>
  </conditionalFormatting>
  <conditionalFormatting sqref="D191">
    <cfRule type="cellIs" dxfId="317" priority="44" operator="notEqual">
      <formula>#REF!</formula>
    </cfRule>
  </conditionalFormatting>
  <conditionalFormatting sqref="D184">
    <cfRule type="cellIs" dxfId="316" priority="43" operator="notEqual">
      <formula>#REF!</formula>
    </cfRule>
  </conditionalFormatting>
  <conditionalFormatting sqref="D192">
    <cfRule type="cellIs" dxfId="315" priority="42" operator="notEqual">
      <formula>#REF!</formula>
    </cfRule>
  </conditionalFormatting>
  <conditionalFormatting sqref="D194">
    <cfRule type="cellIs" dxfId="314" priority="41" operator="notEqual">
      <formula>#REF!</formula>
    </cfRule>
  </conditionalFormatting>
  <conditionalFormatting sqref="D193">
    <cfRule type="cellIs" dxfId="313" priority="40" operator="notEqual">
      <formula>#REF!</formula>
    </cfRule>
  </conditionalFormatting>
  <conditionalFormatting sqref="D195:D196">
    <cfRule type="cellIs" dxfId="312" priority="39" operator="notEqual">
      <formula>#REF!</formula>
    </cfRule>
  </conditionalFormatting>
  <conditionalFormatting sqref="D194">
    <cfRule type="cellIs" dxfId="311" priority="38" operator="notEqual">
      <formula>#REF!</formula>
    </cfRule>
  </conditionalFormatting>
  <conditionalFormatting sqref="D93">
    <cfRule type="cellIs" dxfId="310" priority="37" operator="notEqual">
      <formula>#REF!</formula>
    </cfRule>
  </conditionalFormatting>
  <conditionalFormatting sqref="J172">
    <cfRule type="cellIs" dxfId="309" priority="36" operator="notEqual">
      <formula>#REF!</formula>
    </cfRule>
  </conditionalFormatting>
  <conditionalFormatting sqref="J171">
    <cfRule type="cellIs" dxfId="308" priority="35" operator="notEqual">
      <formula>#REF!</formula>
    </cfRule>
  </conditionalFormatting>
  <conditionalFormatting sqref="J193:J194">
    <cfRule type="cellIs" dxfId="307" priority="34" operator="notEqual">
      <formula>#REF!</formula>
    </cfRule>
  </conditionalFormatting>
  <conditionalFormatting sqref="J193">
    <cfRule type="cellIs" dxfId="306" priority="33" operator="notEqual">
      <formula>#REF!</formula>
    </cfRule>
  </conditionalFormatting>
  <conditionalFormatting sqref="J194">
    <cfRule type="cellIs" dxfId="305" priority="32" operator="notEqual">
      <formula>#REF!</formula>
    </cfRule>
  </conditionalFormatting>
  <conditionalFormatting sqref="J193">
    <cfRule type="cellIs" dxfId="304" priority="31" operator="notEqual">
      <formula>#REF!</formula>
    </cfRule>
  </conditionalFormatting>
  <conditionalFormatting sqref="D182:D183 D185:D187">
    <cfRule type="cellIs" dxfId="303" priority="30" operator="notEqual">
      <formula>#REF!</formula>
    </cfRule>
  </conditionalFormatting>
  <conditionalFormatting sqref="D188:D189">
    <cfRule type="cellIs" dxfId="302" priority="29" operator="notEqual">
      <formula>#REF!</formula>
    </cfRule>
  </conditionalFormatting>
  <conditionalFormatting sqref="D191">
    <cfRule type="cellIs" dxfId="301" priority="28" operator="notEqual">
      <formula>#REF!</formula>
    </cfRule>
  </conditionalFormatting>
  <conditionalFormatting sqref="D184">
    <cfRule type="cellIs" dxfId="300" priority="27" operator="notEqual">
      <formula>#REF!</formula>
    </cfRule>
  </conditionalFormatting>
  <conditionalFormatting sqref="D202">
    <cfRule type="cellIs" dxfId="299" priority="26" operator="notEqual">
      <formula>#REF!</formula>
    </cfRule>
  </conditionalFormatting>
  <conditionalFormatting sqref="D192">
    <cfRule type="cellIs" dxfId="298" priority="25" operator="notEqual">
      <formula>#REF!</formula>
    </cfRule>
  </conditionalFormatting>
  <conditionalFormatting sqref="D194">
    <cfRule type="cellIs" dxfId="297" priority="24" operator="notEqual">
      <formula>#REF!</formula>
    </cfRule>
  </conditionalFormatting>
  <conditionalFormatting sqref="D193">
    <cfRule type="cellIs" dxfId="296" priority="23" operator="notEqual">
      <formula>#REF!</formula>
    </cfRule>
  </conditionalFormatting>
  <conditionalFormatting sqref="D215">
    <cfRule type="cellIs" dxfId="295" priority="22" operator="notEqual">
      <formula>#REF!</formula>
    </cfRule>
  </conditionalFormatting>
  <conditionalFormatting sqref="D192:D193 D195:D197">
    <cfRule type="cellIs" dxfId="294" priority="21" operator="notEqual">
      <formula>#REF!</formula>
    </cfRule>
  </conditionalFormatting>
  <conditionalFormatting sqref="D198:D200">
    <cfRule type="cellIs" dxfId="293" priority="20" operator="notEqual">
      <formula>#REF!</formula>
    </cfRule>
  </conditionalFormatting>
  <conditionalFormatting sqref="D201">
    <cfRule type="cellIs" dxfId="292" priority="19" operator="notEqual">
      <formula>#REF!</formula>
    </cfRule>
  </conditionalFormatting>
  <conditionalFormatting sqref="D194">
    <cfRule type="cellIs" dxfId="291" priority="18" operator="notEqual">
      <formula>#REF!</formula>
    </cfRule>
  </conditionalFormatting>
  <conditionalFormatting sqref="D202">
    <cfRule type="cellIs" dxfId="290" priority="17" operator="notEqual">
      <formula>#REF!</formula>
    </cfRule>
  </conditionalFormatting>
  <conditionalFormatting sqref="D206">
    <cfRule type="cellIs" dxfId="289" priority="16" operator="notEqual">
      <formula>#REF!</formula>
    </cfRule>
  </conditionalFormatting>
  <conditionalFormatting sqref="D203:D205">
    <cfRule type="cellIs" dxfId="288" priority="15" operator="notEqual">
      <formula>#REF!</formula>
    </cfRule>
  </conditionalFormatting>
  <conditionalFormatting sqref="D207:D208">
    <cfRule type="cellIs" dxfId="287" priority="14" operator="notEqual">
      <formula>#REF!</formula>
    </cfRule>
  </conditionalFormatting>
  <conditionalFormatting sqref="D206">
    <cfRule type="cellIs" dxfId="286" priority="13" operator="notEqual">
      <formula>#REF!</formula>
    </cfRule>
  </conditionalFormatting>
  <conditionalFormatting sqref="J184">
    <cfRule type="cellIs" dxfId="285" priority="12" operator="notEqual">
      <formula>#REF!</formula>
    </cfRule>
  </conditionalFormatting>
  <conditionalFormatting sqref="J183">
    <cfRule type="cellIs" dxfId="284" priority="11" operator="notEqual">
      <formula>#REF!</formula>
    </cfRule>
  </conditionalFormatting>
  <conditionalFormatting sqref="J203:J206">
    <cfRule type="cellIs" dxfId="283" priority="10" operator="notEqual">
      <formula>#REF!</formula>
    </cfRule>
  </conditionalFormatting>
  <conditionalFormatting sqref="J203:J205">
    <cfRule type="cellIs" dxfId="282" priority="9" operator="notEqual">
      <formula>#REF!</formula>
    </cfRule>
  </conditionalFormatting>
  <conditionalFormatting sqref="J206">
    <cfRule type="cellIs" dxfId="281" priority="8" operator="notEqual">
      <formula>#REF!</formula>
    </cfRule>
  </conditionalFormatting>
  <conditionalFormatting sqref="J203:J205">
    <cfRule type="cellIs" dxfId="280" priority="7" operator="notEqual">
      <formula>#REF!</formula>
    </cfRule>
  </conditionalFormatting>
  <conditionalFormatting sqref="D176:D177">
    <cfRule type="cellIs" dxfId="279" priority="6" operator="notEqual">
      <formula>#REF!</formula>
    </cfRule>
  </conditionalFormatting>
  <conditionalFormatting sqref="D103:D106">
    <cfRule type="cellIs" dxfId="278" priority="5" operator="notEqual">
      <formula>#REF!</formula>
    </cfRule>
  </conditionalFormatting>
  <conditionalFormatting sqref="J185">
    <cfRule type="cellIs" dxfId="277" priority="4" operator="notEqual">
      <formula>#REF!</formula>
    </cfRule>
  </conditionalFormatting>
  <conditionalFormatting sqref="J184">
    <cfRule type="cellIs" dxfId="276" priority="3" operator="notEqual">
      <formula>#REF!</formula>
    </cfRule>
  </conditionalFormatting>
  <pageMargins left="0.70866141732283472" right="0.70866141732283472" top="0.78740157480314965" bottom="0.78740157480314965" header="0.31496062992125984" footer="0.31496062992125984"/>
  <pageSetup paperSize="9" scale="78" fitToHeight="10" orientation="landscape" r:id="rId1"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H580"/>
  <sheetViews>
    <sheetView showZeros="0" topLeftCell="A136" zoomScale="115" zoomScaleNormal="115" zoomScaleSheetLayoutView="85" workbookViewId="0">
      <selection activeCell="K495" sqref="K495"/>
    </sheetView>
  </sheetViews>
  <sheetFormatPr defaultColWidth="9.140625" defaultRowHeight="15.75" x14ac:dyDescent="0.25"/>
  <cols>
    <col min="1" max="1" width="11.28515625" style="305" customWidth="1"/>
    <col min="2" max="2" width="93.42578125" style="45" customWidth="1"/>
    <col min="3" max="3" width="14.28515625" style="2" customWidth="1"/>
    <col min="4" max="4" width="16.28515625" style="2" customWidth="1"/>
    <col min="5" max="5" width="8.42578125" style="88" customWidth="1"/>
    <col min="6" max="6" width="9" style="88" customWidth="1"/>
    <col min="7" max="7" width="18.7109375" style="269" customWidth="1"/>
    <col min="8" max="8" width="20.28515625" style="45" bestFit="1" customWidth="1"/>
    <col min="9" max="9" width="14.7109375" style="45" customWidth="1"/>
    <col min="10" max="10" width="9.140625" style="45"/>
    <col min="11" max="11" width="92.140625" style="45" bestFit="1" customWidth="1"/>
    <col min="12" max="12" width="9.140625" style="45"/>
    <col min="13" max="13" width="11" style="45" bestFit="1" customWidth="1"/>
    <col min="14" max="16384" width="9.140625" style="45"/>
  </cols>
  <sheetData>
    <row r="1" spans="1:8" ht="22.5" x14ac:dyDescent="0.3">
      <c r="A1" s="435" t="s">
        <v>0</v>
      </c>
      <c r="B1" s="435"/>
      <c r="C1" s="435"/>
      <c r="D1" s="435"/>
      <c r="E1" s="435"/>
      <c r="F1" s="435"/>
    </row>
    <row r="2" spans="1:8" ht="22.5" x14ac:dyDescent="0.3">
      <c r="A2" s="435" t="s">
        <v>429</v>
      </c>
      <c r="B2" s="435"/>
      <c r="C2" s="435"/>
      <c r="D2" s="435"/>
      <c r="E2" s="435"/>
      <c r="F2" s="435"/>
    </row>
    <row r="3" spans="1:8" ht="23.25" thickBot="1" x14ac:dyDescent="0.35">
      <c r="A3" s="435"/>
      <c r="B3" s="435"/>
      <c r="C3" s="434"/>
      <c r="D3" s="421"/>
      <c r="E3" s="434"/>
      <c r="F3" s="1"/>
    </row>
    <row r="4" spans="1:8" ht="15.6" customHeight="1" x14ac:dyDescent="0.25">
      <c r="A4" s="436" t="s">
        <v>141</v>
      </c>
      <c r="B4" s="5"/>
      <c r="C4" s="4"/>
      <c r="D4" s="359"/>
      <c r="E4" s="6"/>
      <c r="F4" s="6"/>
      <c r="G4" s="79"/>
    </row>
    <row r="5" spans="1:8" ht="16.5" thickBot="1" x14ac:dyDescent="0.3">
      <c r="A5" s="437"/>
      <c r="B5" s="10" t="s">
        <v>2</v>
      </c>
      <c r="C5" s="9" t="s">
        <v>3</v>
      </c>
      <c r="D5" s="360" t="s">
        <v>4</v>
      </c>
      <c r="E5" s="11" t="s">
        <v>5</v>
      </c>
      <c r="F5" s="11" t="s">
        <v>6</v>
      </c>
    </row>
    <row r="6" spans="1:8" x14ac:dyDescent="0.25">
      <c r="A6" s="43"/>
      <c r="B6" s="273" t="s">
        <v>8</v>
      </c>
      <c r="C6" s="26">
        <f>+SUM(C7:C10)</f>
        <v>5902.2090000000007</v>
      </c>
      <c r="D6" s="26">
        <f>+SUM(D7:D10)</f>
        <v>3535507</v>
      </c>
      <c r="E6" s="28"/>
      <c r="F6" s="29"/>
      <c r="G6" s="45"/>
    </row>
    <row r="7" spans="1:8" x14ac:dyDescent="0.25">
      <c r="A7" s="43"/>
      <c r="B7" s="107" t="s">
        <v>9</v>
      </c>
      <c r="C7" s="20">
        <v>111.04</v>
      </c>
      <c r="D7" s="20">
        <v>55520</v>
      </c>
      <c r="E7" s="22">
        <v>92241</v>
      </c>
      <c r="F7" s="29" t="s">
        <v>10</v>
      </c>
      <c r="G7" s="45"/>
    </row>
    <row r="8" spans="1:8" x14ac:dyDescent="0.25">
      <c r="A8" s="43"/>
      <c r="B8" s="107" t="s">
        <v>11</v>
      </c>
      <c r="C8" s="20">
        <v>2001.1780000000001</v>
      </c>
      <c r="D8" s="20">
        <f>108171+109620+15221+509931+48588+64784+72882+72882+108171+109620+12241</f>
        <v>1232111</v>
      </c>
      <c r="E8" s="22">
        <v>92241</v>
      </c>
      <c r="F8" s="29" t="s">
        <v>10</v>
      </c>
      <c r="G8" s="384"/>
      <c r="H8" s="384"/>
    </row>
    <row r="9" spans="1:8" x14ac:dyDescent="0.25">
      <c r="A9" s="43"/>
      <c r="B9" s="107" t="s">
        <v>12</v>
      </c>
      <c r="C9" s="20">
        <v>1575.905</v>
      </c>
      <c r="D9" s="20">
        <f>345411+345411</f>
        <v>690822</v>
      </c>
      <c r="E9" s="22">
        <v>92241</v>
      </c>
      <c r="F9" s="29" t="s">
        <v>10</v>
      </c>
      <c r="G9" s="45"/>
    </row>
    <row r="10" spans="1:8" x14ac:dyDescent="0.25">
      <c r="A10" s="43"/>
      <c r="B10" s="107" t="s">
        <v>13</v>
      </c>
      <c r="C10" s="20">
        <v>2214.0859999999998</v>
      </c>
      <c r="D10" s="20">
        <f>778527+778527</f>
        <v>1557054</v>
      </c>
      <c r="E10" s="22">
        <v>92241</v>
      </c>
      <c r="F10" s="29" t="s">
        <v>10</v>
      </c>
      <c r="G10" s="45"/>
    </row>
    <row r="11" spans="1:8" x14ac:dyDescent="0.25">
      <c r="A11" s="272"/>
      <c r="B11" s="107"/>
      <c r="C11" s="20"/>
      <c r="D11" s="20"/>
      <c r="E11" s="22"/>
      <c r="F11" s="29"/>
      <c r="G11" s="45"/>
    </row>
    <row r="12" spans="1:8" x14ac:dyDescent="0.25">
      <c r="A12" s="272"/>
      <c r="B12" s="273" t="s">
        <v>14</v>
      </c>
      <c r="C12" s="30">
        <f>+SUM(C13:C16)</f>
        <v>40.727090000000004</v>
      </c>
      <c r="D12" s="30">
        <f>+SUM(D13:D16)</f>
        <v>40902.539999999994</v>
      </c>
      <c r="E12" s="22"/>
      <c r="F12" s="29"/>
      <c r="G12" s="45"/>
    </row>
    <row r="13" spans="1:8" x14ac:dyDescent="0.25">
      <c r="A13" s="272">
        <v>42117</v>
      </c>
      <c r="B13" s="276" t="s">
        <v>146</v>
      </c>
      <c r="C13" s="20">
        <v>33.306150000000002</v>
      </c>
      <c r="D13" s="20">
        <v>33306.15</v>
      </c>
      <c r="E13" s="22">
        <v>90001</v>
      </c>
      <c r="F13" s="29">
        <v>4113</v>
      </c>
      <c r="G13" s="45"/>
    </row>
    <row r="14" spans="1:8" x14ac:dyDescent="0.25">
      <c r="A14" s="272">
        <v>42194</v>
      </c>
      <c r="B14" s="276" t="s">
        <v>279</v>
      </c>
      <c r="C14" s="20">
        <v>5.5467000000000004</v>
      </c>
      <c r="D14" s="20">
        <v>5546.7</v>
      </c>
      <c r="E14" s="22">
        <v>90001</v>
      </c>
      <c r="F14" s="29">
        <v>4113</v>
      </c>
      <c r="G14" s="45"/>
    </row>
    <row r="15" spans="1:8" x14ac:dyDescent="0.25">
      <c r="A15" s="272"/>
      <c r="B15" s="276" t="s">
        <v>446</v>
      </c>
      <c r="C15" s="20">
        <v>0</v>
      </c>
      <c r="D15" s="20">
        <v>175.45</v>
      </c>
      <c r="E15" s="22">
        <v>90001</v>
      </c>
      <c r="F15" s="29">
        <v>4113</v>
      </c>
      <c r="G15" s="45"/>
    </row>
    <row r="16" spans="1:8" x14ac:dyDescent="0.25">
      <c r="A16" s="272"/>
      <c r="B16" s="276" t="s">
        <v>445</v>
      </c>
      <c r="C16" s="20">
        <v>1.8742399999999999</v>
      </c>
      <c r="D16" s="20">
        <v>1874.24</v>
      </c>
      <c r="E16" s="22">
        <v>90001</v>
      </c>
      <c r="F16" s="29">
        <v>4113</v>
      </c>
      <c r="G16" s="45"/>
    </row>
    <row r="17" spans="1:8" x14ac:dyDescent="0.25">
      <c r="A17" s="272"/>
      <c r="B17" s="107"/>
      <c r="C17" s="20"/>
      <c r="D17" s="20"/>
      <c r="E17" s="22"/>
      <c r="F17" s="29"/>
      <c r="G17" s="45"/>
    </row>
    <row r="18" spans="1:8" x14ac:dyDescent="0.25">
      <c r="A18" s="272"/>
      <c r="B18" s="273" t="s">
        <v>15</v>
      </c>
      <c r="C18" s="30">
        <f>+C19+C20</f>
        <v>6.8916700000000004</v>
      </c>
      <c r="D18" s="30">
        <f>+D19+D20</f>
        <v>6891.67</v>
      </c>
      <c r="E18" s="22"/>
      <c r="F18" s="29"/>
      <c r="G18" s="45"/>
    </row>
    <row r="19" spans="1:8" x14ac:dyDescent="0.25">
      <c r="A19" s="272"/>
      <c r="B19" s="107" t="s">
        <v>395</v>
      </c>
      <c r="C19" s="20">
        <v>4.5358200000000002</v>
      </c>
      <c r="D19" s="20">
        <v>4535.82</v>
      </c>
      <c r="E19" s="22">
        <v>89450</v>
      </c>
      <c r="F19" s="29">
        <v>4113</v>
      </c>
      <c r="G19" s="45"/>
    </row>
    <row r="20" spans="1:8" x14ac:dyDescent="0.25">
      <c r="A20" s="272"/>
      <c r="B20" s="107" t="s">
        <v>394</v>
      </c>
      <c r="C20" s="20">
        <v>2.3558500000000002</v>
      </c>
      <c r="D20" s="20">
        <v>2355.85</v>
      </c>
      <c r="E20" s="22">
        <v>89023</v>
      </c>
      <c r="F20" s="29">
        <v>4113</v>
      </c>
      <c r="G20" s="384"/>
      <c r="H20" s="384"/>
    </row>
    <row r="21" spans="1:8" x14ac:dyDescent="0.25">
      <c r="A21" s="272"/>
      <c r="B21" s="278"/>
      <c r="C21" s="20"/>
      <c r="D21" s="422"/>
      <c r="E21" s="161"/>
      <c r="F21" s="22"/>
      <c r="G21" s="45"/>
    </row>
    <row r="22" spans="1:8" s="275" customFormat="1" x14ac:dyDescent="0.25">
      <c r="A22" s="272"/>
      <c r="B22" s="273" t="s">
        <v>17</v>
      </c>
      <c r="C22" s="13">
        <f>SUM(C23:C46)</f>
        <v>21611.022999999997</v>
      </c>
      <c r="D22" s="30">
        <f>SUM(D23:D46)</f>
        <v>15255687</v>
      </c>
      <c r="E22" s="33"/>
      <c r="F22" s="16"/>
      <c r="G22" s="45"/>
      <c r="H22" s="45"/>
    </row>
    <row r="23" spans="1:8" x14ac:dyDescent="0.25">
      <c r="A23" s="43">
        <v>42053</v>
      </c>
      <c r="B23" s="107" t="s">
        <v>37</v>
      </c>
      <c r="C23" s="37">
        <v>3744</v>
      </c>
      <c r="D23" s="20">
        <v>3744000</v>
      </c>
      <c r="E23" s="34">
        <v>13010</v>
      </c>
      <c r="F23" s="29">
        <v>4116</v>
      </c>
      <c r="G23" s="45"/>
    </row>
    <row r="24" spans="1:8" x14ac:dyDescent="0.25">
      <c r="A24" s="272">
        <v>42123</v>
      </c>
      <c r="B24" s="107" t="s">
        <v>37</v>
      </c>
      <c r="C24" s="20">
        <v>8</v>
      </c>
      <c r="D24" s="20">
        <v>8000</v>
      </c>
      <c r="E24" s="34">
        <v>13010</v>
      </c>
      <c r="F24" s="29">
        <v>4116</v>
      </c>
      <c r="G24" s="45"/>
    </row>
    <row r="25" spans="1:8" x14ac:dyDescent="0.25">
      <c r="A25" s="272">
        <v>42152</v>
      </c>
      <c r="B25" s="107" t="s">
        <v>37</v>
      </c>
      <c r="C25" s="20">
        <v>12</v>
      </c>
      <c r="D25" s="20">
        <v>12000</v>
      </c>
      <c r="E25" s="34">
        <v>13010</v>
      </c>
      <c r="F25" s="29">
        <v>4116</v>
      </c>
      <c r="G25" s="45"/>
    </row>
    <row r="26" spans="1:8" s="275" customFormat="1" x14ac:dyDescent="0.25">
      <c r="A26" s="272">
        <v>42184</v>
      </c>
      <c r="B26" s="107" t="s">
        <v>37</v>
      </c>
      <c r="C26" s="20">
        <v>44</v>
      </c>
      <c r="D26" s="20">
        <v>44000</v>
      </c>
      <c r="E26" s="34">
        <v>13010</v>
      </c>
      <c r="F26" s="29">
        <v>4116</v>
      </c>
      <c r="G26" s="45"/>
      <c r="H26" s="45"/>
    </row>
    <row r="27" spans="1:8" x14ac:dyDescent="0.25">
      <c r="A27" s="43">
        <v>42201</v>
      </c>
      <c r="B27" s="107" t="s">
        <v>37</v>
      </c>
      <c r="C27" s="20">
        <v>32</v>
      </c>
      <c r="D27" s="20">
        <v>32000</v>
      </c>
      <c r="E27" s="34">
        <v>13010</v>
      </c>
      <c r="F27" s="29">
        <v>4116</v>
      </c>
      <c r="G27" s="45"/>
    </row>
    <row r="28" spans="1:8" x14ac:dyDescent="0.25">
      <c r="A28" s="43"/>
      <c r="B28" s="107" t="s">
        <v>424</v>
      </c>
      <c r="C28" s="20">
        <v>-28</v>
      </c>
      <c r="D28" s="20"/>
      <c r="E28" s="34">
        <v>13010</v>
      </c>
      <c r="F28" s="29">
        <v>4116</v>
      </c>
      <c r="G28" s="45"/>
    </row>
    <row r="29" spans="1:8" x14ac:dyDescent="0.25">
      <c r="A29" s="43"/>
      <c r="B29" s="107" t="s">
        <v>411</v>
      </c>
      <c r="C29" s="20">
        <v>10.7</v>
      </c>
      <c r="D29" s="20">
        <v>10452</v>
      </c>
      <c r="E29" s="34">
        <v>13013</v>
      </c>
      <c r="F29" s="29">
        <v>4116</v>
      </c>
      <c r="G29" s="384"/>
    </row>
    <row r="30" spans="1:8" x14ac:dyDescent="0.25">
      <c r="A30" s="43"/>
      <c r="B30" s="107" t="s">
        <v>438</v>
      </c>
      <c r="C30" s="20"/>
      <c r="D30" s="20">
        <v>41067</v>
      </c>
      <c r="E30" s="34">
        <v>13013</v>
      </c>
      <c r="F30" s="29">
        <v>4116</v>
      </c>
      <c r="G30" s="384"/>
    </row>
    <row r="31" spans="1:8" x14ac:dyDescent="0.25">
      <c r="A31" s="43"/>
      <c r="B31" s="107" t="s">
        <v>97</v>
      </c>
      <c r="C31" s="20">
        <v>267</v>
      </c>
      <c r="D31" s="20">
        <v>300369</v>
      </c>
      <c r="E31" s="34">
        <v>13101</v>
      </c>
      <c r="F31" s="29">
        <v>4116</v>
      </c>
      <c r="G31" s="384"/>
    </row>
    <row r="32" spans="1:8" x14ac:dyDescent="0.25">
      <c r="A32" s="43"/>
      <c r="B32" s="107" t="s">
        <v>65</v>
      </c>
      <c r="C32" s="20">
        <v>58</v>
      </c>
      <c r="D32" s="20">
        <f>40896+16866</f>
        <v>57762</v>
      </c>
      <c r="E32" s="34">
        <v>13101</v>
      </c>
      <c r="F32" s="29" t="s">
        <v>18</v>
      </c>
      <c r="G32" s="384"/>
    </row>
    <row r="33" spans="1:8" x14ac:dyDescent="0.25">
      <c r="A33" s="43"/>
      <c r="B33" s="107" t="s">
        <v>98</v>
      </c>
      <c r="C33" s="20">
        <v>484.274</v>
      </c>
      <c r="D33" s="20">
        <v>484274</v>
      </c>
      <c r="E33" s="35">
        <v>13101</v>
      </c>
      <c r="F33" s="36">
        <v>4116</v>
      </c>
      <c r="G33" s="384"/>
    </row>
    <row r="34" spans="1:8" s="275" customFormat="1" x14ac:dyDescent="0.25">
      <c r="A34" s="272"/>
      <c r="B34" s="107" t="s">
        <v>99</v>
      </c>
      <c r="C34" s="20">
        <v>22</v>
      </c>
      <c r="D34" s="20">
        <v>22000</v>
      </c>
      <c r="E34" s="35">
        <v>13101</v>
      </c>
      <c r="F34" s="36">
        <v>4116</v>
      </c>
      <c r="G34" s="384"/>
      <c r="H34" s="45"/>
    </row>
    <row r="35" spans="1:8" s="275" customFormat="1" x14ac:dyDescent="0.25">
      <c r="A35" s="272"/>
      <c r="B35" s="107" t="s">
        <v>19</v>
      </c>
      <c r="C35" s="20">
        <v>60</v>
      </c>
      <c r="D35" s="20">
        <v>44643</v>
      </c>
      <c r="E35" s="34">
        <v>13234</v>
      </c>
      <c r="F35" s="29">
        <v>4116</v>
      </c>
      <c r="G35" s="384"/>
      <c r="H35" s="45"/>
    </row>
    <row r="36" spans="1:8" s="275" customFormat="1" x14ac:dyDescent="0.25">
      <c r="A36" s="272"/>
      <c r="B36" s="107" t="s">
        <v>20</v>
      </c>
      <c r="C36" s="20">
        <v>290</v>
      </c>
      <c r="D36" s="20">
        <v>188451</v>
      </c>
      <c r="E36" s="34">
        <v>13234</v>
      </c>
      <c r="F36" s="29">
        <v>4116</v>
      </c>
      <c r="G36" s="384"/>
      <c r="H36" s="45"/>
    </row>
    <row r="37" spans="1:8" s="275" customFormat="1" x14ac:dyDescent="0.25">
      <c r="A37" s="272"/>
      <c r="B37" s="107" t="s">
        <v>23</v>
      </c>
      <c r="C37" s="20">
        <v>87.9</v>
      </c>
      <c r="D37" s="20">
        <v>87594</v>
      </c>
      <c r="E37" s="34">
        <v>13234</v>
      </c>
      <c r="F37" s="29">
        <v>4116</v>
      </c>
      <c r="G37" s="384"/>
      <c r="H37" s="45"/>
    </row>
    <row r="38" spans="1:8" s="275" customFormat="1" x14ac:dyDescent="0.25">
      <c r="A38" s="272"/>
      <c r="B38" s="107" t="s">
        <v>22</v>
      </c>
      <c r="C38" s="20">
        <v>264</v>
      </c>
      <c r="D38" s="20">
        <v>176000</v>
      </c>
      <c r="E38" s="34">
        <v>13234</v>
      </c>
      <c r="F38" s="29">
        <v>4116</v>
      </c>
      <c r="G38" s="384"/>
      <c r="H38" s="45"/>
    </row>
    <row r="39" spans="1:8" s="275" customFormat="1" x14ac:dyDescent="0.25">
      <c r="A39" s="272"/>
      <c r="B39" s="107" t="s">
        <v>67</v>
      </c>
      <c r="C39" s="20">
        <v>171.72300000000001</v>
      </c>
      <c r="D39" s="20">
        <f>86069+44000+41655</f>
        <v>171724</v>
      </c>
      <c r="E39" s="34">
        <v>13234</v>
      </c>
      <c r="F39" s="29">
        <v>4116</v>
      </c>
      <c r="G39" s="384"/>
      <c r="H39" s="45"/>
    </row>
    <row r="40" spans="1:8" s="275" customFormat="1" x14ac:dyDescent="0.25">
      <c r="A40" s="272"/>
      <c r="B40" s="107" t="s">
        <v>25</v>
      </c>
      <c r="C40" s="20">
        <v>1705.0060000000001</v>
      </c>
      <c r="D40" s="20">
        <v>776517</v>
      </c>
      <c r="E40" s="34">
        <v>13234</v>
      </c>
      <c r="F40" s="29">
        <v>4116</v>
      </c>
      <c r="G40" s="384"/>
      <c r="H40" s="45"/>
    </row>
    <row r="41" spans="1:8" s="275" customFormat="1" x14ac:dyDescent="0.25">
      <c r="A41" s="272"/>
      <c r="B41" s="107" t="s">
        <v>26</v>
      </c>
      <c r="C41" s="20"/>
      <c r="D41" s="20">
        <v>244441</v>
      </c>
      <c r="E41" s="34">
        <v>13234</v>
      </c>
      <c r="F41" s="29">
        <v>4116</v>
      </c>
      <c r="G41" s="384"/>
      <c r="H41" s="45"/>
    </row>
    <row r="42" spans="1:8" x14ac:dyDescent="0.25">
      <c r="A42" s="43"/>
      <c r="B42" s="107" t="s">
        <v>28</v>
      </c>
      <c r="C42" s="20">
        <v>5376</v>
      </c>
      <c r="D42" s="20">
        <v>2575281</v>
      </c>
      <c r="E42" s="35">
        <v>13234</v>
      </c>
      <c r="F42" s="29">
        <v>4116</v>
      </c>
      <c r="G42" s="384"/>
    </row>
    <row r="43" spans="1:8" s="275" customFormat="1" x14ac:dyDescent="0.25">
      <c r="A43" s="272"/>
      <c r="B43" s="107" t="s">
        <v>24</v>
      </c>
      <c r="C43" s="20">
        <v>8590</v>
      </c>
      <c r="D43" s="20">
        <v>6011828</v>
      </c>
      <c r="E43" s="34">
        <v>13234</v>
      </c>
      <c r="F43" s="29">
        <v>4116</v>
      </c>
      <c r="G43" s="384"/>
      <c r="H43" s="45"/>
    </row>
    <row r="44" spans="1:8" x14ac:dyDescent="0.25">
      <c r="A44" s="43"/>
      <c r="B44" s="107" t="s">
        <v>66</v>
      </c>
      <c r="C44" s="20">
        <f>55+98</f>
        <v>153</v>
      </c>
      <c r="D44" s="20">
        <v>88133</v>
      </c>
      <c r="E44" s="35">
        <v>13234</v>
      </c>
      <c r="F44" s="36">
        <v>4116</v>
      </c>
      <c r="G44" s="384"/>
    </row>
    <row r="45" spans="1:8" x14ac:dyDescent="0.25">
      <c r="A45" s="43"/>
      <c r="B45" s="107" t="s">
        <v>31</v>
      </c>
      <c r="C45" s="20">
        <v>252</v>
      </c>
      <c r="D45" s="20">
        <v>127731</v>
      </c>
      <c r="E45" s="35">
        <v>13234</v>
      </c>
      <c r="F45" s="36">
        <v>4116</v>
      </c>
      <c r="G45" s="384"/>
    </row>
    <row r="46" spans="1:8" x14ac:dyDescent="0.25">
      <c r="A46" s="43"/>
      <c r="B46" s="107" t="s">
        <v>21</v>
      </c>
      <c r="C46" s="20">
        <v>7.42</v>
      </c>
      <c r="D46" s="20">
        <v>7420</v>
      </c>
      <c r="E46" s="35">
        <v>13234</v>
      </c>
      <c r="F46" s="29" t="s">
        <v>18</v>
      </c>
      <c r="G46" s="384"/>
    </row>
    <row r="47" spans="1:8" x14ac:dyDescent="0.25">
      <c r="A47" s="43"/>
      <c r="B47" s="44"/>
      <c r="C47" s="37"/>
      <c r="D47" s="20"/>
      <c r="E47" s="35"/>
      <c r="F47" s="36"/>
      <c r="G47" s="45"/>
    </row>
    <row r="48" spans="1:8" x14ac:dyDescent="0.25">
      <c r="A48" s="43"/>
      <c r="B48" s="285" t="s">
        <v>116</v>
      </c>
      <c r="C48" s="39">
        <f>+SUM(C49:C50)</f>
        <v>36.299999999999997</v>
      </c>
      <c r="D48" s="39">
        <f>+SUM(D49:D50)</f>
        <v>36300</v>
      </c>
      <c r="E48" s="29"/>
      <c r="F48" s="36"/>
      <c r="G48" s="45"/>
    </row>
    <row r="49" spans="1:7" x14ac:dyDescent="0.25">
      <c r="A49" s="43">
        <v>42066</v>
      </c>
      <c r="B49" s="107" t="s">
        <v>115</v>
      </c>
      <c r="C49" s="20">
        <v>36.299999999999997</v>
      </c>
      <c r="D49" s="20">
        <v>36300</v>
      </c>
      <c r="E49" s="41">
        <v>27003</v>
      </c>
      <c r="F49" s="36">
        <v>4116</v>
      </c>
      <c r="G49" s="45"/>
    </row>
    <row r="50" spans="1:7" x14ac:dyDescent="0.25">
      <c r="A50" s="287"/>
      <c r="B50" s="107"/>
      <c r="C50" s="20"/>
      <c r="D50" s="20"/>
      <c r="E50" s="36"/>
      <c r="F50" s="36"/>
      <c r="G50" s="45"/>
    </row>
    <row r="51" spans="1:7" x14ac:dyDescent="0.25">
      <c r="A51" s="43"/>
      <c r="B51" s="285" t="s">
        <v>33</v>
      </c>
      <c r="C51" s="39">
        <f>+SUM(C52:C85)</f>
        <v>22632</v>
      </c>
      <c r="D51" s="39">
        <f>+SUM(D52:D85)</f>
        <v>24632000</v>
      </c>
      <c r="E51" s="29"/>
      <c r="F51" s="36"/>
      <c r="G51" s="45"/>
    </row>
    <row r="52" spans="1:7" x14ac:dyDescent="0.25">
      <c r="A52" s="43">
        <v>42086</v>
      </c>
      <c r="B52" s="107" t="s">
        <v>122</v>
      </c>
      <c r="C52" s="20">
        <v>80</v>
      </c>
      <c r="D52" s="20">
        <v>80000</v>
      </c>
      <c r="E52" s="29">
        <v>34070</v>
      </c>
      <c r="F52" s="29">
        <v>4116</v>
      </c>
      <c r="G52" s="45"/>
    </row>
    <row r="53" spans="1:7" x14ac:dyDescent="0.25">
      <c r="A53" s="43">
        <v>42116</v>
      </c>
      <c r="B53" s="107" t="s">
        <v>266</v>
      </c>
      <c r="C53" s="20">
        <v>25</v>
      </c>
      <c r="D53" s="20">
        <v>25000</v>
      </c>
      <c r="E53" s="29">
        <v>34070</v>
      </c>
      <c r="F53" s="29">
        <v>4116</v>
      </c>
      <c r="G53" s="45"/>
    </row>
    <row r="54" spans="1:7" x14ac:dyDescent="0.25">
      <c r="A54" s="43">
        <v>42116</v>
      </c>
      <c r="B54" s="107" t="s">
        <v>143</v>
      </c>
      <c r="C54" s="20">
        <v>18</v>
      </c>
      <c r="D54" s="20">
        <v>18000</v>
      </c>
      <c r="E54" s="29">
        <v>34070</v>
      </c>
      <c r="F54" s="29">
        <v>4116</v>
      </c>
      <c r="G54" s="45"/>
    </row>
    <row r="55" spans="1:7" x14ac:dyDescent="0.25">
      <c r="A55" s="43">
        <v>42116</v>
      </c>
      <c r="B55" s="107" t="s">
        <v>173</v>
      </c>
      <c r="C55" s="20">
        <v>20</v>
      </c>
      <c r="D55" s="20">
        <v>20000</v>
      </c>
      <c r="E55" s="29">
        <v>34070</v>
      </c>
      <c r="F55" s="29">
        <v>4116</v>
      </c>
      <c r="G55" s="45"/>
    </row>
    <row r="56" spans="1:7" x14ac:dyDescent="0.25">
      <c r="A56" s="43">
        <v>42128</v>
      </c>
      <c r="B56" s="107" t="s">
        <v>172</v>
      </c>
      <c r="C56" s="20">
        <v>45</v>
      </c>
      <c r="D56" s="20">
        <v>45000</v>
      </c>
      <c r="E56" s="29">
        <v>34053</v>
      </c>
      <c r="F56" s="29">
        <v>4116</v>
      </c>
      <c r="G56" s="45"/>
    </row>
    <row r="57" spans="1:7" x14ac:dyDescent="0.25">
      <c r="A57" s="43">
        <v>42135</v>
      </c>
      <c r="B57" s="107" t="s">
        <v>175</v>
      </c>
      <c r="C57" s="20">
        <v>600</v>
      </c>
      <c r="D57" s="20">
        <v>600000</v>
      </c>
      <c r="E57" s="29">
        <v>34070</v>
      </c>
      <c r="F57" s="29">
        <v>4116</v>
      </c>
      <c r="G57" s="45"/>
    </row>
    <row r="58" spans="1:7" x14ac:dyDescent="0.25">
      <c r="A58" s="43">
        <v>42135</v>
      </c>
      <c r="B58" s="107" t="s">
        <v>176</v>
      </c>
      <c r="C58" s="20">
        <v>70</v>
      </c>
      <c r="D58" s="20">
        <v>70000</v>
      </c>
      <c r="E58" s="29">
        <v>34070</v>
      </c>
      <c r="F58" s="29">
        <v>4116</v>
      </c>
      <c r="G58" s="45"/>
    </row>
    <row r="59" spans="1:7" x14ac:dyDescent="0.25">
      <c r="A59" s="43">
        <v>42136</v>
      </c>
      <c r="B59" s="107" t="s">
        <v>177</v>
      </c>
      <c r="C59" s="20">
        <v>120</v>
      </c>
      <c r="D59" s="20">
        <v>120000</v>
      </c>
      <c r="E59" s="29">
        <v>34070</v>
      </c>
      <c r="F59" s="29">
        <v>4116</v>
      </c>
      <c r="G59" s="45"/>
    </row>
    <row r="60" spans="1:7" x14ac:dyDescent="0.25">
      <c r="A60" s="43">
        <v>42136</v>
      </c>
      <c r="B60" s="107" t="s">
        <v>178</v>
      </c>
      <c r="C60" s="20">
        <v>340</v>
      </c>
      <c r="D60" s="20">
        <v>340000</v>
      </c>
      <c r="E60" s="29">
        <v>34070</v>
      </c>
      <c r="F60" s="29">
        <v>4116</v>
      </c>
      <c r="G60" s="45"/>
    </row>
    <row r="61" spans="1:7" x14ac:dyDescent="0.25">
      <c r="A61" s="43">
        <v>42136</v>
      </c>
      <c r="B61" s="107" t="s">
        <v>179</v>
      </c>
      <c r="C61" s="20">
        <v>320</v>
      </c>
      <c r="D61" s="20">
        <v>320000</v>
      </c>
      <c r="E61" s="29">
        <v>34070</v>
      </c>
      <c r="F61" s="29">
        <v>4116</v>
      </c>
      <c r="G61" s="45"/>
    </row>
    <row r="62" spans="1:7" x14ac:dyDescent="0.25">
      <c r="A62" s="43">
        <v>42143</v>
      </c>
      <c r="B62" s="107" t="s">
        <v>194</v>
      </c>
      <c r="C62" s="20">
        <v>95</v>
      </c>
      <c r="D62" s="20">
        <v>95000</v>
      </c>
      <c r="E62" s="29">
        <v>34070</v>
      </c>
      <c r="F62" s="29">
        <v>4116</v>
      </c>
      <c r="G62" s="45"/>
    </row>
    <row r="63" spans="1:7" x14ac:dyDescent="0.25">
      <c r="A63" s="43">
        <v>42143</v>
      </c>
      <c r="B63" s="107" t="s">
        <v>195</v>
      </c>
      <c r="C63" s="20">
        <v>30</v>
      </c>
      <c r="D63" s="20">
        <v>30000</v>
      </c>
      <c r="E63" s="29">
        <v>34194</v>
      </c>
      <c r="F63" s="29">
        <v>4116</v>
      </c>
      <c r="G63" s="45"/>
    </row>
    <row r="64" spans="1:7" x14ac:dyDescent="0.25">
      <c r="A64" s="43">
        <v>42143</v>
      </c>
      <c r="B64" s="107" t="s">
        <v>447</v>
      </c>
      <c r="C64" s="20">
        <v>750</v>
      </c>
      <c r="D64" s="20">
        <v>750000</v>
      </c>
      <c r="E64" s="29">
        <v>34070</v>
      </c>
      <c r="F64" s="29">
        <v>4116</v>
      </c>
      <c r="G64" s="45"/>
    </row>
    <row r="65" spans="1:8" x14ac:dyDescent="0.25">
      <c r="A65" s="43">
        <v>42144</v>
      </c>
      <c r="B65" s="107" t="s">
        <v>199</v>
      </c>
      <c r="C65" s="20">
        <v>64</v>
      </c>
      <c r="D65" s="20">
        <v>64000</v>
      </c>
      <c r="E65" s="29">
        <v>34053</v>
      </c>
      <c r="F65" s="29">
        <v>4116</v>
      </c>
      <c r="G65" s="45"/>
    </row>
    <row r="66" spans="1:8" x14ac:dyDescent="0.25">
      <c r="A66" s="43">
        <v>42144</v>
      </c>
      <c r="B66" s="107" t="s">
        <v>448</v>
      </c>
      <c r="C66" s="20">
        <v>45</v>
      </c>
      <c r="D66" s="20">
        <v>45000</v>
      </c>
      <c r="E66" s="29">
        <v>34053</v>
      </c>
      <c r="F66" s="29">
        <v>4116</v>
      </c>
      <c r="G66" s="45"/>
    </row>
    <row r="67" spans="1:8" x14ac:dyDescent="0.25">
      <c r="A67" s="43">
        <v>42164</v>
      </c>
      <c r="B67" s="107" t="s">
        <v>241</v>
      </c>
      <c r="C67" s="20">
        <v>1200</v>
      </c>
      <c r="D67" s="20">
        <v>1200000</v>
      </c>
      <c r="E67" s="29">
        <v>34352</v>
      </c>
      <c r="F67" s="29">
        <v>4116</v>
      </c>
      <c r="G67" s="45"/>
    </row>
    <row r="68" spans="1:8" x14ac:dyDescent="0.25">
      <c r="A68" s="43">
        <v>42172</v>
      </c>
      <c r="B68" s="107" t="s">
        <v>233</v>
      </c>
      <c r="C68" s="20">
        <v>740</v>
      </c>
      <c r="D68" s="20">
        <v>740000</v>
      </c>
      <c r="E68" s="29">
        <v>34352</v>
      </c>
      <c r="F68" s="29">
        <v>4116</v>
      </c>
      <c r="G68" s="45"/>
    </row>
    <row r="69" spans="1:8" x14ac:dyDescent="0.25">
      <c r="A69" s="43">
        <v>42172</v>
      </c>
      <c r="B69" s="107" t="s">
        <v>234</v>
      </c>
      <c r="C69" s="20">
        <v>2745</v>
      </c>
      <c r="D69" s="20">
        <v>2745000</v>
      </c>
      <c r="E69" s="29">
        <v>34352</v>
      </c>
      <c r="F69" s="29">
        <v>4116</v>
      </c>
      <c r="G69" s="45"/>
    </row>
    <row r="70" spans="1:8" x14ac:dyDescent="0.25">
      <c r="A70" s="43">
        <v>42172</v>
      </c>
      <c r="B70" s="107" t="s">
        <v>235</v>
      </c>
      <c r="C70" s="20">
        <v>2580</v>
      </c>
      <c r="D70" s="20">
        <v>2580000</v>
      </c>
      <c r="E70" s="29">
        <v>34352</v>
      </c>
      <c r="F70" s="29">
        <v>4116</v>
      </c>
      <c r="G70" s="45"/>
    </row>
    <row r="71" spans="1:8" x14ac:dyDescent="0.25">
      <c r="A71" s="43">
        <v>42178</v>
      </c>
      <c r="B71" s="107" t="s">
        <v>242</v>
      </c>
      <c r="C71" s="20">
        <v>7135</v>
      </c>
      <c r="D71" s="20">
        <v>7135000</v>
      </c>
      <c r="E71" s="29">
        <v>34352</v>
      </c>
      <c r="F71" s="29">
        <v>4116</v>
      </c>
      <c r="G71" s="45"/>
    </row>
    <row r="72" spans="1:8" x14ac:dyDescent="0.25">
      <c r="A72" s="43">
        <v>42188</v>
      </c>
      <c r="B72" s="107" t="s">
        <v>449</v>
      </c>
      <c r="C72" s="20">
        <v>112</v>
      </c>
      <c r="D72" s="20">
        <v>112000</v>
      </c>
      <c r="E72" s="29">
        <v>34001</v>
      </c>
      <c r="F72" s="29">
        <v>4116</v>
      </c>
      <c r="G72" s="45"/>
    </row>
    <row r="73" spans="1:8" x14ac:dyDescent="0.25">
      <c r="A73" s="43">
        <v>42198</v>
      </c>
      <c r="B73" s="107" t="s">
        <v>295</v>
      </c>
      <c r="C73" s="20">
        <v>80</v>
      </c>
      <c r="D73" s="20">
        <v>80000</v>
      </c>
      <c r="E73" s="29">
        <v>34070</v>
      </c>
      <c r="F73" s="29">
        <v>4116</v>
      </c>
      <c r="G73" s="45"/>
    </row>
    <row r="74" spans="1:8" x14ac:dyDescent="0.25">
      <c r="A74" s="43">
        <v>42212</v>
      </c>
      <c r="B74" s="107" t="s">
        <v>511</v>
      </c>
      <c r="C74" s="20">
        <v>1900</v>
      </c>
      <c r="D74" s="20">
        <v>1900000</v>
      </c>
      <c r="E74" s="29">
        <v>34054</v>
      </c>
      <c r="F74" s="29">
        <v>4116</v>
      </c>
      <c r="G74" s="45"/>
    </row>
    <row r="75" spans="1:8" x14ac:dyDescent="0.25">
      <c r="A75" s="43">
        <v>42214</v>
      </c>
      <c r="B75" s="107" t="s">
        <v>340</v>
      </c>
      <c r="C75" s="20">
        <v>70</v>
      </c>
      <c r="D75" s="20">
        <v>70000</v>
      </c>
      <c r="E75" s="29">
        <v>34070</v>
      </c>
      <c r="F75" s="29">
        <v>4116</v>
      </c>
      <c r="G75" s="384"/>
    </row>
    <row r="76" spans="1:8" x14ac:dyDescent="0.25">
      <c r="A76" s="287">
        <v>42227</v>
      </c>
      <c r="B76" s="430" t="s">
        <v>367</v>
      </c>
      <c r="C76" s="431">
        <v>180</v>
      </c>
      <c r="D76" s="431">
        <v>180000</v>
      </c>
      <c r="E76" s="36">
        <v>34070</v>
      </c>
      <c r="F76" s="36">
        <v>4116</v>
      </c>
      <c r="G76" s="160"/>
    </row>
    <row r="77" spans="1:8" x14ac:dyDescent="0.25">
      <c r="A77" s="43">
        <v>42241</v>
      </c>
      <c r="B77" s="107" t="s">
        <v>450</v>
      </c>
      <c r="C77" s="46">
        <v>2654</v>
      </c>
      <c r="D77" s="46">
        <v>2654000</v>
      </c>
      <c r="E77" s="29">
        <v>34002</v>
      </c>
      <c r="F77" s="29">
        <v>4116</v>
      </c>
      <c r="G77" s="45"/>
    </row>
    <row r="78" spans="1:8" x14ac:dyDescent="0.25">
      <c r="A78" s="43">
        <v>42271</v>
      </c>
      <c r="B78" s="107" t="s">
        <v>422</v>
      </c>
      <c r="C78" s="46">
        <v>0</v>
      </c>
      <c r="D78" s="46">
        <v>1380000</v>
      </c>
      <c r="E78" s="29">
        <v>34070</v>
      </c>
      <c r="F78" s="29">
        <v>4116</v>
      </c>
      <c r="G78" s="45"/>
    </row>
    <row r="79" spans="1:8" x14ac:dyDescent="0.25">
      <c r="A79" s="43">
        <v>42272</v>
      </c>
      <c r="B79" s="107" t="s">
        <v>422</v>
      </c>
      <c r="C79" s="46">
        <v>0</v>
      </c>
      <c r="D79" s="46">
        <v>620000</v>
      </c>
      <c r="E79" s="29">
        <v>34070</v>
      </c>
      <c r="F79" s="29">
        <v>4116</v>
      </c>
      <c r="G79" s="45"/>
    </row>
    <row r="80" spans="1:8" x14ac:dyDescent="0.25">
      <c r="A80" s="43"/>
      <c r="B80" s="107" t="s">
        <v>267</v>
      </c>
      <c r="C80" s="46">
        <v>100</v>
      </c>
      <c r="D80" s="46">
        <f>50000+50000</f>
        <v>100000</v>
      </c>
      <c r="E80" s="29">
        <v>34273</v>
      </c>
      <c r="F80" s="29">
        <v>4116</v>
      </c>
      <c r="G80" s="384"/>
      <c r="H80" s="384"/>
    </row>
    <row r="81" spans="1:8" x14ac:dyDescent="0.25">
      <c r="A81" s="43"/>
      <c r="B81" s="107" t="s">
        <v>382</v>
      </c>
      <c r="C81" s="46">
        <v>70</v>
      </c>
      <c r="D81" s="46">
        <v>70000</v>
      </c>
      <c r="E81" s="29">
        <v>34002</v>
      </c>
      <c r="F81" s="29">
        <v>4116</v>
      </c>
      <c r="G81" s="384"/>
      <c r="H81" s="384"/>
    </row>
    <row r="82" spans="1:8" x14ac:dyDescent="0.25">
      <c r="A82" s="43"/>
      <c r="B82" s="107" t="s">
        <v>383</v>
      </c>
      <c r="C82" s="46">
        <v>90</v>
      </c>
      <c r="D82" s="46">
        <v>90000</v>
      </c>
      <c r="E82" s="29">
        <v>34002</v>
      </c>
      <c r="F82" s="29">
        <v>4116</v>
      </c>
      <c r="G82" s="384"/>
      <c r="H82" s="384"/>
    </row>
    <row r="83" spans="1:8" x14ac:dyDescent="0.25">
      <c r="A83" s="43"/>
      <c r="B83" s="107" t="s">
        <v>430</v>
      </c>
      <c r="C83" s="20">
        <v>54</v>
      </c>
      <c r="D83" s="20">
        <v>54000</v>
      </c>
      <c r="E83" s="29">
        <v>34002</v>
      </c>
      <c r="F83" s="29">
        <v>4116</v>
      </c>
      <c r="G83" s="384"/>
      <c r="H83" s="384"/>
    </row>
    <row r="84" spans="1:8" x14ac:dyDescent="0.25">
      <c r="A84" s="43"/>
      <c r="B84" s="107" t="s">
        <v>451</v>
      </c>
      <c r="C84" s="20">
        <v>300</v>
      </c>
      <c r="D84" s="20">
        <v>300000</v>
      </c>
      <c r="E84" s="29">
        <v>34002</v>
      </c>
      <c r="F84" s="29">
        <v>4116</v>
      </c>
      <c r="G84" s="384"/>
      <c r="H84" s="384"/>
    </row>
    <row r="85" spans="1:8" x14ac:dyDescent="0.25">
      <c r="A85" s="43"/>
      <c r="B85" s="107"/>
      <c r="C85" s="20"/>
      <c r="D85" s="20"/>
      <c r="E85" s="29"/>
      <c r="F85" s="29"/>
      <c r="G85" s="45"/>
    </row>
    <row r="86" spans="1:8" x14ac:dyDescent="0.25">
      <c r="A86" s="43"/>
      <c r="B86" s="285" t="s">
        <v>34</v>
      </c>
      <c r="C86" s="39">
        <f>SUM(C87:C148)</f>
        <v>51231.16081999999</v>
      </c>
      <c r="D86" s="39">
        <f>SUM(D87:D149)</f>
        <v>51231160.82</v>
      </c>
      <c r="E86" s="29"/>
      <c r="F86" s="36"/>
      <c r="G86" s="45"/>
    </row>
    <row r="87" spans="1:8" x14ac:dyDescent="0.25">
      <c r="A87" s="43">
        <v>42054</v>
      </c>
      <c r="B87" s="107" t="s">
        <v>68</v>
      </c>
      <c r="C87" s="52">
        <v>972.54641000000004</v>
      </c>
      <c r="D87" s="52">
        <v>972546.41</v>
      </c>
      <c r="E87" s="29">
        <v>33019</v>
      </c>
      <c r="F87" s="36" t="s">
        <v>18</v>
      </c>
      <c r="G87" s="45"/>
    </row>
    <row r="88" spans="1:8" x14ac:dyDescent="0.25">
      <c r="A88" s="43">
        <v>42081</v>
      </c>
      <c r="B88" s="107" t="s">
        <v>117</v>
      </c>
      <c r="C88" s="52">
        <v>192</v>
      </c>
      <c r="D88" s="350">
        <v>192000</v>
      </c>
      <c r="E88" s="29">
        <v>33339</v>
      </c>
      <c r="F88" s="36">
        <v>4116</v>
      </c>
      <c r="G88" s="45"/>
    </row>
    <row r="89" spans="1:8" x14ac:dyDescent="0.25">
      <c r="A89" s="43">
        <v>42116</v>
      </c>
      <c r="B89" s="107" t="s">
        <v>145</v>
      </c>
      <c r="C89" s="52">
        <v>417.25607000000002</v>
      </c>
      <c r="D89" s="350">
        <f>354667.65+62588.42</f>
        <v>417256.07</v>
      </c>
      <c r="E89" s="29">
        <v>33019</v>
      </c>
      <c r="F89" s="36">
        <v>4116</v>
      </c>
      <c r="G89" s="45"/>
    </row>
    <row r="90" spans="1:8" x14ac:dyDescent="0.25">
      <c r="A90" s="43">
        <v>42117</v>
      </c>
      <c r="B90" s="107" t="s">
        <v>148</v>
      </c>
      <c r="C90" s="52">
        <v>6858.8674300000002</v>
      </c>
      <c r="D90" s="351">
        <v>6858867.4299999997</v>
      </c>
      <c r="E90" s="29">
        <v>33019</v>
      </c>
      <c r="F90" s="36">
        <v>4116</v>
      </c>
      <c r="G90" s="45"/>
    </row>
    <row r="91" spans="1:8" x14ac:dyDescent="0.25">
      <c r="A91" s="43">
        <v>42131</v>
      </c>
      <c r="B91" s="107" t="s">
        <v>174</v>
      </c>
      <c r="C91" s="52">
        <v>592.21028999999999</v>
      </c>
      <c r="D91" s="350">
        <v>592210.29</v>
      </c>
      <c r="E91" s="28">
        <v>33019</v>
      </c>
      <c r="F91" s="36">
        <v>4116</v>
      </c>
      <c r="G91" s="45"/>
    </row>
    <row r="92" spans="1:8" x14ac:dyDescent="0.25">
      <c r="A92" s="43">
        <v>42138</v>
      </c>
      <c r="B92" s="107" t="s">
        <v>148</v>
      </c>
      <c r="C92" s="52">
        <v>4904.7020000000002</v>
      </c>
      <c r="D92" s="350">
        <v>4904702</v>
      </c>
      <c r="E92" s="28">
        <v>33019</v>
      </c>
      <c r="F92" s="36">
        <v>4116</v>
      </c>
      <c r="G92" s="45"/>
    </row>
    <row r="93" spans="1:8" x14ac:dyDescent="0.25">
      <c r="A93" s="43">
        <v>42184</v>
      </c>
      <c r="B93" s="107" t="s">
        <v>145</v>
      </c>
      <c r="C93" s="52">
        <v>681.93142</v>
      </c>
      <c r="D93" s="350">
        <v>681931.42</v>
      </c>
      <c r="E93" s="28">
        <v>33019</v>
      </c>
      <c r="F93" s="36">
        <v>4116</v>
      </c>
      <c r="G93" s="45"/>
    </row>
    <row r="94" spans="1:8" x14ac:dyDescent="0.25">
      <c r="A94" s="43">
        <v>42188</v>
      </c>
      <c r="B94" s="276" t="s">
        <v>174</v>
      </c>
      <c r="C94" s="52">
        <v>800.06946000000005</v>
      </c>
      <c r="D94" s="350">
        <v>800069.46</v>
      </c>
      <c r="E94" s="28">
        <v>33019</v>
      </c>
      <c r="F94" s="36">
        <v>4116</v>
      </c>
      <c r="G94" s="45"/>
    </row>
    <row r="95" spans="1:8" x14ac:dyDescent="0.25">
      <c r="A95" s="43">
        <v>42198</v>
      </c>
      <c r="B95" s="276" t="s">
        <v>452</v>
      </c>
      <c r="C95" s="52">
        <f>841.97005+148.58295</f>
        <v>990.553</v>
      </c>
      <c r="D95" s="350">
        <f>841970.05+148582.95</f>
        <v>990553</v>
      </c>
      <c r="E95" s="28">
        <v>33058</v>
      </c>
      <c r="F95" s="36">
        <v>4116</v>
      </c>
      <c r="G95" s="45"/>
    </row>
    <row r="96" spans="1:8" x14ac:dyDescent="0.25">
      <c r="A96" s="43">
        <v>42198</v>
      </c>
      <c r="B96" s="276" t="s">
        <v>453</v>
      </c>
      <c r="C96" s="52">
        <f>846.78615+149.43285</f>
        <v>996.21900000000005</v>
      </c>
      <c r="D96" s="350">
        <f>846786.15+149432.85</f>
        <v>996219</v>
      </c>
      <c r="E96" s="28">
        <v>33058</v>
      </c>
      <c r="F96" s="36">
        <v>4116</v>
      </c>
      <c r="G96" s="45"/>
    </row>
    <row r="97" spans="1:7" x14ac:dyDescent="0.25">
      <c r="A97" s="43">
        <v>42198</v>
      </c>
      <c r="B97" s="276" t="s">
        <v>454</v>
      </c>
      <c r="C97" s="52">
        <f>689.90845+121.74855</f>
        <v>811.65700000000004</v>
      </c>
      <c r="D97" s="350">
        <f>689908.45+121748.55</f>
        <v>811657</v>
      </c>
      <c r="E97" s="28">
        <v>33058</v>
      </c>
      <c r="F97" s="36">
        <v>4116</v>
      </c>
      <c r="G97" s="45"/>
    </row>
    <row r="98" spans="1:7" x14ac:dyDescent="0.25">
      <c r="A98" s="43">
        <v>42200</v>
      </c>
      <c r="B98" s="276" t="s">
        <v>296</v>
      </c>
      <c r="C98" s="52">
        <v>978.06399999999996</v>
      </c>
      <c r="D98" s="350">
        <v>978064</v>
      </c>
      <c r="E98" s="28">
        <v>33058</v>
      </c>
      <c r="F98" s="36">
        <v>4116</v>
      </c>
      <c r="G98" s="45"/>
    </row>
    <row r="99" spans="1:7" x14ac:dyDescent="0.25">
      <c r="A99" s="43">
        <v>42200</v>
      </c>
      <c r="B99" s="276" t="s">
        <v>297</v>
      </c>
      <c r="C99" s="52">
        <v>914.54499999999996</v>
      </c>
      <c r="D99" s="350">
        <v>914545</v>
      </c>
      <c r="E99" s="28">
        <v>33058</v>
      </c>
      <c r="F99" s="36">
        <v>4116</v>
      </c>
      <c r="G99" s="45"/>
    </row>
    <row r="100" spans="1:7" x14ac:dyDescent="0.25">
      <c r="A100" s="43">
        <v>42200</v>
      </c>
      <c r="B100" s="276" t="s">
        <v>298</v>
      </c>
      <c r="C100" s="52">
        <v>797.56700000000001</v>
      </c>
      <c r="D100" s="350">
        <v>797567</v>
      </c>
      <c r="E100" s="28">
        <v>33058</v>
      </c>
      <c r="F100" s="36">
        <v>4116</v>
      </c>
      <c r="G100" s="45"/>
    </row>
    <row r="101" spans="1:7" x14ac:dyDescent="0.25">
      <c r="A101" s="43">
        <v>42200</v>
      </c>
      <c r="B101" s="276" t="s">
        <v>299</v>
      </c>
      <c r="C101" s="52">
        <v>991.53399999999999</v>
      </c>
      <c r="D101" s="350">
        <v>991534</v>
      </c>
      <c r="E101" s="28">
        <v>33058</v>
      </c>
      <c r="F101" s="36">
        <v>4116</v>
      </c>
      <c r="G101" s="45"/>
    </row>
    <row r="102" spans="1:7" x14ac:dyDescent="0.25">
      <c r="A102" s="43">
        <v>42200</v>
      </c>
      <c r="B102" s="276" t="s">
        <v>496</v>
      </c>
      <c r="C102" s="52">
        <v>959.90899999999999</v>
      </c>
      <c r="D102" s="350">
        <v>959909</v>
      </c>
      <c r="E102" s="28">
        <v>33058</v>
      </c>
      <c r="F102" s="36">
        <v>4116</v>
      </c>
      <c r="G102" s="45"/>
    </row>
    <row r="103" spans="1:7" x14ac:dyDescent="0.25">
      <c r="A103" s="43">
        <v>42206</v>
      </c>
      <c r="B103" s="276" t="s">
        <v>455</v>
      </c>
      <c r="C103" s="52">
        <v>415.29</v>
      </c>
      <c r="D103" s="350">
        <v>415290</v>
      </c>
      <c r="E103" s="28">
        <v>33058</v>
      </c>
      <c r="F103" s="36">
        <v>4116</v>
      </c>
      <c r="G103" s="45"/>
    </row>
    <row r="104" spans="1:7" x14ac:dyDescent="0.25">
      <c r="A104" s="43">
        <v>42206</v>
      </c>
      <c r="B104" s="276" t="s">
        <v>456</v>
      </c>
      <c r="C104" s="52">
        <v>578.94200000000001</v>
      </c>
      <c r="D104" s="350">
        <v>578942</v>
      </c>
      <c r="E104" s="28">
        <v>33058</v>
      </c>
      <c r="F104" s="36">
        <v>4116</v>
      </c>
      <c r="G104" s="45"/>
    </row>
    <row r="105" spans="1:7" x14ac:dyDescent="0.25">
      <c r="A105" s="43">
        <v>42206</v>
      </c>
      <c r="B105" s="276" t="s">
        <v>457</v>
      </c>
      <c r="C105" s="52">
        <v>528.80200000000002</v>
      </c>
      <c r="D105" s="350">
        <v>528802</v>
      </c>
      <c r="E105" s="28">
        <v>33058</v>
      </c>
      <c r="F105" s="36">
        <v>4116</v>
      </c>
      <c r="G105" s="45"/>
    </row>
    <row r="106" spans="1:7" x14ac:dyDescent="0.25">
      <c r="A106" s="43">
        <v>42206</v>
      </c>
      <c r="B106" s="276" t="s">
        <v>458</v>
      </c>
      <c r="C106" s="52">
        <v>672.51599999999996</v>
      </c>
      <c r="D106" s="350">
        <v>672516</v>
      </c>
      <c r="E106" s="28">
        <v>33058</v>
      </c>
      <c r="F106" s="36">
        <v>4116</v>
      </c>
      <c r="G106" s="45"/>
    </row>
    <row r="107" spans="1:7" x14ac:dyDescent="0.25">
      <c r="A107" s="43">
        <v>42206</v>
      </c>
      <c r="B107" s="276" t="s">
        <v>459</v>
      </c>
      <c r="C107" s="52">
        <v>424.34399999999999</v>
      </c>
      <c r="D107" s="350">
        <v>424344</v>
      </c>
      <c r="E107" s="28">
        <v>33058</v>
      </c>
      <c r="F107" s="36">
        <v>4116</v>
      </c>
      <c r="G107" s="45"/>
    </row>
    <row r="108" spans="1:7" x14ac:dyDescent="0.25">
      <c r="A108" s="43">
        <v>42206</v>
      </c>
      <c r="B108" s="276" t="s">
        <v>460</v>
      </c>
      <c r="C108" s="46">
        <v>315.46100000000001</v>
      </c>
      <c r="D108" s="350">
        <v>315461</v>
      </c>
      <c r="E108" s="28">
        <v>33058</v>
      </c>
      <c r="F108" s="36">
        <v>4116</v>
      </c>
      <c r="G108" s="45"/>
    </row>
    <row r="109" spans="1:7" x14ac:dyDescent="0.25">
      <c r="A109" s="43">
        <v>42206</v>
      </c>
      <c r="B109" s="276" t="s">
        <v>461</v>
      </c>
      <c r="C109" s="46">
        <v>537.85599999999999</v>
      </c>
      <c r="D109" s="350">
        <v>537856</v>
      </c>
      <c r="E109" s="28">
        <v>33058</v>
      </c>
      <c r="F109" s="36">
        <v>4116</v>
      </c>
      <c r="G109" s="45"/>
    </row>
    <row r="110" spans="1:7" x14ac:dyDescent="0.25">
      <c r="A110" s="43">
        <v>42206</v>
      </c>
      <c r="B110" s="276" t="s">
        <v>462</v>
      </c>
      <c r="C110" s="46">
        <v>980.19799999999998</v>
      </c>
      <c r="D110" s="350">
        <v>980198</v>
      </c>
      <c r="E110" s="28">
        <v>33058</v>
      </c>
      <c r="F110" s="36">
        <v>4116</v>
      </c>
      <c r="G110" s="45"/>
    </row>
    <row r="111" spans="1:7" x14ac:dyDescent="0.25">
      <c r="A111" s="43">
        <v>42209</v>
      </c>
      <c r="B111" s="276" t="s">
        <v>463</v>
      </c>
      <c r="C111" s="46">
        <v>715.23800000000006</v>
      </c>
      <c r="D111" s="350">
        <v>715238</v>
      </c>
      <c r="E111" s="28">
        <v>33058</v>
      </c>
      <c r="F111" s="36">
        <v>4116</v>
      </c>
      <c r="G111" s="45"/>
    </row>
    <row r="112" spans="1:7" x14ac:dyDescent="0.25">
      <c r="A112" s="43">
        <v>42209</v>
      </c>
      <c r="B112" s="276" t="s">
        <v>464</v>
      </c>
      <c r="C112" s="46">
        <v>692.15</v>
      </c>
      <c r="D112" s="350">
        <v>692150</v>
      </c>
      <c r="E112" s="28">
        <v>33058</v>
      </c>
      <c r="F112" s="36">
        <v>4116</v>
      </c>
      <c r="G112" s="45"/>
    </row>
    <row r="113" spans="1:7" x14ac:dyDescent="0.25">
      <c r="A113" s="43">
        <v>42209</v>
      </c>
      <c r="B113" s="276" t="s">
        <v>465</v>
      </c>
      <c r="C113" s="46">
        <v>903.15300000000002</v>
      </c>
      <c r="D113" s="350">
        <v>903153</v>
      </c>
      <c r="E113" s="28">
        <v>33058</v>
      </c>
      <c r="F113" s="36">
        <v>4116</v>
      </c>
      <c r="G113" s="45"/>
    </row>
    <row r="114" spans="1:7" x14ac:dyDescent="0.25">
      <c r="A114" s="43">
        <v>42209</v>
      </c>
      <c r="B114" s="276" t="s">
        <v>466</v>
      </c>
      <c r="C114" s="46">
        <v>328.98700000000002</v>
      </c>
      <c r="D114" s="350">
        <v>328987</v>
      </c>
      <c r="E114" s="28">
        <v>33058</v>
      </c>
      <c r="F114" s="36">
        <v>4116</v>
      </c>
      <c r="G114" s="45"/>
    </row>
    <row r="115" spans="1:7" x14ac:dyDescent="0.25">
      <c r="A115" s="43">
        <v>42209</v>
      </c>
      <c r="B115" s="276" t="s">
        <v>467</v>
      </c>
      <c r="C115" s="46">
        <v>989.45600000000002</v>
      </c>
      <c r="D115" s="350">
        <v>989456</v>
      </c>
      <c r="E115" s="28">
        <v>33058</v>
      </c>
      <c r="F115" s="36">
        <v>4116</v>
      </c>
      <c r="G115" s="45"/>
    </row>
    <row r="116" spans="1:7" x14ac:dyDescent="0.25">
      <c r="A116" s="43">
        <v>42209</v>
      </c>
      <c r="B116" s="276" t="s">
        <v>468</v>
      </c>
      <c r="C116" s="46">
        <v>990.11099999999999</v>
      </c>
      <c r="D116" s="350">
        <v>990111</v>
      </c>
      <c r="E116" s="28">
        <v>33058</v>
      </c>
      <c r="F116" s="36">
        <v>4116</v>
      </c>
      <c r="G116" s="45"/>
    </row>
    <row r="117" spans="1:7" x14ac:dyDescent="0.25">
      <c r="A117" s="43">
        <v>42214</v>
      </c>
      <c r="B117" s="276" t="s">
        <v>469</v>
      </c>
      <c r="C117" s="46">
        <v>973.43499999999995</v>
      </c>
      <c r="D117" s="350">
        <f>827419.75+146015.25</f>
        <v>973435</v>
      </c>
      <c r="E117" s="28">
        <v>33058</v>
      </c>
      <c r="F117" s="29">
        <v>4116</v>
      </c>
      <c r="G117" s="45"/>
    </row>
    <row r="118" spans="1:7" ht="14.45" customHeight="1" x14ac:dyDescent="0.25">
      <c r="A118" s="43">
        <v>42214</v>
      </c>
      <c r="B118" s="276" t="s">
        <v>470</v>
      </c>
      <c r="C118" s="46">
        <v>600.303</v>
      </c>
      <c r="D118" s="350">
        <f>510257.55+90045.45</f>
        <v>600303</v>
      </c>
      <c r="E118" s="28">
        <v>33058</v>
      </c>
      <c r="F118" s="29">
        <v>4116</v>
      </c>
      <c r="G118" s="45"/>
    </row>
    <row r="119" spans="1:7" x14ac:dyDescent="0.25">
      <c r="A119" s="43">
        <v>42214</v>
      </c>
      <c r="B119" s="276" t="s">
        <v>337</v>
      </c>
      <c r="C119" s="46">
        <v>87.683000000000007</v>
      </c>
      <c r="D119" s="350">
        <v>87683</v>
      </c>
      <c r="E119" s="28">
        <v>33060</v>
      </c>
      <c r="F119" s="29">
        <v>4116</v>
      </c>
      <c r="G119" s="45"/>
    </row>
    <row r="120" spans="1:7" x14ac:dyDescent="0.25">
      <c r="A120" s="43">
        <v>42214</v>
      </c>
      <c r="B120" s="276" t="s">
        <v>338</v>
      </c>
      <c r="C120" s="46">
        <v>40</v>
      </c>
      <c r="D120" s="350">
        <v>40000</v>
      </c>
      <c r="E120" s="28">
        <v>33060</v>
      </c>
      <c r="F120" s="29">
        <v>4116</v>
      </c>
      <c r="G120" s="45"/>
    </row>
    <row r="121" spans="1:7" x14ac:dyDescent="0.25">
      <c r="A121" s="43">
        <v>42214</v>
      </c>
      <c r="B121" s="276" t="s">
        <v>339</v>
      </c>
      <c r="C121" s="46">
        <v>100.455</v>
      </c>
      <c r="D121" s="350">
        <v>100455</v>
      </c>
      <c r="E121" s="28">
        <v>33060</v>
      </c>
      <c r="F121" s="29">
        <v>4116</v>
      </c>
      <c r="G121" s="45"/>
    </row>
    <row r="122" spans="1:7" x14ac:dyDescent="0.25">
      <c r="A122" s="43">
        <v>42222</v>
      </c>
      <c r="B122" s="276" t="s">
        <v>471</v>
      </c>
      <c r="C122" s="20">
        <v>568.97299999999996</v>
      </c>
      <c r="D122" s="350">
        <v>568973</v>
      </c>
      <c r="E122" s="28">
        <v>33058</v>
      </c>
      <c r="F122" s="29">
        <v>4116</v>
      </c>
      <c r="G122" s="45"/>
    </row>
    <row r="123" spans="1:7" x14ac:dyDescent="0.25">
      <c r="A123" s="43">
        <v>42227</v>
      </c>
      <c r="B123" s="276" t="s">
        <v>472</v>
      </c>
      <c r="C123" s="20">
        <v>417.58100000000002</v>
      </c>
      <c r="D123" s="350">
        <v>417581</v>
      </c>
      <c r="E123" s="28">
        <v>33058</v>
      </c>
      <c r="F123" s="29">
        <v>4116</v>
      </c>
      <c r="G123" s="45"/>
    </row>
    <row r="124" spans="1:7" x14ac:dyDescent="0.25">
      <c r="A124" s="43">
        <v>42227</v>
      </c>
      <c r="B124" s="276" t="s">
        <v>473</v>
      </c>
      <c r="C124" s="20">
        <v>707.96699999999998</v>
      </c>
      <c r="D124" s="350">
        <v>707967</v>
      </c>
      <c r="E124" s="28">
        <v>33058</v>
      </c>
      <c r="F124" s="29">
        <v>4116</v>
      </c>
      <c r="G124" s="45"/>
    </row>
    <row r="125" spans="1:7" x14ac:dyDescent="0.25">
      <c r="A125" s="43">
        <v>42227</v>
      </c>
      <c r="B125" s="276" t="s">
        <v>474</v>
      </c>
      <c r="C125" s="20">
        <v>542.32799999999997</v>
      </c>
      <c r="D125" s="350">
        <v>542328</v>
      </c>
      <c r="E125" s="28">
        <v>33058</v>
      </c>
      <c r="F125" s="29">
        <v>4116</v>
      </c>
      <c r="G125" s="45"/>
    </row>
    <row r="126" spans="1:7" x14ac:dyDescent="0.25">
      <c r="A126" s="43">
        <v>42227</v>
      </c>
      <c r="B126" s="276" t="s">
        <v>475</v>
      </c>
      <c r="C126" s="20">
        <v>605.84699999999998</v>
      </c>
      <c r="D126" s="350">
        <v>605847</v>
      </c>
      <c r="E126" s="28">
        <v>33058</v>
      </c>
      <c r="F126" s="29">
        <v>4116</v>
      </c>
      <c r="G126" s="45"/>
    </row>
    <row r="127" spans="1:7" x14ac:dyDescent="0.25">
      <c r="A127" s="43">
        <v>42227</v>
      </c>
      <c r="B127" s="276" t="s">
        <v>476</v>
      </c>
      <c r="C127" s="20">
        <v>914.54499999999996</v>
      </c>
      <c r="D127" s="350">
        <v>914545</v>
      </c>
      <c r="E127" s="28">
        <v>33058</v>
      </c>
      <c r="F127" s="29">
        <v>4116</v>
      </c>
      <c r="G127" s="45"/>
    </row>
    <row r="128" spans="1:7" x14ac:dyDescent="0.25">
      <c r="A128" s="43">
        <v>42229</v>
      </c>
      <c r="B128" s="276" t="s">
        <v>478</v>
      </c>
      <c r="C128" s="20">
        <v>614.12400000000002</v>
      </c>
      <c r="D128" s="350">
        <v>614124</v>
      </c>
      <c r="E128" s="28">
        <v>33058</v>
      </c>
      <c r="F128" s="29">
        <v>4116</v>
      </c>
      <c r="G128" s="45"/>
    </row>
    <row r="129" spans="1:7" x14ac:dyDescent="0.25">
      <c r="A129" s="43">
        <v>42229</v>
      </c>
      <c r="B129" s="276" t="s">
        <v>477</v>
      </c>
      <c r="C129" s="20">
        <v>492.49200000000002</v>
      </c>
      <c r="D129" s="350">
        <v>492492</v>
      </c>
      <c r="E129" s="28">
        <v>33058</v>
      </c>
      <c r="F129" s="29">
        <v>4116</v>
      </c>
      <c r="G129" s="45"/>
    </row>
    <row r="130" spans="1:7" x14ac:dyDescent="0.25">
      <c r="A130" s="43">
        <v>42233</v>
      </c>
      <c r="B130" s="276" t="s">
        <v>479</v>
      </c>
      <c r="C130" s="20">
        <v>378.98</v>
      </c>
      <c r="D130" s="350">
        <v>378980</v>
      </c>
      <c r="E130" s="28">
        <v>33058</v>
      </c>
      <c r="F130" s="29">
        <v>4116</v>
      </c>
      <c r="G130" s="45"/>
    </row>
    <row r="131" spans="1:7" x14ac:dyDescent="0.25">
      <c r="A131" s="43">
        <v>42233</v>
      </c>
      <c r="B131" s="276" t="s">
        <v>480</v>
      </c>
      <c r="C131" s="20">
        <v>785.52</v>
      </c>
      <c r="D131" s="350">
        <v>785520</v>
      </c>
      <c r="E131" s="28">
        <v>33058</v>
      </c>
      <c r="F131" s="29">
        <v>4116</v>
      </c>
      <c r="G131" s="45"/>
    </row>
    <row r="132" spans="1:7" x14ac:dyDescent="0.25">
      <c r="A132" s="43">
        <v>42233</v>
      </c>
      <c r="B132" s="276" t="s">
        <v>481</v>
      </c>
      <c r="C132" s="20">
        <v>447.12799999999999</v>
      </c>
      <c r="D132" s="350">
        <v>447128</v>
      </c>
      <c r="E132" s="28">
        <v>33058</v>
      </c>
      <c r="F132" s="29">
        <v>4116</v>
      </c>
      <c r="G132" s="45"/>
    </row>
    <row r="133" spans="1:7" x14ac:dyDescent="0.25">
      <c r="A133" s="43">
        <v>42233</v>
      </c>
      <c r="B133" s="276" t="s">
        <v>482</v>
      </c>
      <c r="C133" s="20">
        <v>692.15</v>
      </c>
      <c r="D133" s="350">
        <v>692150</v>
      </c>
      <c r="E133" s="28">
        <v>33058</v>
      </c>
      <c r="F133" s="29">
        <v>4116</v>
      </c>
      <c r="G133" s="45"/>
    </row>
    <row r="134" spans="1:7" x14ac:dyDescent="0.25">
      <c r="A134" s="43">
        <v>42236</v>
      </c>
      <c r="B134" s="276" t="s">
        <v>483</v>
      </c>
      <c r="C134" s="20">
        <v>479.97199999999998</v>
      </c>
      <c r="D134" s="350">
        <v>479972</v>
      </c>
      <c r="E134" s="28">
        <v>33058</v>
      </c>
      <c r="F134" s="29">
        <v>4116</v>
      </c>
      <c r="G134" s="45"/>
    </row>
    <row r="135" spans="1:7" x14ac:dyDescent="0.25">
      <c r="A135" s="43">
        <v>42236</v>
      </c>
      <c r="B135" s="276" t="s">
        <v>484</v>
      </c>
      <c r="C135" s="20">
        <v>964.17700000000002</v>
      </c>
      <c r="D135" s="350">
        <v>964177</v>
      </c>
      <c r="E135" s="28">
        <v>33058</v>
      </c>
      <c r="F135" s="29">
        <v>4116</v>
      </c>
      <c r="G135" s="45"/>
    </row>
    <row r="136" spans="1:7" x14ac:dyDescent="0.25">
      <c r="A136" s="43">
        <v>42236</v>
      </c>
      <c r="B136" s="276" t="s">
        <v>485</v>
      </c>
      <c r="C136" s="20">
        <v>736.59900000000005</v>
      </c>
      <c r="D136" s="350">
        <v>736599</v>
      </c>
      <c r="E136" s="28">
        <v>33058</v>
      </c>
      <c r="F136" s="29">
        <v>4116</v>
      </c>
      <c r="G136" s="45"/>
    </row>
    <row r="137" spans="1:7" x14ac:dyDescent="0.25">
      <c r="A137" s="43">
        <v>42236</v>
      </c>
      <c r="B137" s="276" t="s">
        <v>486</v>
      </c>
      <c r="C137" s="20">
        <v>501.89699999999999</v>
      </c>
      <c r="D137" s="350">
        <v>501897</v>
      </c>
      <c r="E137" s="28">
        <v>33058</v>
      </c>
      <c r="F137" s="29">
        <v>4116</v>
      </c>
      <c r="G137" s="45"/>
    </row>
    <row r="138" spans="1:7" x14ac:dyDescent="0.25">
      <c r="A138" s="43">
        <v>42240</v>
      </c>
      <c r="B138" s="276" t="s">
        <v>487</v>
      </c>
      <c r="C138" s="20">
        <v>390.37200000000001</v>
      </c>
      <c r="D138" s="350">
        <v>390372</v>
      </c>
      <c r="E138" s="28">
        <v>33058</v>
      </c>
      <c r="F138" s="29">
        <v>4116</v>
      </c>
      <c r="G138" s="45"/>
    </row>
    <row r="139" spans="1:7" x14ac:dyDescent="0.25">
      <c r="A139" s="43">
        <v>42240</v>
      </c>
      <c r="B139" s="276" t="s">
        <v>489</v>
      </c>
      <c r="C139" s="20">
        <v>227.024</v>
      </c>
      <c r="D139" s="350">
        <v>227024</v>
      </c>
      <c r="E139" s="28">
        <v>33058</v>
      </c>
      <c r="F139" s="29">
        <v>4116</v>
      </c>
      <c r="G139" s="45"/>
    </row>
    <row r="140" spans="1:7" x14ac:dyDescent="0.25">
      <c r="A140" s="43">
        <v>42240</v>
      </c>
      <c r="B140" s="276" t="s">
        <v>488</v>
      </c>
      <c r="C140" s="20">
        <v>649.077</v>
      </c>
      <c r="D140" s="350">
        <v>649077</v>
      </c>
      <c r="E140" s="28">
        <v>33058</v>
      </c>
      <c r="F140" s="29">
        <v>4116</v>
      </c>
      <c r="G140" s="45"/>
    </row>
    <row r="141" spans="1:7" x14ac:dyDescent="0.25">
      <c r="A141" s="43">
        <v>42240</v>
      </c>
      <c r="B141" s="276" t="s">
        <v>490</v>
      </c>
      <c r="C141" s="20">
        <v>982.69299999999998</v>
      </c>
      <c r="D141" s="350">
        <v>982693</v>
      </c>
      <c r="E141" s="28">
        <v>33058</v>
      </c>
      <c r="F141" s="29">
        <v>4116</v>
      </c>
      <c r="G141" s="45"/>
    </row>
    <row r="142" spans="1:7" x14ac:dyDescent="0.25">
      <c r="A142" s="43">
        <v>42240</v>
      </c>
      <c r="B142" s="276" t="s">
        <v>491</v>
      </c>
      <c r="C142" s="20">
        <v>481.1</v>
      </c>
      <c r="D142" s="350">
        <v>481100</v>
      </c>
      <c r="E142" s="28">
        <v>33058</v>
      </c>
      <c r="F142" s="29">
        <v>4116</v>
      </c>
      <c r="G142" s="45"/>
    </row>
    <row r="143" spans="1:7" x14ac:dyDescent="0.25">
      <c r="A143" s="43">
        <v>42240</v>
      </c>
      <c r="B143" s="276" t="s">
        <v>492</v>
      </c>
      <c r="C143" s="20">
        <v>979.07</v>
      </c>
      <c r="D143" s="350">
        <v>979070</v>
      </c>
      <c r="E143" s="28">
        <v>33058</v>
      </c>
      <c r="F143" s="29">
        <v>4116</v>
      </c>
      <c r="G143" s="45"/>
    </row>
    <row r="144" spans="1:7" x14ac:dyDescent="0.25">
      <c r="A144" s="43">
        <v>42240</v>
      </c>
      <c r="B144" s="276" t="s">
        <v>493</v>
      </c>
      <c r="C144" s="20">
        <v>354.06200000000001</v>
      </c>
      <c r="D144" s="350">
        <v>354062</v>
      </c>
      <c r="E144" s="28">
        <v>33058</v>
      </c>
      <c r="F144" s="29">
        <v>4116</v>
      </c>
      <c r="G144" s="45"/>
    </row>
    <row r="145" spans="1:8" x14ac:dyDescent="0.25">
      <c r="A145" s="43">
        <v>42240</v>
      </c>
      <c r="B145" s="276" t="s">
        <v>494</v>
      </c>
      <c r="C145" s="20">
        <v>227.024</v>
      </c>
      <c r="D145" s="350">
        <v>227024</v>
      </c>
      <c r="E145" s="28">
        <v>33058</v>
      </c>
      <c r="F145" s="29">
        <v>4116</v>
      </c>
      <c r="G145" s="45"/>
    </row>
    <row r="146" spans="1:8" x14ac:dyDescent="0.25">
      <c r="A146" s="43">
        <v>42240</v>
      </c>
      <c r="B146" s="276" t="s">
        <v>495</v>
      </c>
      <c r="C146" s="20">
        <v>998.44399999999996</v>
      </c>
      <c r="D146" s="350">
        <v>998444</v>
      </c>
      <c r="E146" s="28">
        <v>33058</v>
      </c>
      <c r="F146" s="29">
        <v>4116</v>
      </c>
      <c r="G146" s="45"/>
    </row>
    <row r="147" spans="1:8" x14ac:dyDescent="0.25">
      <c r="A147" s="43">
        <v>42240</v>
      </c>
      <c r="B147" s="276" t="s">
        <v>512</v>
      </c>
      <c r="C147" s="20">
        <v>265.46800000000002</v>
      </c>
      <c r="D147" s="350">
        <v>265468</v>
      </c>
      <c r="E147" s="28">
        <v>33058</v>
      </c>
      <c r="F147" s="29">
        <v>4116</v>
      </c>
      <c r="G147" s="45"/>
      <c r="H147" s="384"/>
    </row>
    <row r="148" spans="1:8" x14ac:dyDescent="0.25">
      <c r="A148" s="43">
        <v>42242</v>
      </c>
      <c r="B148" s="276" t="s">
        <v>148</v>
      </c>
      <c r="C148" s="20">
        <v>2092.5357399999998</v>
      </c>
      <c r="D148" s="52">
        <v>2092535.74</v>
      </c>
      <c r="E148" s="28">
        <v>33019</v>
      </c>
      <c r="F148" s="29">
        <v>4116</v>
      </c>
      <c r="G148" s="45"/>
    </row>
    <row r="149" spans="1:8" x14ac:dyDescent="0.25">
      <c r="A149" s="43"/>
      <c r="B149" s="107"/>
      <c r="C149" s="20"/>
      <c r="D149" s="52"/>
      <c r="E149" s="28"/>
      <c r="F149" s="29">
        <v>4116</v>
      </c>
      <c r="G149" s="45"/>
    </row>
    <row r="150" spans="1:8" x14ac:dyDescent="0.25">
      <c r="A150" s="43"/>
      <c r="B150" s="273" t="s">
        <v>35</v>
      </c>
      <c r="C150" s="30">
        <f>+SUM(C151:C156)</f>
        <v>2686.6678700000002</v>
      </c>
      <c r="D150" s="30">
        <f>+SUM(D151:D156)</f>
        <v>2686667.87</v>
      </c>
      <c r="E150" s="28"/>
      <c r="F150" s="29"/>
      <c r="G150" s="45"/>
    </row>
    <row r="151" spans="1:8" x14ac:dyDescent="0.25">
      <c r="A151" s="43">
        <v>42040</v>
      </c>
      <c r="B151" s="107" t="s">
        <v>60</v>
      </c>
      <c r="C151" s="52">
        <v>2686.6678700000002</v>
      </c>
      <c r="D151" s="52">
        <v>2686667.87</v>
      </c>
      <c r="E151" s="28">
        <v>17003</v>
      </c>
      <c r="F151" s="29" t="s">
        <v>18</v>
      </c>
      <c r="G151" s="45"/>
    </row>
    <row r="152" spans="1:8" x14ac:dyDescent="0.25">
      <c r="A152" s="43">
        <v>42059</v>
      </c>
      <c r="B152" s="107" t="s">
        <v>105</v>
      </c>
      <c r="C152" s="52">
        <v>188.21549999999999</v>
      </c>
      <c r="D152" s="52">
        <v>188215.5</v>
      </c>
      <c r="E152" s="28">
        <v>17003</v>
      </c>
      <c r="F152" s="29">
        <v>4116</v>
      </c>
      <c r="G152" s="45"/>
    </row>
    <row r="153" spans="1:8" x14ac:dyDescent="0.25">
      <c r="A153" s="43">
        <v>42059</v>
      </c>
      <c r="B153" s="107" t="s">
        <v>105</v>
      </c>
      <c r="C153" s="52">
        <v>33.214500000000001</v>
      </c>
      <c r="D153" s="52">
        <v>33214.5</v>
      </c>
      <c r="E153" s="28">
        <v>17002</v>
      </c>
      <c r="F153" s="29">
        <v>4116</v>
      </c>
      <c r="G153" s="45"/>
    </row>
    <row r="154" spans="1:8" x14ac:dyDescent="0.25">
      <c r="A154" s="43">
        <v>42241</v>
      </c>
      <c r="B154" s="107" t="s">
        <v>497</v>
      </c>
      <c r="C154" s="52">
        <v>-188.21549999999999</v>
      </c>
      <c r="D154" s="52">
        <v>-188215.5</v>
      </c>
      <c r="E154" s="28">
        <v>17003</v>
      </c>
      <c r="F154" s="29">
        <v>4116</v>
      </c>
      <c r="G154" s="45"/>
    </row>
    <row r="155" spans="1:8" x14ac:dyDescent="0.25">
      <c r="A155" s="43">
        <v>42241</v>
      </c>
      <c r="B155" s="107" t="s">
        <v>513</v>
      </c>
      <c r="C155" s="52">
        <v>-33.214500000000001</v>
      </c>
      <c r="D155" s="52">
        <v>-33214.5</v>
      </c>
      <c r="E155" s="28">
        <v>17002</v>
      </c>
      <c r="F155" s="29">
        <v>4116</v>
      </c>
      <c r="G155" s="45"/>
    </row>
    <row r="156" spans="1:8" x14ac:dyDescent="0.25">
      <c r="A156" s="43"/>
      <c r="B156" s="289"/>
      <c r="C156" s="52"/>
      <c r="D156" s="52"/>
      <c r="E156" s="28"/>
      <c r="F156" s="29"/>
      <c r="G156" s="45"/>
    </row>
    <row r="157" spans="1:8" x14ac:dyDescent="0.25">
      <c r="A157" s="287"/>
      <c r="B157" s="432" t="s">
        <v>36</v>
      </c>
      <c r="C157" s="433">
        <f>+SUM(C158:C162)</f>
        <v>47811.788510000006</v>
      </c>
      <c r="D157" s="433">
        <f>+SUM(D158:D162)</f>
        <v>60120788.509999998</v>
      </c>
      <c r="E157" s="62"/>
      <c r="F157" s="36"/>
      <c r="G157" s="45"/>
    </row>
    <row r="158" spans="1:8" x14ac:dyDescent="0.25">
      <c r="A158" s="43">
        <v>42163</v>
      </c>
      <c r="B158" s="107" t="s">
        <v>237</v>
      </c>
      <c r="C158" s="46">
        <v>46797.196000000004</v>
      </c>
      <c r="D158" s="358">
        <v>46797196</v>
      </c>
      <c r="E158" s="28">
        <v>13011</v>
      </c>
      <c r="F158" s="29">
        <v>4116</v>
      </c>
      <c r="G158" s="384"/>
      <c r="H158" s="384"/>
    </row>
    <row r="159" spans="1:8" x14ac:dyDescent="0.25">
      <c r="A159" s="43">
        <v>42163</v>
      </c>
      <c r="B159" s="107" t="s">
        <v>238</v>
      </c>
      <c r="C159" s="46">
        <v>505.56599999999997</v>
      </c>
      <c r="D159" s="358">
        <v>505566</v>
      </c>
      <c r="E159" s="28">
        <v>13011</v>
      </c>
      <c r="F159" s="29">
        <v>4116</v>
      </c>
      <c r="G159" s="45"/>
    </row>
    <row r="160" spans="1:8" x14ac:dyDescent="0.25">
      <c r="A160" s="43">
        <v>42271</v>
      </c>
      <c r="B160" s="107" t="s">
        <v>423</v>
      </c>
      <c r="C160" s="46">
        <v>0</v>
      </c>
      <c r="D160" s="358">
        <v>12309000</v>
      </c>
      <c r="E160" s="28">
        <v>13015</v>
      </c>
      <c r="F160" s="29">
        <v>4116</v>
      </c>
      <c r="G160" s="45"/>
    </row>
    <row r="161" spans="1:7" x14ac:dyDescent="0.25">
      <c r="A161" s="43"/>
      <c r="B161" s="289" t="s">
        <v>196</v>
      </c>
      <c r="C161" s="358">
        <v>181.30393000000001</v>
      </c>
      <c r="D161" s="358">
        <v>181303.93</v>
      </c>
      <c r="E161" s="28">
        <v>13233</v>
      </c>
      <c r="F161" s="29">
        <v>4116</v>
      </c>
      <c r="G161" s="45"/>
    </row>
    <row r="162" spans="1:7" x14ac:dyDescent="0.25">
      <c r="A162" s="43"/>
      <c r="B162" s="289" t="s">
        <v>203</v>
      </c>
      <c r="C162" s="358">
        <v>327.72257999999999</v>
      </c>
      <c r="D162" s="358">
        <v>327722.58</v>
      </c>
      <c r="E162" s="28">
        <v>13233</v>
      </c>
      <c r="F162" s="29">
        <v>4116</v>
      </c>
      <c r="G162" s="45"/>
    </row>
    <row r="163" spans="1:7" x14ac:dyDescent="0.25">
      <c r="A163" s="43"/>
      <c r="B163" s="58"/>
      <c r="C163" s="46"/>
      <c r="D163" s="358"/>
      <c r="E163" s="28"/>
      <c r="F163" s="29"/>
      <c r="G163" s="45"/>
    </row>
    <row r="164" spans="1:7" x14ac:dyDescent="0.25">
      <c r="A164" s="43"/>
      <c r="B164" s="273" t="s">
        <v>38</v>
      </c>
      <c r="C164" s="30">
        <f>+C165</f>
        <v>600</v>
      </c>
      <c r="D164" s="30">
        <f>+D165</f>
        <v>600000</v>
      </c>
      <c r="E164" s="28"/>
      <c r="F164" s="29"/>
      <c r="G164" s="45"/>
    </row>
    <row r="165" spans="1:7" x14ac:dyDescent="0.25">
      <c r="A165" s="43">
        <v>42051</v>
      </c>
      <c r="B165" s="107" t="s">
        <v>39</v>
      </c>
      <c r="C165" s="46">
        <v>600</v>
      </c>
      <c r="D165" s="46">
        <v>600000</v>
      </c>
      <c r="E165" s="28">
        <v>22005</v>
      </c>
      <c r="F165" s="29" t="s">
        <v>18</v>
      </c>
      <c r="G165" s="45"/>
    </row>
    <row r="166" spans="1:7" x14ac:dyDescent="0.25">
      <c r="A166" s="43"/>
      <c r="B166" s="276"/>
      <c r="C166" s="46"/>
      <c r="D166" s="46"/>
      <c r="E166" s="28"/>
      <c r="F166" s="29"/>
      <c r="G166" s="45"/>
    </row>
    <row r="167" spans="1:7" x14ac:dyDescent="0.25">
      <c r="A167" s="43"/>
      <c r="B167" s="273" t="s">
        <v>40</v>
      </c>
      <c r="C167" s="30">
        <f>SUM(C168:C184)</f>
        <v>1718.7486699999999</v>
      </c>
      <c r="D167" s="30">
        <f>SUM(D168:D184)</f>
        <v>2027652.67</v>
      </c>
      <c r="E167" s="28"/>
      <c r="F167" s="29"/>
      <c r="G167" s="45"/>
    </row>
    <row r="168" spans="1:7" x14ac:dyDescent="0.25">
      <c r="A168" s="43">
        <v>42081</v>
      </c>
      <c r="B168" s="276" t="s">
        <v>118</v>
      </c>
      <c r="C168" s="46">
        <v>134.988</v>
      </c>
      <c r="D168" s="46">
        <v>134988</v>
      </c>
      <c r="E168" s="28">
        <v>14023</v>
      </c>
      <c r="F168" s="29">
        <v>4116</v>
      </c>
      <c r="G168" s="45"/>
    </row>
    <row r="169" spans="1:7" x14ac:dyDescent="0.25">
      <c r="A169" s="43">
        <v>42082</v>
      </c>
      <c r="B169" s="276" t="s">
        <v>119</v>
      </c>
      <c r="C169" s="46">
        <v>72</v>
      </c>
      <c r="D169" s="46">
        <v>72000</v>
      </c>
      <c r="E169" s="28">
        <v>14336</v>
      </c>
      <c r="F169" s="29">
        <v>4116</v>
      </c>
      <c r="G169" s="45"/>
    </row>
    <row r="170" spans="1:7" x14ac:dyDescent="0.25">
      <c r="A170" s="43">
        <v>42087</v>
      </c>
      <c r="B170" s="276" t="s">
        <v>118</v>
      </c>
      <c r="C170" s="46">
        <v>0.8</v>
      </c>
      <c r="D170" s="46">
        <v>800</v>
      </c>
      <c r="E170" s="28">
        <v>14023</v>
      </c>
      <c r="F170" s="29">
        <v>4116</v>
      </c>
      <c r="G170" s="45"/>
    </row>
    <row r="171" spans="1:7" x14ac:dyDescent="0.25">
      <c r="A171" s="43">
        <v>42090</v>
      </c>
      <c r="B171" s="276" t="s">
        <v>118</v>
      </c>
      <c r="C171" s="46">
        <v>66.06</v>
      </c>
      <c r="D171" s="46">
        <v>66060</v>
      </c>
      <c r="E171" s="28">
        <v>14023</v>
      </c>
      <c r="F171" s="29">
        <v>4116</v>
      </c>
      <c r="G171" s="45"/>
    </row>
    <row r="172" spans="1:7" x14ac:dyDescent="0.25">
      <c r="A172" s="43">
        <v>42096</v>
      </c>
      <c r="B172" s="276" t="s">
        <v>136</v>
      </c>
      <c r="C172" s="46">
        <v>72</v>
      </c>
      <c r="D172" s="46">
        <v>72000</v>
      </c>
      <c r="E172" s="28">
        <v>14336</v>
      </c>
      <c r="F172" s="29">
        <v>4116</v>
      </c>
      <c r="G172" s="45"/>
    </row>
    <row r="173" spans="1:7" x14ac:dyDescent="0.25">
      <c r="A173" s="43">
        <v>42096</v>
      </c>
      <c r="B173" s="276" t="s">
        <v>137</v>
      </c>
      <c r="C173" s="46">
        <v>72</v>
      </c>
      <c r="D173" s="46">
        <v>72000</v>
      </c>
      <c r="E173" s="28">
        <v>14336</v>
      </c>
      <c r="F173" s="29">
        <v>4116</v>
      </c>
      <c r="G173" s="45"/>
    </row>
    <row r="174" spans="1:7" x14ac:dyDescent="0.25">
      <c r="A174" s="43">
        <v>42123</v>
      </c>
      <c r="B174" s="276" t="s">
        <v>153</v>
      </c>
      <c r="C174" s="46">
        <v>72</v>
      </c>
      <c r="D174" s="46">
        <v>72000</v>
      </c>
      <c r="E174" s="28">
        <v>14336</v>
      </c>
      <c r="F174" s="29">
        <v>4116</v>
      </c>
      <c r="G174" s="45"/>
    </row>
    <row r="175" spans="1:7" x14ac:dyDescent="0.25">
      <c r="A175" s="43">
        <v>42128</v>
      </c>
      <c r="B175" s="276" t="s">
        <v>118</v>
      </c>
      <c r="C175" s="46">
        <v>65.341999999999999</v>
      </c>
      <c r="D175" s="46">
        <v>65342</v>
      </c>
      <c r="E175" s="28">
        <v>14023</v>
      </c>
      <c r="F175" s="29">
        <v>4116</v>
      </c>
      <c r="G175" s="45"/>
    </row>
    <row r="176" spans="1:7" x14ac:dyDescent="0.25">
      <c r="A176" s="43">
        <v>42152</v>
      </c>
      <c r="B176" s="276" t="s">
        <v>118</v>
      </c>
      <c r="C176" s="46">
        <v>69.66</v>
      </c>
      <c r="D176" s="46">
        <v>69660</v>
      </c>
      <c r="E176" s="28">
        <v>14023</v>
      </c>
      <c r="F176" s="29">
        <v>4116</v>
      </c>
      <c r="G176" s="45"/>
    </row>
    <row r="177" spans="1:8" x14ac:dyDescent="0.25">
      <c r="A177" s="43">
        <v>42166</v>
      </c>
      <c r="B177" s="276" t="s">
        <v>229</v>
      </c>
      <c r="C177" s="46">
        <v>721</v>
      </c>
      <c r="D177" s="46">
        <f>757000-36000</f>
        <v>721000</v>
      </c>
      <c r="E177" s="28">
        <v>14018</v>
      </c>
      <c r="F177" s="29">
        <v>4116</v>
      </c>
      <c r="G177" s="45"/>
    </row>
    <row r="178" spans="1:8" x14ac:dyDescent="0.25">
      <c r="A178" s="43">
        <v>42181</v>
      </c>
      <c r="B178" s="276" t="s">
        <v>514</v>
      </c>
      <c r="C178" s="46">
        <v>102.74966999999999</v>
      </c>
      <c r="D178" s="46">
        <v>102749.67</v>
      </c>
      <c r="E178" s="28">
        <v>14013</v>
      </c>
      <c r="F178" s="29">
        <v>4116</v>
      </c>
      <c r="G178" s="45"/>
    </row>
    <row r="179" spans="1:8" x14ac:dyDescent="0.25">
      <c r="A179" s="43">
        <v>42184</v>
      </c>
      <c r="B179" s="276" t="s">
        <v>118</v>
      </c>
      <c r="C179" s="46">
        <f>69.6456+12.2904</f>
        <v>81.936000000000007</v>
      </c>
      <c r="D179" s="46">
        <v>81936</v>
      </c>
      <c r="E179" s="28">
        <v>14023</v>
      </c>
      <c r="F179" s="29">
        <v>4116</v>
      </c>
      <c r="G179" s="45"/>
    </row>
    <row r="180" spans="1:8" x14ac:dyDescent="0.25">
      <c r="A180" s="43">
        <v>42213</v>
      </c>
      <c r="B180" s="276" t="s">
        <v>118</v>
      </c>
      <c r="C180" s="46">
        <v>67.016000000000005</v>
      </c>
      <c r="D180" s="46">
        <v>67016</v>
      </c>
      <c r="E180" s="28">
        <v>14023</v>
      </c>
      <c r="F180" s="29">
        <v>4116</v>
      </c>
      <c r="G180" s="45"/>
    </row>
    <row r="181" spans="1:8" x14ac:dyDescent="0.25">
      <c r="A181" s="43">
        <v>42241</v>
      </c>
      <c r="B181" s="276" t="s">
        <v>118</v>
      </c>
      <c r="C181" s="46">
        <v>69.228999999999999</v>
      </c>
      <c r="D181" s="46">
        <f>58844.65+10384.35</f>
        <v>69229</v>
      </c>
      <c r="E181" s="28">
        <v>14023</v>
      </c>
      <c r="F181" s="29">
        <v>4116</v>
      </c>
      <c r="G181" s="45"/>
    </row>
    <row r="182" spans="1:8" x14ac:dyDescent="0.25">
      <c r="A182" s="43"/>
      <c r="B182" s="276" t="s">
        <v>515</v>
      </c>
      <c r="C182" s="46">
        <v>0</v>
      </c>
      <c r="D182" s="46">
        <v>300000</v>
      </c>
      <c r="E182" s="28">
        <v>14336</v>
      </c>
      <c r="F182" s="29">
        <v>4116</v>
      </c>
      <c r="G182" s="384"/>
      <c r="H182" s="384"/>
    </row>
    <row r="183" spans="1:8" x14ac:dyDescent="0.25">
      <c r="A183" s="43"/>
      <c r="B183" s="276" t="s">
        <v>274</v>
      </c>
      <c r="C183" s="46">
        <v>36</v>
      </c>
      <c r="D183" s="46">
        <v>36000</v>
      </c>
      <c r="E183" s="28">
        <v>14018</v>
      </c>
      <c r="F183" s="29">
        <v>4116</v>
      </c>
      <c r="G183" s="45"/>
    </row>
    <row r="184" spans="1:8" x14ac:dyDescent="0.25">
      <c r="A184" s="43"/>
      <c r="B184" s="276" t="s">
        <v>113</v>
      </c>
      <c r="C184" s="46">
        <v>15.968</v>
      </c>
      <c r="D184" s="46">
        <f>7480+8488+8904</f>
        <v>24872</v>
      </c>
      <c r="E184" s="28">
        <v>14137</v>
      </c>
      <c r="F184" s="29">
        <v>4116</v>
      </c>
      <c r="G184" s="45"/>
    </row>
    <row r="185" spans="1:8" x14ac:dyDescent="0.25">
      <c r="A185" s="43"/>
      <c r="B185" s="276"/>
      <c r="C185" s="46"/>
      <c r="D185" s="46"/>
      <c r="E185" s="28"/>
      <c r="F185" s="48"/>
      <c r="G185" s="45"/>
    </row>
    <row r="186" spans="1:8" x14ac:dyDescent="0.25">
      <c r="A186" s="43"/>
      <c r="B186" s="273" t="s">
        <v>41</v>
      </c>
      <c r="C186" s="30">
        <f>+SUM(C187:C201)</f>
        <v>325.37400000000002</v>
      </c>
      <c r="D186" s="30">
        <f>+SUM(D187:D201)</f>
        <v>325374</v>
      </c>
      <c r="E186" s="28"/>
      <c r="F186" s="48"/>
      <c r="G186" s="45"/>
    </row>
    <row r="187" spans="1:8" x14ac:dyDescent="0.25">
      <c r="A187" s="43">
        <v>42118</v>
      </c>
      <c r="B187" s="276" t="s">
        <v>93</v>
      </c>
      <c r="C187" s="46">
        <v>18.0625</v>
      </c>
      <c r="D187" s="46">
        <v>18062.5</v>
      </c>
      <c r="E187" s="28">
        <v>35019</v>
      </c>
      <c r="F187" s="48">
        <v>4116</v>
      </c>
      <c r="G187" s="45"/>
    </row>
    <row r="188" spans="1:8" x14ac:dyDescent="0.25">
      <c r="A188" s="43">
        <v>42118</v>
      </c>
      <c r="B188" s="276" t="s">
        <v>94</v>
      </c>
      <c r="C188" s="46">
        <v>17.977499999999999</v>
      </c>
      <c r="D188" s="46">
        <v>17977.5</v>
      </c>
      <c r="E188" s="28">
        <v>35019</v>
      </c>
      <c r="F188" s="48">
        <v>4116</v>
      </c>
      <c r="G188" s="45"/>
    </row>
    <row r="189" spans="1:8" x14ac:dyDescent="0.25">
      <c r="A189" s="43">
        <v>42118</v>
      </c>
      <c r="B189" s="276" t="s">
        <v>95</v>
      </c>
      <c r="C189" s="46">
        <v>32.084000000000003</v>
      </c>
      <c r="D189" s="46">
        <v>32084</v>
      </c>
      <c r="E189" s="28">
        <v>35019</v>
      </c>
      <c r="F189" s="48">
        <v>4116</v>
      </c>
      <c r="G189" s="45"/>
    </row>
    <row r="190" spans="1:8" x14ac:dyDescent="0.25">
      <c r="A190" s="43">
        <v>42118</v>
      </c>
      <c r="B190" s="276" t="s">
        <v>95</v>
      </c>
      <c r="C190" s="46">
        <v>77</v>
      </c>
      <c r="D190" s="46">
        <v>77000</v>
      </c>
      <c r="E190" s="28">
        <v>35019</v>
      </c>
      <c r="F190" s="48">
        <v>4116</v>
      </c>
      <c r="G190" s="45"/>
    </row>
    <row r="191" spans="1:8" x14ac:dyDescent="0.25">
      <c r="A191" s="43">
        <v>42118</v>
      </c>
      <c r="B191" s="276" t="s">
        <v>92</v>
      </c>
      <c r="C191" s="46">
        <v>40.25</v>
      </c>
      <c r="D191" s="46">
        <v>40250</v>
      </c>
      <c r="E191" s="28">
        <v>35019</v>
      </c>
      <c r="F191" s="48">
        <v>4116</v>
      </c>
      <c r="G191" s="45"/>
    </row>
    <row r="192" spans="1:8" x14ac:dyDescent="0.25">
      <c r="A192" s="43">
        <v>42172</v>
      </c>
      <c r="B192" s="276" t="s">
        <v>100</v>
      </c>
      <c r="C192" s="46">
        <v>140</v>
      </c>
      <c r="D192" s="46">
        <v>140000</v>
      </c>
      <c r="E192" s="28">
        <v>35015</v>
      </c>
      <c r="F192" s="48">
        <v>4116</v>
      </c>
      <c r="G192" s="45"/>
    </row>
    <row r="193" spans="1:7" ht="15.6" hidden="1" customHeight="1" x14ac:dyDescent="0.25">
      <c r="A193" s="43"/>
      <c r="B193" s="276" t="s">
        <v>93</v>
      </c>
      <c r="C193" s="46"/>
      <c r="D193" s="46"/>
      <c r="E193" s="28">
        <v>35019</v>
      </c>
      <c r="F193" s="48">
        <v>4116</v>
      </c>
      <c r="G193" s="45"/>
    </row>
    <row r="194" spans="1:7" ht="15.6" hidden="1" customHeight="1" x14ac:dyDescent="0.25">
      <c r="A194" s="43"/>
      <c r="B194" s="276" t="s">
        <v>94</v>
      </c>
      <c r="C194" s="46"/>
      <c r="D194" s="46"/>
      <c r="E194" s="28">
        <v>35019</v>
      </c>
      <c r="F194" s="48">
        <v>4116</v>
      </c>
      <c r="G194" s="45"/>
    </row>
    <row r="195" spans="1:7" ht="15.6" hidden="1" customHeight="1" x14ac:dyDescent="0.25">
      <c r="A195" s="43"/>
      <c r="B195" s="276" t="s">
        <v>95</v>
      </c>
      <c r="C195" s="46"/>
      <c r="D195" s="46"/>
      <c r="E195" s="28">
        <v>35019</v>
      </c>
      <c r="F195" s="48">
        <v>4116</v>
      </c>
      <c r="G195" s="45"/>
    </row>
    <row r="196" spans="1:7" ht="15.6" hidden="1" customHeight="1" x14ac:dyDescent="0.25">
      <c r="A196" s="43"/>
      <c r="B196" s="276" t="s">
        <v>96</v>
      </c>
      <c r="C196" s="46"/>
      <c r="D196" s="46"/>
      <c r="E196" s="28">
        <v>35019</v>
      </c>
      <c r="F196" s="48">
        <v>4116</v>
      </c>
      <c r="G196" s="45"/>
    </row>
    <row r="197" spans="1:7" ht="15.6" hidden="1" customHeight="1" x14ac:dyDescent="0.25">
      <c r="A197" s="43"/>
      <c r="B197" s="276" t="s">
        <v>93</v>
      </c>
      <c r="C197" s="46"/>
      <c r="D197" s="46"/>
      <c r="E197" s="28">
        <v>35019</v>
      </c>
      <c r="F197" s="48">
        <v>4116</v>
      </c>
      <c r="G197" s="45"/>
    </row>
    <row r="198" spans="1:7" ht="15.6" hidden="1" customHeight="1" x14ac:dyDescent="0.25">
      <c r="A198" s="43"/>
      <c r="B198" s="276" t="s">
        <v>95</v>
      </c>
      <c r="C198" s="46"/>
      <c r="D198" s="46"/>
      <c r="E198" s="28">
        <v>35019</v>
      </c>
      <c r="F198" s="48">
        <v>4116</v>
      </c>
      <c r="G198" s="45"/>
    </row>
    <row r="199" spans="1:7" ht="15.6" hidden="1" customHeight="1" x14ac:dyDescent="0.25">
      <c r="A199" s="43"/>
      <c r="B199" s="276" t="s">
        <v>95</v>
      </c>
      <c r="C199" s="46"/>
      <c r="D199" s="46"/>
      <c r="E199" s="28">
        <v>35019</v>
      </c>
      <c r="F199" s="48">
        <v>4116</v>
      </c>
      <c r="G199" s="45"/>
    </row>
    <row r="200" spans="1:7" ht="15.6" hidden="1" customHeight="1" x14ac:dyDescent="0.25">
      <c r="A200" s="43"/>
      <c r="B200" s="276" t="s">
        <v>92</v>
      </c>
      <c r="C200" s="46"/>
      <c r="D200" s="46"/>
      <c r="E200" s="28">
        <v>35019</v>
      </c>
      <c r="F200" s="48">
        <v>4116</v>
      </c>
      <c r="G200" s="45"/>
    </row>
    <row r="201" spans="1:7" ht="15.6" hidden="1" customHeight="1" x14ac:dyDescent="0.25">
      <c r="A201" s="43"/>
      <c r="B201" s="276" t="s">
        <v>100</v>
      </c>
      <c r="C201" s="46"/>
      <c r="D201" s="46"/>
      <c r="E201" s="28">
        <v>35015</v>
      </c>
      <c r="F201" s="48">
        <v>4116</v>
      </c>
      <c r="G201" s="45"/>
    </row>
    <row r="202" spans="1:7" x14ac:dyDescent="0.25">
      <c r="A202" s="43"/>
      <c r="B202" s="276"/>
      <c r="C202" s="46"/>
      <c r="D202" s="46"/>
      <c r="E202" s="28"/>
      <c r="F202" s="48"/>
      <c r="G202" s="45"/>
    </row>
    <row r="203" spans="1:7" x14ac:dyDescent="0.25">
      <c r="A203" s="43"/>
      <c r="B203" s="273" t="s">
        <v>42</v>
      </c>
      <c r="C203" s="30">
        <f>+SUM(C204:C210)</f>
        <v>180.94400000000002</v>
      </c>
      <c r="D203" s="30">
        <f>+SUM(D204:D210)</f>
        <v>180944</v>
      </c>
      <c r="E203" s="28"/>
      <c r="F203" s="48"/>
      <c r="G203" s="45"/>
    </row>
    <row r="204" spans="1:7" x14ac:dyDescent="0.25">
      <c r="A204" s="43">
        <v>42142</v>
      </c>
      <c r="B204" s="276" t="s">
        <v>43</v>
      </c>
      <c r="C204" s="46">
        <v>86.159000000000006</v>
      </c>
      <c r="D204" s="46">
        <v>86159</v>
      </c>
      <c r="E204" s="28">
        <v>29008</v>
      </c>
      <c r="F204" s="48">
        <v>4116</v>
      </c>
      <c r="G204" s="45"/>
    </row>
    <row r="205" spans="1:7" x14ac:dyDescent="0.25">
      <c r="A205" s="43">
        <v>42157</v>
      </c>
      <c r="B205" s="276" t="s">
        <v>44</v>
      </c>
      <c r="C205" s="46">
        <v>10.5</v>
      </c>
      <c r="D205" s="46">
        <v>10500</v>
      </c>
      <c r="E205" s="28">
        <v>29004</v>
      </c>
      <c r="F205" s="48">
        <v>4116</v>
      </c>
      <c r="G205" s="45"/>
    </row>
    <row r="206" spans="1:7" x14ac:dyDescent="0.25">
      <c r="A206" s="43">
        <v>42163</v>
      </c>
      <c r="B206" s="276" t="s">
        <v>43</v>
      </c>
      <c r="C206" s="46">
        <v>84.284999999999997</v>
      </c>
      <c r="D206" s="46">
        <v>84285</v>
      </c>
      <c r="E206" s="28">
        <v>29008</v>
      </c>
      <c r="F206" s="48">
        <v>4116</v>
      </c>
      <c r="G206" s="45"/>
    </row>
    <row r="207" spans="1:7" ht="15.6" hidden="1" customHeight="1" x14ac:dyDescent="0.25">
      <c r="A207" s="43"/>
      <c r="B207" s="276" t="s">
        <v>43</v>
      </c>
      <c r="C207" s="46"/>
      <c r="D207" s="46"/>
      <c r="E207" s="28"/>
      <c r="F207" s="48">
        <v>4116</v>
      </c>
      <c r="G207" s="45"/>
    </row>
    <row r="208" spans="1:7" ht="15.6" hidden="1" customHeight="1" x14ac:dyDescent="0.25">
      <c r="A208" s="43"/>
      <c r="B208" s="276"/>
      <c r="C208" s="46"/>
      <c r="D208" s="46"/>
      <c r="E208" s="28"/>
      <c r="F208" s="48">
        <v>4116</v>
      </c>
      <c r="G208" s="45"/>
    </row>
    <row r="209" spans="1:7" ht="15.6" hidden="1" customHeight="1" x14ac:dyDescent="0.25">
      <c r="A209" s="43"/>
      <c r="B209" s="276"/>
      <c r="C209" s="46"/>
      <c r="D209" s="46"/>
      <c r="E209" s="28"/>
      <c r="F209" s="48">
        <v>4116</v>
      </c>
      <c r="G209" s="45"/>
    </row>
    <row r="210" spans="1:7" x14ac:dyDescent="0.25">
      <c r="A210" s="43"/>
      <c r="B210" s="276"/>
      <c r="C210" s="46"/>
      <c r="D210" s="46"/>
      <c r="E210" s="28"/>
      <c r="F210" s="48">
        <v>4116</v>
      </c>
      <c r="G210" s="45"/>
    </row>
    <row r="211" spans="1:7" x14ac:dyDescent="0.25">
      <c r="A211" s="43"/>
      <c r="B211" s="273" t="s">
        <v>45</v>
      </c>
      <c r="C211" s="30">
        <f>+SUM(C212:C222)</f>
        <v>570.17939999999999</v>
      </c>
      <c r="D211" s="30">
        <f>+SUM(D212:D222)</f>
        <v>1505094.95</v>
      </c>
      <c r="E211" s="28"/>
      <c r="F211" s="48"/>
      <c r="G211" s="45"/>
    </row>
    <row r="212" spans="1:7" x14ac:dyDescent="0.25">
      <c r="A212" s="43">
        <v>42057</v>
      </c>
      <c r="B212" s="276" t="s">
        <v>146</v>
      </c>
      <c r="C212" s="46">
        <v>466.28609999999998</v>
      </c>
      <c r="D212" s="46">
        <v>466286.1</v>
      </c>
      <c r="E212" s="28">
        <v>15319</v>
      </c>
      <c r="F212" s="48">
        <v>4116</v>
      </c>
      <c r="G212" s="45"/>
    </row>
    <row r="213" spans="1:7" x14ac:dyDescent="0.25">
      <c r="A213" s="43">
        <v>42193</v>
      </c>
      <c r="B213" s="276" t="s">
        <v>279</v>
      </c>
      <c r="C213" s="46">
        <v>77.653800000000004</v>
      </c>
      <c r="D213" s="46">
        <v>77653.8</v>
      </c>
      <c r="E213" s="28">
        <v>15319</v>
      </c>
      <c r="F213" s="48">
        <v>4116</v>
      </c>
      <c r="G213" s="45"/>
    </row>
    <row r="214" spans="1:7" x14ac:dyDescent="0.25">
      <c r="A214" s="43">
        <v>42272</v>
      </c>
      <c r="B214" s="276" t="s">
        <v>516</v>
      </c>
      <c r="C214" s="46">
        <v>0</v>
      </c>
      <c r="D214" s="46">
        <v>931582</v>
      </c>
      <c r="E214" s="28">
        <v>15065</v>
      </c>
      <c r="F214" s="48">
        <v>4116</v>
      </c>
      <c r="G214" s="45"/>
    </row>
    <row r="215" spans="1:7" ht="15.6" hidden="1" customHeight="1" x14ac:dyDescent="0.25">
      <c r="A215" s="43"/>
      <c r="B215" s="276"/>
      <c r="C215" s="46"/>
      <c r="D215" s="46"/>
      <c r="E215" s="28"/>
      <c r="F215" s="48">
        <v>4116</v>
      </c>
      <c r="G215" s="45"/>
    </row>
    <row r="216" spans="1:7" ht="15.6" hidden="1" customHeight="1" x14ac:dyDescent="0.25">
      <c r="A216" s="43"/>
      <c r="B216" s="276"/>
      <c r="C216" s="46"/>
      <c r="D216" s="46"/>
      <c r="E216" s="28"/>
      <c r="F216" s="48"/>
      <c r="G216" s="45"/>
    </row>
    <row r="217" spans="1:7" ht="15.6" hidden="1" customHeight="1" x14ac:dyDescent="0.25">
      <c r="A217" s="272"/>
      <c r="B217" s="276"/>
      <c r="C217" s="46"/>
      <c r="D217" s="46"/>
      <c r="E217" s="28"/>
      <c r="F217" s="48">
        <v>4116</v>
      </c>
      <c r="G217" s="45"/>
    </row>
    <row r="218" spans="1:7" ht="15.6" hidden="1" customHeight="1" x14ac:dyDescent="0.25">
      <c r="A218" s="272"/>
      <c r="B218" s="44"/>
      <c r="C218" s="46"/>
      <c r="D218" s="46"/>
      <c r="E218" s="28"/>
      <c r="F218" s="48"/>
      <c r="G218" s="45"/>
    </row>
    <row r="219" spans="1:7" ht="15.6" hidden="1" customHeight="1" x14ac:dyDescent="0.25">
      <c r="A219" s="43"/>
      <c r="B219" s="31"/>
      <c r="C219" s="30"/>
      <c r="D219" s="30"/>
      <c r="E219" s="28"/>
      <c r="F219" s="48"/>
      <c r="G219" s="45"/>
    </row>
    <row r="220" spans="1:7" x14ac:dyDescent="0.25">
      <c r="A220" s="43"/>
      <c r="B220" s="44" t="s">
        <v>498</v>
      </c>
      <c r="C220" s="46">
        <v>0</v>
      </c>
      <c r="D220" s="46">
        <v>3333.55</v>
      </c>
      <c r="E220" s="28">
        <v>15319</v>
      </c>
      <c r="F220" s="48">
        <v>4116</v>
      </c>
      <c r="G220" s="45"/>
    </row>
    <row r="221" spans="1:7" x14ac:dyDescent="0.25">
      <c r="A221" s="43"/>
      <c r="B221" s="276" t="s">
        <v>445</v>
      </c>
      <c r="C221" s="46">
        <v>26.2395</v>
      </c>
      <c r="D221" s="46">
        <v>26239.5</v>
      </c>
      <c r="E221" s="28">
        <v>15319</v>
      </c>
      <c r="F221" s="48">
        <v>4116</v>
      </c>
      <c r="G221" s="45"/>
    </row>
    <row r="222" spans="1:7" x14ac:dyDescent="0.25">
      <c r="A222" s="43"/>
      <c r="B222" s="276"/>
      <c r="C222" s="350"/>
      <c r="D222" s="350"/>
      <c r="E222" s="28"/>
      <c r="F222" s="48"/>
      <c r="G222" s="45"/>
    </row>
    <row r="223" spans="1:7" x14ac:dyDescent="0.25">
      <c r="A223" s="43"/>
      <c r="B223" s="273" t="s">
        <v>48</v>
      </c>
      <c r="C223" s="26">
        <f>SUM(C224:C271)</f>
        <v>113212.30556000001</v>
      </c>
      <c r="D223" s="26">
        <f>SUM(D224:D271)</f>
        <v>113352305.56</v>
      </c>
      <c r="E223" s="28"/>
      <c r="F223" s="22"/>
      <c r="G223" s="45"/>
    </row>
    <row r="224" spans="1:7" x14ac:dyDescent="0.25">
      <c r="A224" s="43">
        <v>42046</v>
      </c>
      <c r="B224" s="276" t="s">
        <v>104</v>
      </c>
      <c r="C224" s="52">
        <v>345.49686000000003</v>
      </c>
      <c r="D224" s="350">
        <v>345496.86</v>
      </c>
      <c r="E224" s="28">
        <v>33030</v>
      </c>
      <c r="F224" s="48" t="s">
        <v>49</v>
      </c>
      <c r="G224" s="45"/>
    </row>
    <row r="225" spans="1:8" x14ac:dyDescent="0.25">
      <c r="A225" s="43">
        <v>42096</v>
      </c>
      <c r="B225" s="276" t="s">
        <v>140</v>
      </c>
      <c r="C225" s="52">
        <v>90.980059999999995</v>
      </c>
      <c r="D225" s="350">
        <v>90980.06</v>
      </c>
      <c r="E225" s="28">
        <v>33030</v>
      </c>
      <c r="F225" s="48" t="s">
        <v>49</v>
      </c>
      <c r="G225" s="45"/>
    </row>
    <row r="226" spans="1:8" x14ac:dyDescent="0.25">
      <c r="A226" s="43">
        <v>42118</v>
      </c>
      <c r="B226" s="276" t="s">
        <v>334</v>
      </c>
      <c r="C226" s="52">
        <v>60346.559999999998</v>
      </c>
      <c r="D226" s="350">
        <v>60346560</v>
      </c>
      <c r="E226" s="28">
        <v>13305</v>
      </c>
      <c r="F226" s="48">
        <v>4122</v>
      </c>
      <c r="G226" s="384"/>
      <c r="H226" s="384"/>
    </row>
    <row r="227" spans="1:8" x14ac:dyDescent="0.25">
      <c r="A227" s="43">
        <v>42122</v>
      </c>
      <c r="B227" s="276" t="s">
        <v>150</v>
      </c>
      <c r="C227" s="350">
        <v>341.41081000000003</v>
      </c>
      <c r="D227" s="350">
        <v>341410.81</v>
      </c>
      <c r="E227" s="28">
        <v>33030</v>
      </c>
      <c r="F227" s="48">
        <v>4122</v>
      </c>
      <c r="G227" s="45"/>
    </row>
    <row r="228" spans="1:8" x14ac:dyDescent="0.25">
      <c r="A228" s="43">
        <v>42138</v>
      </c>
      <c r="B228" s="276" t="s">
        <v>181</v>
      </c>
      <c r="C228" s="350">
        <v>41.08</v>
      </c>
      <c r="D228" s="350">
        <v>41080</v>
      </c>
      <c r="E228" s="28">
        <v>14011</v>
      </c>
      <c r="F228" s="48">
        <v>4122</v>
      </c>
      <c r="G228" s="45"/>
    </row>
    <row r="229" spans="1:8" x14ac:dyDescent="0.25">
      <c r="A229" s="43">
        <v>42145</v>
      </c>
      <c r="B229" s="276" t="s">
        <v>200</v>
      </c>
      <c r="C229" s="52">
        <v>8.3298000000000005</v>
      </c>
      <c r="D229" s="350">
        <f>7080.33+1249.47</f>
        <v>8329.7999999999993</v>
      </c>
      <c r="E229" s="28">
        <v>33030</v>
      </c>
      <c r="F229" s="48">
        <v>4122</v>
      </c>
      <c r="G229" s="45"/>
    </row>
    <row r="230" spans="1:8" x14ac:dyDescent="0.25">
      <c r="A230" s="43">
        <v>42145</v>
      </c>
      <c r="B230" s="276" t="s">
        <v>415</v>
      </c>
      <c r="C230" s="52">
        <v>1476.0851600000001</v>
      </c>
      <c r="D230" s="350">
        <f>1254672.38+221412.78</f>
        <v>1476085.16</v>
      </c>
      <c r="E230" s="28">
        <v>33030</v>
      </c>
      <c r="F230" s="48">
        <v>4122</v>
      </c>
      <c r="G230" s="45"/>
    </row>
    <row r="231" spans="1:8" x14ac:dyDescent="0.25">
      <c r="A231" s="43">
        <v>42145</v>
      </c>
      <c r="B231" s="276" t="s">
        <v>202</v>
      </c>
      <c r="C231" s="52">
        <v>452.84152</v>
      </c>
      <c r="D231" s="350">
        <f>384915.29+67926.23</f>
        <v>452841.51999999996</v>
      </c>
      <c r="E231" s="28">
        <v>33030</v>
      </c>
      <c r="F231" s="48">
        <v>4122</v>
      </c>
      <c r="G231" s="45"/>
    </row>
    <row r="232" spans="1:8" x14ac:dyDescent="0.25">
      <c r="A232" s="43">
        <v>42152</v>
      </c>
      <c r="B232" s="276" t="s">
        <v>181</v>
      </c>
      <c r="C232" s="52">
        <v>29.64</v>
      </c>
      <c r="D232" s="350">
        <v>29640</v>
      </c>
      <c r="E232" s="28">
        <v>14011</v>
      </c>
      <c r="F232" s="48">
        <v>4122</v>
      </c>
      <c r="G232" s="45"/>
    </row>
    <row r="233" spans="1:8" x14ac:dyDescent="0.25">
      <c r="A233" s="43">
        <v>42160</v>
      </c>
      <c r="B233" s="276" t="s">
        <v>239</v>
      </c>
      <c r="C233" s="52">
        <v>100</v>
      </c>
      <c r="D233" s="350">
        <v>100000</v>
      </c>
      <c r="E233" s="28">
        <v>539</v>
      </c>
      <c r="F233" s="48">
        <v>4122</v>
      </c>
      <c r="G233" s="45"/>
    </row>
    <row r="234" spans="1:8" x14ac:dyDescent="0.25">
      <c r="A234" s="43">
        <v>42160</v>
      </c>
      <c r="B234" s="276" t="s">
        <v>240</v>
      </c>
      <c r="C234" s="52">
        <v>98</v>
      </c>
      <c r="D234" s="350">
        <v>98000</v>
      </c>
      <c r="E234" s="28">
        <v>539</v>
      </c>
      <c r="F234" s="48">
        <v>4122</v>
      </c>
      <c r="G234" s="45"/>
    </row>
    <row r="235" spans="1:8" x14ac:dyDescent="0.25">
      <c r="A235" s="43">
        <v>42173</v>
      </c>
      <c r="B235" s="276" t="s">
        <v>236</v>
      </c>
      <c r="C235" s="52">
        <v>100</v>
      </c>
      <c r="D235" s="350">
        <v>100000</v>
      </c>
      <c r="E235" s="28">
        <v>539</v>
      </c>
      <c r="F235" s="48">
        <v>4122</v>
      </c>
      <c r="G235" s="45"/>
    </row>
    <row r="236" spans="1:8" x14ac:dyDescent="0.25">
      <c r="A236" s="43">
        <v>42178</v>
      </c>
      <c r="B236" s="276" t="s">
        <v>243</v>
      </c>
      <c r="C236" s="52">
        <v>81.797319999999999</v>
      </c>
      <c r="D236" s="350">
        <f>69527.72+12269.6</f>
        <v>81797.320000000007</v>
      </c>
      <c r="E236" s="28">
        <v>33030</v>
      </c>
      <c r="F236" s="48">
        <v>4122</v>
      </c>
      <c r="G236" s="45"/>
    </row>
    <row r="237" spans="1:8" x14ac:dyDescent="0.25">
      <c r="A237" s="43">
        <v>42181</v>
      </c>
      <c r="B237" s="276" t="s">
        <v>250</v>
      </c>
      <c r="C237" s="52">
        <v>200</v>
      </c>
      <c r="D237" s="350">
        <v>200000</v>
      </c>
      <c r="E237" s="28">
        <v>539</v>
      </c>
      <c r="F237" s="48">
        <v>4122</v>
      </c>
      <c r="G237" s="45"/>
    </row>
    <row r="238" spans="1:8" x14ac:dyDescent="0.25">
      <c r="A238" s="43">
        <v>42181</v>
      </c>
      <c r="B238" s="276" t="s">
        <v>252</v>
      </c>
      <c r="C238" s="52">
        <v>701.62408000000005</v>
      </c>
      <c r="D238" s="350">
        <v>701624.08</v>
      </c>
      <c r="E238" s="28">
        <v>33030</v>
      </c>
      <c r="F238" s="48">
        <v>4122</v>
      </c>
      <c r="G238" s="45"/>
    </row>
    <row r="239" spans="1:8" x14ac:dyDescent="0.25">
      <c r="A239" s="43">
        <v>42181</v>
      </c>
      <c r="B239" s="276" t="s">
        <v>251</v>
      </c>
      <c r="C239" s="52">
        <v>93.395690000000002</v>
      </c>
      <c r="D239" s="350">
        <v>93395.69</v>
      </c>
      <c r="E239" s="28">
        <v>33030</v>
      </c>
      <c r="F239" s="48">
        <v>4122</v>
      </c>
      <c r="G239" s="45"/>
    </row>
    <row r="240" spans="1:8" x14ac:dyDescent="0.25">
      <c r="A240" s="43">
        <v>42181</v>
      </c>
      <c r="B240" s="276" t="s">
        <v>253</v>
      </c>
      <c r="C240" s="52">
        <v>137.19474</v>
      </c>
      <c r="D240" s="350">
        <v>137194.74</v>
      </c>
      <c r="E240" s="28">
        <v>33030</v>
      </c>
      <c r="F240" s="48">
        <v>4122</v>
      </c>
      <c r="G240" s="45"/>
    </row>
    <row r="241" spans="1:8" x14ac:dyDescent="0.25">
      <c r="A241" s="43">
        <v>42184</v>
      </c>
      <c r="B241" s="276" t="s">
        <v>254</v>
      </c>
      <c r="C241" s="52">
        <v>276.28805999999997</v>
      </c>
      <c r="D241" s="350">
        <v>276288.06</v>
      </c>
      <c r="E241" s="28">
        <v>33030</v>
      </c>
      <c r="F241" s="48">
        <v>4122</v>
      </c>
      <c r="G241" s="45"/>
    </row>
    <row r="242" spans="1:8" x14ac:dyDescent="0.25">
      <c r="A242" s="43">
        <v>42184</v>
      </c>
      <c r="B242" s="276" t="s">
        <v>150</v>
      </c>
      <c r="C242" s="52">
        <v>371.08757000000003</v>
      </c>
      <c r="D242" s="350">
        <v>371087.57</v>
      </c>
      <c r="E242" s="28">
        <v>33030</v>
      </c>
      <c r="F242" s="48">
        <v>4122</v>
      </c>
      <c r="G242" s="45"/>
    </row>
    <row r="243" spans="1:8" x14ac:dyDescent="0.25">
      <c r="A243" s="43">
        <v>42184</v>
      </c>
      <c r="B243" s="276" t="s">
        <v>256</v>
      </c>
      <c r="C243" s="52">
        <v>120</v>
      </c>
      <c r="D243" s="350">
        <v>120000</v>
      </c>
      <c r="E243" s="28">
        <v>311</v>
      </c>
      <c r="F243" s="48">
        <v>4122</v>
      </c>
      <c r="G243" s="45"/>
    </row>
    <row r="244" spans="1:8" x14ac:dyDescent="0.25">
      <c r="A244" s="43">
        <v>42184</v>
      </c>
      <c r="B244" s="276" t="s">
        <v>255</v>
      </c>
      <c r="C244" s="52">
        <v>60</v>
      </c>
      <c r="D244" s="350">
        <v>60000</v>
      </c>
      <c r="E244" s="28">
        <v>311</v>
      </c>
      <c r="F244" s="48">
        <v>4122</v>
      </c>
      <c r="G244" s="45"/>
    </row>
    <row r="245" spans="1:8" x14ac:dyDescent="0.25">
      <c r="A245" s="43">
        <v>42187</v>
      </c>
      <c r="B245" s="276" t="s">
        <v>281</v>
      </c>
      <c r="C245" s="52">
        <v>50</v>
      </c>
      <c r="D245" s="350">
        <v>50000</v>
      </c>
      <c r="E245" s="28">
        <v>311</v>
      </c>
      <c r="F245" s="48">
        <v>4122</v>
      </c>
      <c r="G245" s="45"/>
    </row>
    <row r="246" spans="1:8" x14ac:dyDescent="0.25">
      <c r="A246" s="43">
        <v>42187</v>
      </c>
      <c r="B246" s="276" t="s">
        <v>282</v>
      </c>
      <c r="C246" s="52">
        <v>50</v>
      </c>
      <c r="D246" s="350">
        <v>50000</v>
      </c>
      <c r="E246" s="28">
        <v>311</v>
      </c>
      <c r="F246" s="48">
        <v>4122</v>
      </c>
      <c r="G246" s="45"/>
    </row>
    <row r="247" spans="1:8" x14ac:dyDescent="0.25">
      <c r="A247" s="43">
        <v>42192</v>
      </c>
      <c r="B247" s="276" t="s">
        <v>285</v>
      </c>
      <c r="C247" s="52">
        <v>100</v>
      </c>
      <c r="D247" s="350">
        <v>100000</v>
      </c>
      <c r="E247" s="28">
        <v>331</v>
      </c>
      <c r="F247" s="48">
        <v>4122</v>
      </c>
      <c r="G247" s="45"/>
    </row>
    <row r="248" spans="1:8" x14ac:dyDescent="0.25">
      <c r="A248" s="43">
        <v>42192</v>
      </c>
      <c r="B248" s="276" t="s">
        <v>286</v>
      </c>
      <c r="C248" s="52">
        <v>100</v>
      </c>
      <c r="D248" s="350">
        <v>100000</v>
      </c>
      <c r="E248" s="28">
        <v>331</v>
      </c>
      <c r="F248" s="48">
        <v>4122</v>
      </c>
      <c r="G248" s="45"/>
    </row>
    <row r="249" spans="1:8" x14ac:dyDescent="0.25">
      <c r="A249" s="43">
        <v>42192</v>
      </c>
      <c r="B249" s="276" t="s">
        <v>287</v>
      </c>
      <c r="C249" s="52">
        <v>200</v>
      </c>
      <c r="D249" s="350">
        <v>200000</v>
      </c>
      <c r="E249" s="28">
        <v>331</v>
      </c>
      <c r="F249" s="48">
        <v>4122</v>
      </c>
      <c r="G249" s="45"/>
    </row>
    <row r="250" spans="1:8" x14ac:dyDescent="0.25">
      <c r="A250" s="43">
        <v>42192</v>
      </c>
      <c r="B250" s="276" t="s">
        <v>288</v>
      </c>
      <c r="C250" s="52">
        <v>600</v>
      </c>
      <c r="D250" s="350">
        <v>600000</v>
      </c>
      <c r="E250" s="28">
        <v>331</v>
      </c>
      <c r="F250" s="48">
        <v>4122</v>
      </c>
      <c r="G250" s="45"/>
    </row>
    <row r="251" spans="1:8" x14ac:dyDescent="0.25">
      <c r="A251" s="287">
        <v>42192</v>
      </c>
      <c r="B251" s="276" t="s">
        <v>414</v>
      </c>
      <c r="C251" s="351">
        <v>400</v>
      </c>
      <c r="D251" s="427">
        <v>400000</v>
      </c>
      <c r="E251" s="62">
        <v>331</v>
      </c>
      <c r="F251" s="428">
        <v>4122</v>
      </c>
      <c r="G251" s="45"/>
    </row>
    <row r="252" spans="1:8" x14ac:dyDescent="0.25">
      <c r="A252" s="43">
        <v>42192</v>
      </c>
      <c r="B252" s="291" t="s">
        <v>290</v>
      </c>
      <c r="C252" s="358">
        <v>600</v>
      </c>
      <c r="D252" s="358">
        <v>600000</v>
      </c>
      <c r="E252" s="28">
        <v>331</v>
      </c>
      <c r="F252" s="29">
        <v>4122</v>
      </c>
      <c r="G252" s="45"/>
    </row>
    <row r="253" spans="1:8" x14ac:dyDescent="0.25">
      <c r="A253" s="43">
        <v>42192</v>
      </c>
      <c r="B253" s="291" t="s">
        <v>291</v>
      </c>
      <c r="C253" s="358">
        <v>600</v>
      </c>
      <c r="D253" s="358">
        <v>600000</v>
      </c>
      <c r="E253" s="28">
        <v>331</v>
      </c>
      <c r="F253" s="29">
        <v>4122</v>
      </c>
      <c r="G253" s="45"/>
    </row>
    <row r="254" spans="1:8" x14ac:dyDescent="0.25">
      <c r="A254" s="43">
        <v>42192</v>
      </c>
      <c r="B254" s="291" t="s">
        <v>292</v>
      </c>
      <c r="C254" s="358">
        <v>600</v>
      </c>
      <c r="D254" s="358">
        <v>600000</v>
      </c>
      <c r="E254" s="28">
        <v>331</v>
      </c>
      <c r="F254" s="29">
        <v>4122</v>
      </c>
      <c r="G254" s="45"/>
    </row>
    <row r="255" spans="1:8" x14ac:dyDescent="0.25">
      <c r="A255" s="43">
        <v>42192</v>
      </c>
      <c r="B255" s="291" t="s">
        <v>293</v>
      </c>
      <c r="C255" s="358">
        <v>600</v>
      </c>
      <c r="D255" s="358">
        <v>600000</v>
      </c>
      <c r="E255" s="28">
        <v>331</v>
      </c>
      <c r="F255" s="29">
        <v>4122</v>
      </c>
      <c r="G255" s="45"/>
    </row>
    <row r="256" spans="1:8" x14ac:dyDescent="0.25">
      <c r="A256" s="43">
        <v>42213</v>
      </c>
      <c r="B256" s="291" t="s">
        <v>333</v>
      </c>
      <c r="C256" s="358">
        <v>40231.040000000001</v>
      </c>
      <c r="D256" s="358">
        <v>40231040</v>
      </c>
      <c r="E256" s="28">
        <v>13305</v>
      </c>
      <c r="F256" s="29">
        <v>4122</v>
      </c>
      <c r="G256" s="384"/>
      <c r="H256" s="384"/>
    </row>
    <row r="257" spans="1:8" x14ac:dyDescent="0.25">
      <c r="A257" s="43">
        <v>42254</v>
      </c>
      <c r="B257" s="291" t="s">
        <v>432</v>
      </c>
      <c r="C257" s="358">
        <v>15</v>
      </c>
      <c r="D257" s="358">
        <v>15000</v>
      </c>
      <c r="E257" s="28">
        <v>359</v>
      </c>
      <c r="F257" s="29">
        <v>4122</v>
      </c>
      <c r="G257" s="45"/>
    </row>
    <row r="258" spans="1:8" x14ac:dyDescent="0.25">
      <c r="A258" s="43">
        <v>42256</v>
      </c>
      <c r="B258" s="291" t="s">
        <v>420</v>
      </c>
      <c r="C258" s="358">
        <v>60</v>
      </c>
      <c r="D258" s="358">
        <v>60000</v>
      </c>
      <c r="E258" s="28">
        <v>214</v>
      </c>
      <c r="F258" s="29">
        <v>4122</v>
      </c>
      <c r="G258" s="45"/>
    </row>
    <row r="259" spans="1:8" x14ac:dyDescent="0.25">
      <c r="A259" s="43"/>
      <c r="B259" s="291" t="s">
        <v>309</v>
      </c>
      <c r="C259" s="358">
        <v>50</v>
      </c>
      <c r="D259" s="358">
        <v>50000</v>
      </c>
      <c r="E259" s="28">
        <v>551</v>
      </c>
      <c r="F259" s="29">
        <v>4122</v>
      </c>
      <c r="G259" s="384"/>
      <c r="H259" s="384"/>
    </row>
    <row r="260" spans="1:8" x14ac:dyDescent="0.25">
      <c r="A260" s="43"/>
      <c r="B260" s="291" t="s">
        <v>311</v>
      </c>
      <c r="C260" s="358">
        <v>130</v>
      </c>
      <c r="D260" s="358">
        <v>130000</v>
      </c>
      <c r="E260" s="28">
        <v>551</v>
      </c>
      <c r="F260" s="29">
        <v>4122</v>
      </c>
      <c r="G260" s="384"/>
      <c r="H260" s="384"/>
    </row>
    <row r="261" spans="1:8" x14ac:dyDescent="0.25">
      <c r="A261" s="43"/>
      <c r="B261" s="291" t="s">
        <v>249</v>
      </c>
      <c r="C261" s="358">
        <v>60</v>
      </c>
      <c r="D261" s="358">
        <v>60000</v>
      </c>
      <c r="E261" s="28">
        <v>539</v>
      </c>
      <c r="F261" s="29">
        <v>4122</v>
      </c>
      <c r="G261" s="45"/>
    </row>
    <row r="262" spans="1:8" x14ac:dyDescent="0.25">
      <c r="A262" s="43"/>
      <c r="B262" s="291" t="s">
        <v>69</v>
      </c>
      <c r="C262" s="358">
        <f>674.88547+191.22315+33.74527</f>
        <v>899.85389000000009</v>
      </c>
      <c r="D262" s="358">
        <f>674885.47+224968.42</f>
        <v>899853.89</v>
      </c>
      <c r="E262" s="28">
        <v>33030</v>
      </c>
      <c r="F262" s="29">
        <v>4122</v>
      </c>
      <c r="G262" s="45"/>
    </row>
    <row r="263" spans="1:8" x14ac:dyDescent="0.25">
      <c r="A263" s="43"/>
      <c r="B263" s="291" t="s">
        <v>500</v>
      </c>
      <c r="C263" s="358">
        <v>35</v>
      </c>
      <c r="D263" s="358">
        <v>35000</v>
      </c>
      <c r="E263" s="28">
        <v>539</v>
      </c>
      <c r="F263" s="29">
        <v>4122</v>
      </c>
      <c r="G263" s="45"/>
    </row>
    <row r="264" spans="1:8" x14ac:dyDescent="0.25">
      <c r="A264" s="43"/>
      <c r="B264" s="291" t="s">
        <v>139</v>
      </c>
      <c r="C264" s="358">
        <f>669.36+446.24</f>
        <v>1115.5999999999999</v>
      </c>
      <c r="D264" s="358">
        <f>669360+446240</f>
        <v>1115600</v>
      </c>
      <c r="E264" s="28">
        <v>13305</v>
      </c>
      <c r="F264" s="29">
        <v>4122</v>
      </c>
      <c r="G264" s="45"/>
    </row>
    <row r="265" spans="1:8" x14ac:dyDescent="0.25">
      <c r="A265" s="272"/>
      <c r="B265" s="79" t="s">
        <v>272</v>
      </c>
      <c r="C265" s="52">
        <v>964</v>
      </c>
      <c r="D265" s="429">
        <f>578400+385600</f>
        <v>964000</v>
      </c>
      <c r="E265" s="22">
        <v>13305</v>
      </c>
      <c r="F265" s="48">
        <v>4122</v>
      </c>
      <c r="G265" s="45"/>
    </row>
    <row r="266" spans="1:8" x14ac:dyDescent="0.25">
      <c r="A266" s="43"/>
      <c r="B266" s="276" t="s">
        <v>332</v>
      </c>
      <c r="C266" s="52">
        <v>80</v>
      </c>
      <c r="D266" s="350">
        <v>80000</v>
      </c>
      <c r="E266" s="22">
        <v>551</v>
      </c>
      <c r="F266" s="48">
        <v>4122</v>
      </c>
      <c r="G266" s="384"/>
      <c r="H266" s="384"/>
    </row>
    <row r="267" spans="1:8" x14ac:dyDescent="0.25">
      <c r="A267" s="43"/>
      <c r="B267" s="276" t="s">
        <v>421</v>
      </c>
      <c r="C267" s="52">
        <v>0</v>
      </c>
      <c r="D267" s="350">
        <v>70000</v>
      </c>
      <c r="E267" s="22">
        <v>551</v>
      </c>
      <c r="F267" s="48">
        <v>4122</v>
      </c>
      <c r="G267" s="384"/>
      <c r="H267" s="384"/>
    </row>
    <row r="268" spans="1:8" x14ac:dyDescent="0.25">
      <c r="A268" s="43"/>
      <c r="B268" s="276" t="s">
        <v>304</v>
      </c>
      <c r="C268" s="52">
        <v>55</v>
      </c>
      <c r="D268" s="350">
        <v>55000</v>
      </c>
      <c r="E268" s="22">
        <v>551</v>
      </c>
      <c r="F268" s="48">
        <v>4122</v>
      </c>
      <c r="G268" s="384"/>
      <c r="H268" s="384"/>
    </row>
    <row r="269" spans="1:8" x14ac:dyDescent="0.25">
      <c r="A269" s="43"/>
      <c r="B269" s="276" t="s">
        <v>426</v>
      </c>
      <c r="C269" s="52">
        <v>0</v>
      </c>
      <c r="D269" s="350">
        <v>70000</v>
      </c>
      <c r="E269" s="22">
        <v>101</v>
      </c>
      <c r="F269" s="48">
        <v>4122</v>
      </c>
      <c r="G269" s="384"/>
      <c r="H269" s="384"/>
    </row>
    <row r="270" spans="1:8" x14ac:dyDescent="0.25">
      <c r="A270" s="43"/>
      <c r="B270" s="276" t="s">
        <v>331</v>
      </c>
      <c r="C270" s="52">
        <v>90</v>
      </c>
      <c r="D270" s="350">
        <v>90000</v>
      </c>
      <c r="E270" s="22">
        <v>551</v>
      </c>
      <c r="F270" s="48">
        <v>4122</v>
      </c>
      <c r="G270" s="384"/>
      <c r="H270" s="384"/>
    </row>
    <row r="271" spans="1:8" x14ac:dyDescent="0.25">
      <c r="A271" s="43"/>
      <c r="B271" s="276" t="s">
        <v>517</v>
      </c>
      <c r="C271" s="52">
        <v>55</v>
      </c>
      <c r="D271" s="350">
        <v>55000</v>
      </c>
      <c r="E271" s="22">
        <v>551</v>
      </c>
      <c r="F271" s="48">
        <v>4122</v>
      </c>
      <c r="G271" s="384"/>
      <c r="H271" s="384"/>
    </row>
    <row r="272" spans="1:8" ht="15.6" hidden="1" customHeight="1" x14ac:dyDescent="0.25">
      <c r="A272" s="43"/>
      <c r="B272" s="276"/>
      <c r="C272" s="52"/>
      <c r="D272" s="350"/>
      <c r="E272" s="22"/>
      <c r="F272" s="48">
        <v>4122</v>
      </c>
      <c r="G272" s="45"/>
      <c r="H272" s="269"/>
    </row>
    <row r="273" spans="1:8" ht="15.6" hidden="1" customHeight="1" x14ac:dyDescent="0.25">
      <c r="A273" s="43"/>
      <c r="B273" s="276"/>
      <c r="C273" s="52"/>
      <c r="D273" s="350"/>
      <c r="E273" s="22"/>
      <c r="F273" s="48">
        <v>4122</v>
      </c>
      <c r="G273" s="45"/>
      <c r="H273" s="269"/>
    </row>
    <row r="274" spans="1:8" ht="15.6" hidden="1" customHeight="1" x14ac:dyDescent="0.25">
      <c r="A274" s="43"/>
      <c r="B274" s="276"/>
      <c r="C274" s="52"/>
      <c r="D274" s="350"/>
      <c r="E274" s="22"/>
      <c r="F274" s="48">
        <v>4122</v>
      </c>
      <c r="G274" s="45"/>
      <c r="H274" s="269"/>
    </row>
    <row r="275" spans="1:8" ht="15.6" hidden="1" customHeight="1" x14ac:dyDescent="0.25">
      <c r="A275" s="43"/>
      <c r="B275" s="276"/>
      <c r="C275" s="52"/>
      <c r="D275" s="350"/>
      <c r="E275" s="22"/>
      <c r="F275" s="48">
        <v>4122</v>
      </c>
      <c r="G275" s="45"/>
      <c r="H275" s="269"/>
    </row>
    <row r="276" spans="1:8" ht="15.6" hidden="1" customHeight="1" x14ac:dyDescent="0.25">
      <c r="A276" s="43"/>
      <c r="B276" s="276"/>
      <c r="C276" s="52"/>
      <c r="D276" s="350"/>
      <c r="E276" s="22"/>
      <c r="F276" s="48">
        <v>4122</v>
      </c>
      <c r="G276" s="45"/>
      <c r="H276" s="269"/>
    </row>
    <row r="277" spans="1:8" ht="15.6" hidden="1" customHeight="1" x14ac:dyDescent="0.25">
      <c r="A277" s="43"/>
      <c r="B277" s="276"/>
      <c r="C277" s="52"/>
      <c r="D277" s="350"/>
      <c r="E277" s="22"/>
      <c r="F277" s="48">
        <v>4122</v>
      </c>
      <c r="G277" s="45"/>
      <c r="H277" s="269"/>
    </row>
    <row r="278" spans="1:8" ht="15.6" hidden="1" customHeight="1" x14ac:dyDescent="0.25">
      <c r="A278" s="43"/>
      <c r="B278" s="276"/>
      <c r="C278" s="52"/>
      <c r="D278" s="350"/>
      <c r="E278" s="22"/>
      <c r="F278" s="48">
        <v>4122</v>
      </c>
      <c r="G278" s="45"/>
      <c r="H278" s="269"/>
    </row>
    <row r="279" spans="1:8" ht="15.6" hidden="1" customHeight="1" x14ac:dyDescent="0.25">
      <c r="A279" s="43"/>
      <c r="B279" s="276"/>
      <c r="C279" s="52"/>
      <c r="D279" s="350"/>
      <c r="E279" s="22"/>
      <c r="F279" s="48">
        <v>4122</v>
      </c>
      <c r="G279" s="45"/>
      <c r="H279" s="269"/>
    </row>
    <row r="280" spans="1:8" ht="15.6" hidden="1" customHeight="1" x14ac:dyDescent="0.25">
      <c r="A280" s="43"/>
      <c r="B280" s="276"/>
      <c r="C280" s="52"/>
      <c r="D280" s="350"/>
      <c r="E280" s="22"/>
      <c r="F280" s="48">
        <v>4122</v>
      </c>
      <c r="G280" s="45"/>
      <c r="H280" s="269"/>
    </row>
    <row r="281" spans="1:8" ht="15.6" hidden="1" customHeight="1" x14ac:dyDescent="0.25">
      <c r="A281" s="43"/>
      <c r="B281" s="276"/>
      <c r="C281" s="52"/>
      <c r="D281" s="350"/>
      <c r="E281" s="22"/>
      <c r="F281" s="48">
        <v>4122</v>
      </c>
      <c r="G281" s="45"/>
      <c r="H281" s="269"/>
    </row>
    <row r="282" spans="1:8" ht="15.6" hidden="1" customHeight="1" x14ac:dyDescent="0.25">
      <c r="A282" s="43"/>
      <c r="B282" s="276"/>
      <c r="C282" s="52"/>
      <c r="D282" s="350"/>
      <c r="E282" s="22"/>
      <c r="F282" s="48">
        <v>4122</v>
      </c>
      <c r="G282" s="45"/>
      <c r="H282" s="269"/>
    </row>
    <row r="283" spans="1:8" ht="15.6" hidden="1" customHeight="1" x14ac:dyDescent="0.25">
      <c r="A283" s="43"/>
      <c r="B283" s="276"/>
      <c r="C283" s="52"/>
      <c r="D283" s="350"/>
      <c r="E283" s="22"/>
      <c r="F283" s="48">
        <v>4122</v>
      </c>
      <c r="G283" s="45"/>
      <c r="H283" s="269"/>
    </row>
    <row r="284" spans="1:8" ht="15.6" hidden="1" customHeight="1" x14ac:dyDescent="0.25">
      <c r="A284" s="43"/>
      <c r="B284" s="276"/>
      <c r="C284" s="52"/>
      <c r="D284" s="350"/>
      <c r="E284" s="22"/>
      <c r="F284" s="48">
        <v>4122</v>
      </c>
      <c r="G284" s="45"/>
      <c r="H284" s="269"/>
    </row>
    <row r="285" spans="1:8" ht="15.6" hidden="1" customHeight="1" x14ac:dyDescent="0.25">
      <c r="A285" s="43"/>
      <c r="B285" s="276"/>
      <c r="C285" s="52"/>
      <c r="D285" s="350"/>
      <c r="E285" s="22"/>
      <c r="F285" s="48">
        <v>4122</v>
      </c>
      <c r="G285" s="45"/>
      <c r="H285" s="269"/>
    </row>
    <row r="286" spans="1:8" ht="15.6" hidden="1" customHeight="1" x14ac:dyDescent="0.25">
      <c r="A286" s="43"/>
      <c r="B286" s="276"/>
      <c r="C286" s="52"/>
      <c r="D286" s="350"/>
      <c r="E286" s="22"/>
      <c r="F286" s="48">
        <v>4122</v>
      </c>
      <c r="G286" s="45"/>
      <c r="H286" s="269"/>
    </row>
    <row r="287" spans="1:8" ht="15.6" hidden="1" customHeight="1" x14ac:dyDescent="0.25">
      <c r="A287" s="43"/>
      <c r="B287" s="276"/>
      <c r="C287" s="52"/>
      <c r="D287" s="350"/>
      <c r="E287" s="22"/>
      <c r="F287" s="48">
        <v>4122</v>
      </c>
      <c r="G287" s="45"/>
      <c r="H287" s="269"/>
    </row>
    <row r="288" spans="1:8" ht="15.6" hidden="1" customHeight="1" x14ac:dyDescent="0.25">
      <c r="A288" s="43"/>
      <c r="B288" s="276"/>
      <c r="C288" s="52"/>
      <c r="D288" s="350"/>
      <c r="E288" s="22"/>
      <c r="F288" s="48">
        <v>4122</v>
      </c>
      <c r="G288" s="45"/>
      <c r="H288" s="269"/>
    </row>
    <row r="289" spans="1:8" ht="15.6" hidden="1" customHeight="1" x14ac:dyDescent="0.25">
      <c r="A289" s="43"/>
      <c r="B289" s="276"/>
      <c r="C289" s="52"/>
      <c r="D289" s="350"/>
      <c r="E289" s="22"/>
      <c r="F289" s="48">
        <v>4122</v>
      </c>
      <c r="G289" s="45"/>
      <c r="H289" s="269"/>
    </row>
    <row r="290" spans="1:8" ht="15.6" hidden="1" customHeight="1" x14ac:dyDescent="0.25">
      <c r="A290" s="43"/>
      <c r="B290" s="276"/>
      <c r="C290" s="52"/>
      <c r="D290" s="350"/>
      <c r="E290" s="22"/>
      <c r="F290" s="48">
        <v>4122</v>
      </c>
      <c r="G290" s="45"/>
      <c r="H290" s="269"/>
    </row>
    <row r="291" spans="1:8" ht="15.6" hidden="1" customHeight="1" x14ac:dyDescent="0.25">
      <c r="A291" s="43"/>
      <c r="B291" s="276"/>
      <c r="C291" s="52"/>
      <c r="D291" s="350"/>
      <c r="E291" s="22"/>
      <c r="F291" s="48">
        <v>4122</v>
      </c>
      <c r="G291" s="45"/>
      <c r="H291" s="269"/>
    </row>
    <row r="292" spans="1:8" ht="15.6" hidden="1" customHeight="1" x14ac:dyDescent="0.25">
      <c r="A292" s="43"/>
      <c r="B292" s="276"/>
      <c r="C292" s="52"/>
      <c r="D292" s="350"/>
      <c r="E292" s="22"/>
      <c r="F292" s="48">
        <v>4122</v>
      </c>
      <c r="G292" s="45"/>
      <c r="H292" s="269"/>
    </row>
    <row r="293" spans="1:8" ht="15.6" hidden="1" customHeight="1" x14ac:dyDescent="0.25">
      <c r="A293" s="43"/>
      <c r="B293" s="276"/>
      <c r="C293" s="52"/>
      <c r="D293" s="350"/>
      <c r="E293" s="22"/>
      <c r="F293" s="48">
        <v>4122</v>
      </c>
      <c r="G293" s="45"/>
      <c r="H293" s="269"/>
    </row>
    <row r="294" spans="1:8" ht="15.6" hidden="1" customHeight="1" x14ac:dyDescent="0.25">
      <c r="A294" s="43"/>
      <c r="B294" s="276"/>
      <c r="C294" s="350"/>
      <c r="D294" s="350"/>
      <c r="E294" s="28"/>
      <c r="F294" s="48">
        <v>4122</v>
      </c>
      <c r="G294" s="45"/>
      <c r="H294" s="269"/>
    </row>
    <row r="295" spans="1:8" ht="15.6" hidden="1" customHeight="1" x14ac:dyDescent="0.25">
      <c r="A295" s="43"/>
      <c r="B295" s="276"/>
      <c r="C295" s="350"/>
      <c r="D295" s="350"/>
      <c r="E295" s="28"/>
      <c r="F295" s="48">
        <v>4122</v>
      </c>
      <c r="G295" s="45"/>
      <c r="H295" s="269"/>
    </row>
    <row r="296" spans="1:8" ht="15.6" hidden="1" customHeight="1" x14ac:dyDescent="0.25">
      <c r="A296" s="43"/>
      <c r="B296" s="276"/>
      <c r="C296" s="350"/>
      <c r="D296" s="350"/>
      <c r="E296" s="28"/>
      <c r="F296" s="48">
        <v>4122</v>
      </c>
      <c r="G296" s="45"/>
      <c r="H296" s="269"/>
    </row>
    <row r="297" spans="1:8" ht="15.6" hidden="1" customHeight="1" x14ac:dyDescent="0.25">
      <c r="A297" s="43"/>
      <c r="B297" s="276"/>
      <c r="C297" s="350"/>
      <c r="D297" s="350"/>
      <c r="E297" s="28"/>
      <c r="F297" s="48">
        <v>4122</v>
      </c>
      <c r="G297" s="45"/>
      <c r="H297" s="269"/>
    </row>
    <row r="298" spans="1:8" ht="15.6" hidden="1" customHeight="1" x14ac:dyDescent="0.25">
      <c r="A298" s="43"/>
      <c r="B298" s="276"/>
      <c r="C298" s="350"/>
      <c r="D298" s="350"/>
      <c r="E298" s="28"/>
      <c r="F298" s="48">
        <v>4122</v>
      </c>
      <c r="G298" s="45"/>
      <c r="H298" s="269"/>
    </row>
    <row r="299" spans="1:8" ht="15.6" hidden="1" customHeight="1" x14ac:dyDescent="0.25">
      <c r="A299" s="43"/>
      <c r="B299" s="276"/>
      <c r="C299" s="350"/>
      <c r="D299" s="350"/>
      <c r="E299" s="28"/>
      <c r="F299" s="48">
        <v>4122</v>
      </c>
      <c r="G299" s="45"/>
      <c r="H299" s="269"/>
    </row>
    <row r="300" spans="1:8" ht="15.6" hidden="1" customHeight="1" x14ac:dyDescent="0.25">
      <c r="A300" s="43"/>
      <c r="B300" s="276"/>
      <c r="C300" s="350"/>
      <c r="D300" s="350"/>
      <c r="E300" s="28"/>
      <c r="F300" s="48">
        <v>4122</v>
      </c>
      <c r="G300" s="45"/>
      <c r="H300" s="269"/>
    </row>
    <row r="301" spans="1:8" ht="15.6" hidden="1" customHeight="1" x14ac:dyDescent="0.25">
      <c r="A301" s="43"/>
      <c r="B301" s="276"/>
      <c r="C301" s="350"/>
      <c r="D301" s="350"/>
      <c r="E301" s="28"/>
      <c r="F301" s="48">
        <v>4122</v>
      </c>
      <c r="G301" s="45"/>
      <c r="H301" s="269"/>
    </row>
    <row r="302" spans="1:8" ht="15.6" hidden="1" customHeight="1" x14ac:dyDescent="0.25">
      <c r="A302" s="43"/>
      <c r="B302" s="276"/>
      <c r="C302" s="350"/>
      <c r="D302" s="350"/>
      <c r="E302" s="28"/>
      <c r="F302" s="48">
        <v>4122</v>
      </c>
      <c r="G302" s="45"/>
      <c r="H302" s="269"/>
    </row>
    <row r="303" spans="1:8" ht="15.6" hidden="1" customHeight="1" x14ac:dyDescent="0.25">
      <c r="A303" s="43"/>
      <c r="B303" s="276"/>
      <c r="C303" s="350"/>
      <c r="D303" s="350"/>
      <c r="E303" s="28"/>
      <c r="F303" s="48">
        <v>4122</v>
      </c>
      <c r="G303" s="45"/>
    </row>
    <row r="304" spans="1:8" ht="15.6" hidden="1" customHeight="1" x14ac:dyDescent="0.25">
      <c r="A304" s="43"/>
      <c r="B304" s="276"/>
      <c r="C304" s="350"/>
      <c r="D304" s="350"/>
      <c r="E304" s="28"/>
      <c r="F304" s="48">
        <v>4122</v>
      </c>
      <c r="G304" s="45"/>
    </row>
    <row r="305" spans="1:7" ht="15.6" hidden="1" customHeight="1" x14ac:dyDescent="0.25">
      <c r="A305" s="43"/>
      <c r="B305" s="276"/>
      <c r="C305" s="350"/>
      <c r="D305" s="350"/>
      <c r="E305" s="28"/>
      <c r="F305" s="48">
        <v>4122</v>
      </c>
      <c r="G305" s="45"/>
    </row>
    <row r="306" spans="1:7" x14ac:dyDescent="0.25">
      <c r="A306" s="43"/>
      <c r="B306" s="276"/>
      <c r="C306" s="350"/>
      <c r="D306" s="350"/>
      <c r="E306" s="28"/>
      <c r="F306" s="29"/>
      <c r="G306" s="45"/>
    </row>
    <row r="307" spans="1:7" x14ac:dyDescent="0.25">
      <c r="A307" s="43"/>
      <c r="B307" s="31" t="s">
        <v>50</v>
      </c>
      <c r="C307" s="26">
        <f>SUM(C308:C310)</f>
        <v>1808.6522100000002</v>
      </c>
      <c r="D307" s="26">
        <f>+SUM(D308:D310)</f>
        <v>1808652.21</v>
      </c>
      <c r="E307" s="28"/>
      <c r="F307" s="29"/>
      <c r="G307" s="45"/>
    </row>
    <row r="308" spans="1:7" x14ac:dyDescent="0.25">
      <c r="A308" s="272">
        <v>42101</v>
      </c>
      <c r="B308" s="276" t="s">
        <v>138</v>
      </c>
      <c r="C308" s="52">
        <v>131.06369000000001</v>
      </c>
      <c r="D308" s="350">
        <v>131063.69</v>
      </c>
      <c r="E308" s="22">
        <v>86005</v>
      </c>
      <c r="F308" s="48">
        <v>4123</v>
      </c>
      <c r="G308" s="45"/>
    </row>
    <row r="309" spans="1:7" x14ac:dyDescent="0.25">
      <c r="A309" s="287">
        <v>42131</v>
      </c>
      <c r="B309" s="276" t="s">
        <v>518</v>
      </c>
      <c r="C309" s="52">
        <v>853.73328000000004</v>
      </c>
      <c r="D309" s="350">
        <v>853733.28</v>
      </c>
      <c r="E309" s="62">
        <v>86005</v>
      </c>
      <c r="F309" s="48">
        <v>4123</v>
      </c>
      <c r="G309" s="45"/>
    </row>
    <row r="310" spans="1:7" x14ac:dyDescent="0.25">
      <c r="A310" s="287">
        <v>42178</v>
      </c>
      <c r="B310" s="276" t="s">
        <v>245</v>
      </c>
      <c r="C310" s="52">
        <v>823.85523999999998</v>
      </c>
      <c r="D310" s="350">
        <v>823855.24</v>
      </c>
      <c r="E310" s="62">
        <v>86005</v>
      </c>
      <c r="F310" s="48">
        <v>4123</v>
      </c>
      <c r="G310" s="45"/>
    </row>
    <row r="311" spans="1:7" x14ac:dyDescent="0.25">
      <c r="A311" s="43"/>
      <c r="B311" s="44"/>
      <c r="C311" s="46"/>
      <c r="D311" s="46"/>
      <c r="E311" s="28"/>
      <c r="F311" s="48"/>
      <c r="G311" s="45"/>
    </row>
    <row r="312" spans="1:7" x14ac:dyDescent="0.25">
      <c r="A312" s="43"/>
      <c r="B312" s="293" t="s">
        <v>52</v>
      </c>
      <c r="C312" s="30">
        <f>+SUM(C313:C315)</f>
        <v>2377</v>
      </c>
      <c r="D312" s="30">
        <f>+SUM(D313:D315)</f>
        <v>2400018.1000000006</v>
      </c>
      <c r="E312" s="28"/>
      <c r="F312" s="48"/>
      <c r="G312" s="45"/>
    </row>
    <row r="313" spans="1:7" x14ac:dyDescent="0.25">
      <c r="A313" s="43">
        <v>42075</v>
      </c>
      <c r="B313" s="276" t="s">
        <v>124</v>
      </c>
      <c r="C313" s="52">
        <v>582</v>
      </c>
      <c r="D313" s="350">
        <v>581714.24</v>
      </c>
      <c r="E313" s="28"/>
      <c r="F313" s="48">
        <v>4152</v>
      </c>
      <c r="G313" s="45"/>
    </row>
    <row r="314" spans="1:7" x14ac:dyDescent="0.25">
      <c r="A314" s="43">
        <v>42174</v>
      </c>
      <c r="B314" s="276" t="s">
        <v>244</v>
      </c>
      <c r="C314" s="52">
        <v>1795</v>
      </c>
      <c r="D314" s="350">
        <v>1794728.87</v>
      </c>
      <c r="E314" s="28"/>
      <c r="F314" s="48">
        <v>4152</v>
      </c>
      <c r="G314" s="45"/>
    </row>
    <row r="315" spans="1:7" x14ac:dyDescent="0.25">
      <c r="A315" s="43">
        <v>42233</v>
      </c>
      <c r="B315" s="276" t="s">
        <v>519</v>
      </c>
      <c r="C315" s="52">
        <v>0</v>
      </c>
      <c r="D315" s="350">
        <v>23574.99</v>
      </c>
      <c r="E315" s="28"/>
      <c r="F315" s="48">
        <v>4152</v>
      </c>
      <c r="G315" s="45"/>
    </row>
    <row r="316" spans="1:7" x14ac:dyDescent="0.25">
      <c r="A316" s="43"/>
      <c r="B316" s="276"/>
      <c r="C316" s="46"/>
      <c r="D316" s="350"/>
      <c r="E316" s="28"/>
      <c r="F316" s="48"/>
      <c r="G316" s="45"/>
    </row>
    <row r="317" spans="1:7" x14ac:dyDescent="0.25">
      <c r="A317" s="43"/>
      <c r="B317" s="294" t="s">
        <v>53</v>
      </c>
      <c r="C317" s="26">
        <f>+C312+C307+C223+C211+C203+C186+C167+C164+C157+C150+C86+C51+C48+C22+C18+C12+C6</f>
        <v>272751.97179999994</v>
      </c>
      <c r="D317" s="26">
        <f>+D312+D307+D223+D211+D203+D186+D167+D164+D157+D150+D86+D51+D48+D22+D18+D12+D6</f>
        <v>279745946.90000004</v>
      </c>
      <c r="E317" s="71"/>
      <c r="F317" s="22"/>
      <c r="G317" s="45"/>
    </row>
    <row r="318" spans="1:7" ht="16.5" thickBot="1" x14ac:dyDescent="0.3">
      <c r="A318" s="296"/>
      <c r="B318" s="297"/>
      <c r="C318" s="74"/>
      <c r="D318" s="74"/>
      <c r="E318" s="76"/>
      <c r="F318" s="77"/>
      <c r="G318" s="45"/>
    </row>
    <row r="319" spans="1:7" x14ac:dyDescent="0.25">
      <c r="A319" s="300"/>
      <c r="B319" s="79"/>
      <c r="C319" s="7"/>
      <c r="D319" s="7"/>
      <c r="E319" s="80"/>
      <c r="F319" s="80"/>
      <c r="G319" s="45"/>
    </row>
    <row r="320" spans="1:7" ht="16.5" thickBot="1" x14ac:dyDescent="0.3">
      <c r="A320" s="300"/>
      <c r="B320" s="79"/>
      <c r="C320" s="7"/>
      <c r="D320" s="7"/>
      <c r="E320" s="80"/>
      <c r="F320" s="80"/>
      <c r="G320" s="45"/>
    </row>
    <row r="321" spans="1:7" ht="15.75" customHeight="1" x14ac:dyDescent="0.25">
      <c r="A321" s="436" t="s">
        <v>141</v>
      </c>
      <c r="B321" s="5"/>
      <c r="C321" s="4"/>
      <c r="D321" s="4"/>
      <c r="E321" s="81"/>
      <c r="F321" s="81"/>
      <c r="G321" s="45"/>
    </row>
    <row r="322" spans="1:7" ht="16.5" thickBot="1" x14ac:dyDescent="0.3">
      <c r="A322" s="437"/>
      <c r="B322" s="10" t="s">
        <v>54</v>
      </c>
      <c r="C322" s="9" t="s">
        <v>3</v>
      </c>
      <c r="D322" s="9" t="s">
        <v>4</v>
      </c>
      <c r="E322" s="82" t="s">
        <v>5</v>
      </c>
      <c r="F322" s="82" t="s">
        <v>6</v>
      </c>
      <c r="G322" s="45"/>
    </row>
    <row r="323" spans="1:7" x14ac:dyDescent="0.25">
      <c r="A323" s="43"/>
      <c r="B323" s="273" t="s">
        <v>14</v>
      </c>
      <c r="C323" s="39">
        <f>+SUM(C324:C358)</f>
        <v>1691.3655199999998</v>
      </c>
      <c r="D323" s="39">
        <f>+SUM(D324:D358)</f>
        <v>1691365.5200000005</v>
      </c>
      <c r="E323" s="48"/>
      <c r="F323" s="48"/>
      <c r="G323" s="45"/>
    </row>
    <row r="324" spans="1:7" x14ac:dyDescent="0.25">
      <c r="A324" s="43">
        <v>42069</v>
      </c>
      <c r="B324" s="44" t="s">
        <v>114</v>
      </c>
      <c r="C324" s="52">
        <v>141.55572000000001</v>
      </c>
      <c r="D324" s="20">
        <v>141555.72</v>
      </c>
      <c r="E324" s="48">
        <v>90877</v>
      </c>
      <c r="F324" s="48">
        <v>4213</v>
      </c>
      <c r="G324" s="45"/>
    </row>
    <row r="325" spans="1:7" x14ac:dyDescent="0.25">
      <c r="A325" s="43">
        <v>42114</v>
      </c>
      <c r="B325" s="44" t="s">
        <v>156</v>
      </c>
      <c r="C325" s="52">
        <v>47.117789999999999</v>
      </c>
      <c r="D325" s="20">
        <v>47117.79</v>
      </c>
      <c r="E325" s="48">
        <v>90877</v>
      </c>
      <c r="F325" s="48">
        <v>4213</v>
      </c>
      <c r="G325" s="45"/>
    </row>
    <row r="326" spans="1:7" x14ac:dyDescent="0.25">
      <c r="A326" s="43">
        <v>42142</v>
      </c>
      <c r="B326" s="44" t="s">
        <v>169</v>
      </c>
      <c r="C326" s="52">
        <v>21.145890000000001</v>
      </c>
      <c r="D326" s="20">
        <v>21145.89</v>
      </c>
      <c r="E326" s="48">
        <v>90877</v>
      </c>
      <c r="F326" s="48">
        <v>4213</v>
      </c>
      <c r="G326" s="45"/>
    </row>
    <row r="327" spans="1:7" x14ac:dyDescent="0.25">
      <c r="A327" s="43">
        <v>42150</v>
      </c>
      <c r="B327" s="44" t="s">
        <v>218</v>
      </c>
      <c r="C327" s="52">
        <v>32.193080000000002</v>
      </c>
      <c r="D327" s="20">
        <v>32193.08</v>
      </c>
      <c r="E327" s="48">
        <v>90877</v>
      </c>
      <c r="F327" s="48">
        <v>4213</v>
      </c>
      <c r="G327" s="45"/>
    </row>
    <row r="328" spans="1:7" x14ac:dyDescent="0.25">
      <c r="A328" s="43">
        <v>42150</v>
      </c>
      <c r="B328" s="44" t="s">
        <v>219</v>
      </c>
      <c r="C328" s="52">
        <v>21.296060000000001</v>
      </c>
      <c r="D328" s="20">
        <v>21296.06</v>
      </c>
      <c r="E328" s="48">
        <v>90877</v>
      </c>
      <c r="F328" s="48">
        <v>4213</v>
      </c>
      <c r="G328" s="45"/>
    </row>
    <row r="329" spans="1:7" x14ac:dyDescent="0.25">
      <c r="A329" s="43">
        <v>42167</v>
      </c>
      <c r="B329" s="44" t="s">
        <v>232</v>
      </c>
      <c r="C329" s="52">
        <v>28.64677</v>
      </c>
      <c r="D329" s="20">
        <v>28646.77</v>
      </c>
      <c r="E329" s="48">
        <v>90877</v>
      </c>
      <c r="F329" s="48">
        <v>4213</v>
      </c>
      <c r="G329" s="45"/>
    </row>
    <row r="330" spans="1:7" x14ac:dyDescent="0.25">
      <c r="A330" s="43">
        <v>42199</v>
      </c>
      <c r="B330" s="44" t="s">
        <v>280</v>
      </c>
      <c r="C330" s="52">
        <v>120.05096</v>
      </c>
      <c r="D330" s="20">
        <v>120050.96</v>
      </c>
      <c r="E330" s="48">
        <v>90877</v>
      </c>
      <c r="F330" s="48">
        <v>4213</v>
      </c>
      <c r="G330" s="45"/>
    </row>
    <row r="331" spans="1:7" x14ac:dyDescent="0.25">
      <c r="A331" s="43">
        <v>42195</v>
      </c>
      <c r="B331" s="44" t="s">
        <v>294</v>
      </c>
      <c r="C331" s="52">
        <v>20.106369999999998</v>
      </c>
      <c r="D331" s="20">
        <v>20106.37</v>
      </c>
      <c r="E331" s="48">
        <v>90877</v>
      </c>
      <c r="F331" s="48">
        <v>4213</v>
      </c>
      <c r="G331" s="45"/>
    </row>
    <row r="332" spans="1:7" x14ac:dyDescent="0.25">
      <c r="A332" s="43">
        <v>42205</v>
      </c>
      <c r="B332" s="44" t="s">
        <v>303</v>
      </c>
      <c r="C332" s="52">
        <v>19.5185</v>
      </c>
      <c r="D332" s="20">
        <v>19518.5</v>
      </c>
      <c r="E332" s="48">
        <v>90877</v>
      </c>
      <c r="F332" s="48">
        <v>4213</v>
      </c>
      <c r="G332" s="45"/>
    </row>
    <row r="333" spans="1:7" x14ac:dyDescent="0.25">
      <c r="A333" s="43">
        <v>42209</v>
      </c>
      <c r="B333" s="44" t="s">
        <v>330</v>
      </c>
      <c r="C333" s="52">
        <v>20.354620000000001</v>
      </c>
      <c r="D333" s="20">
        <v>20354.62</v>
      </c>
      <c r="E333" s="48">
        <v>90877</v>
      </c>
      <c r="F333" s="48">
        <v>4213</v>
      </c>
      <c r="G333" s="45"/>
    </row>
    <row r="334" spans="1:7" x14ac:dyDescent="0.25">
      <c r="A334" s="43">
        <v>42220</v>
      </c>
      <c r="B334" s="44" t="s">
        <v>343</v>
      </c>
      <c r="C334" s="52">
        <v>72.443290000000005</v>
      </c>
      <c r="D334" s="20">
        <v>72443.289999999994</v>
      </c>
      <c r="E334" s="48">
        <v>90877</v>
      </c>
      <c r="F334" s="48">
        <v>4213</v>
      </c>
      <c r="G334" s="45"/>
    </row>
    <row r="335" spans="1:7" x14ac:dyDescent="0.25">
      <c r="A335" s="43">
        <v>42222</v>
      </c>
      <c r="B335" s="44" t="s">
        <v>368</v>
      </c>
      <c r="C335" s="52">
        <v>214.12066999999999</v>
      </c>
      <c r="D335" s="20">
        <v>214120.67</v>
      </c>
      <c r="E335" s="48">
        <v>90877</v>
      </c>
      <c r="F335" s="48">
        <v>4213</v>
      </c>
      <c r="G335" s="45"/>
    </row>
    <row r="336" spans="1:7" x14ac:dyDescent="0.25">
      <c r="A336" s="43">
        <v>42226</v>
      </c>
      <c r="B336" s="44" t="s">
        <v>218</v>
      </c>
      <c r="C336" s="52">
        <v>7.7073600000000004</v>
      </c>
      <c r="D336" s="20">
        <v>7707.36</v>
      </c>
      <c r="E336" s="48">
        <v>90877</v>
      </c>
      <c r="F336" s="48">
        <v>4213</v>
      </c>
      <c r="G336" s="45"/>
    </row>
    <row r="337" spans="1:7" x14ac:dyDescent="0.25">
      <c r="A337" s="43">
        <v>42251</v>
      </c>
      <c r="B337" s="44" t="s">
        <v>330</v>
      </c>
      <c r="C337" s="20">
        <v>0.30249999999999999</v>
      </c>
      <c r="D337" s="20">
        <v>302.5</v>
      </c>
      <c r="E337" s="48">
        <v>90877</v>
      </c>
      <c r="F337" s="48">
        <v>4213</v>
      </c>
      <c r="G337" s="45"/>
    </row>
    <row r="338" spans="1:7" ht="15.6" hidden="1" customHeight="1" x14ac:dyDescent="0.25">
      <c r="A338" s="43"/>
      <c r="B338" s="44"/>
      <c r="C338" s="52"/>
      <c r="D338" s="20"/>
      <c r="E338" s="48"/>
      <c r="F338" s="48">
        <v>4213</v>
      </c>
      <c r="G338" s="45">
        <f>+G337-D358</f>
        <v>-77736.06</v>
      </c>
    </row>
    <row r="339" spans="1:7" ht="15.6" hidden="1" customHeight="1" x14ac:dyDescent="0.25">
      <c r="A339" s="43"/>
      <c r="B339" s="44"/>
      <c r="C339" s="52"/>
      <c r="D339" s="20"/>
      <c r="E339" s="48"/>
      <c r="F339" s="48">
        <v>4213</v>
      </c>
      <c r="G339" s="45">
        <f>+G338-H353</f>
        <v>-77736.06</v>
      </c>
    </row>
    <row r="340" spans="1:7" ht="15.6" hidden="1" customHeight="1" x14ac:dyDescent="0.25">
      <c r="A340" s="43"/>
      <c r="B340" s="44"/>
      <c r="C340" s="52"/>
      <c r="D340" s="20"/>
      <c r="E340" s="48"/>
      <c r="F340" s="48">
        <v>4213</v>
      </c>
      <c r="G340" s="45"/>
    </row>
    <row r="341" spans="1:7" ht="15.6" hidden="1" customHeight="1" x14ac:dyDescent="0.25">
      <c r="A341" s="43"/>
      <c r="B341" s="44"/>
      <c r="C341" s="52"/>
      <c r="D341" s="20"/>
      <c r="E341" s="48"/>
      <c r="F341" s="48">
        <v>4213</v>
      </c>
      <c r="G341" s="45"/>
    </row>
    <row r="342" spans="1:7" ht="15.6" hidden="1" customHeight="1" x14ac:dyDescent="0.25">
      <c r="A342" s="43"/>
      <c r="B342" s="44"/>
      <c r="C342" s="20"/>
      <c r="D342" s="20"/>
      <c r="E342" s="48"/>
      <c r="F342" s="48">
        <v>4213</v>
      </c>
      <c r="G342" s="45"/>
    </row>
    <row r="343" spans="1:7" ht="15.6" hidden="1" customHeight="1" x14ac:dyDescent="0.25">
      <c r="A343" s="43"/>
      <c r="B343" s="276"/>
      <c r="C343" s="20"/>
      <c r="D343" s="20"/>
      <c r="E343" s="48"/>
      <c r="F343" s="48">
        <v>4213</v>
      </c>
      <c r="G343" s="45"/>
    </row>
    <row r="344" spans="1:7" ht="15.6" hidden="1" customHeight="1" x14ac:dyDescent="0.25">
      <c r="A344" s="43"/>
      <c r="B344" s="44"/>
      <c r="C344" s="20"/>
      <c r="D344" s="20"/>
      <c r="E344" s="48"/>
      <c r="F344" s="48">
        <v>4213</v>
      </c>
      <c r="G344" s="45"/>
    </row>
    <row r="345" spans="1:7" ht="15.6" hidden="1" customHeight="1" x14ac:dyDescent="0.25">
      <c r="A345" s="43"/>
      <c r="B345" s="44"/>
      <c r="C345" s="20"/>
      <c r="D345" s="20"/>
      <c r="E345" s="48"/>
      <c r="F345" s="48">
        <v>4213</v>
      </c>
      <c r="G345" s="45"/>
    </row>
    <row r="346" spans="1:7" ht="15.6" hidden="1" customHeight="1" x14ac:dyDescent="0.25">
      <c r="A346" s="43"/>
      <c r="B346" s="44"/>
      <c r="C346" s="20"/>
      <c r="D346" s="20"/>
      <c r="E346" s="48"/>
      <c r="F346" s="48">
        <v>4213</v>
      </c>
      <c r="G346" s="45"/>
    </row>
    <row r="347" spans="1:7" ht="15.6" hidden="1" customHeight="1" x14ac:dyDescent="0.25">
      <c r="A347" s="43"/>
      <c r="B347" s="44"/>
      <c r="C347" s="20"/>
      <c r="D347" s="20"/>
      <c r="E347" s="48"/>
      <c r="F347" s="48">
        <v>4213</v>
      </c>
      <c r="G347" s="45"/>
    </row>
    <row r="348" spans="1:7" x14ac:dyDescent="0.25">
      <c r="A348" s="43"/>
      <c r="B348" s="44" t="s">
        <v>501</v>
      </c>
      <c r="C348" s="20">
        <v>105.33132000000001</v>
      </c>
      <c r="D348" s="20">
        <v>105331.32</v>
      </c>
      <c r="E348" s="48">
        <v>90877</v>
      </c>
      <c r="F348" s="48">
        <v>4213</v>
      </c>
      <c r="G348" s="384"/>
    </row>
    <row r="349" spans="1:7" x14ac:dyDescent="0.25">
      <c r="A349" s="43"/>
      <c r="B349" s="44" t="s">
        <v>121</v>
      </c>
      <c r="C349" s="20">
        <v>0.97499999999999998</v>
      </c>
      <c r="D349" s="20">
        <v>975</v>
      </c>
      <c r="E349" s="48">
        <v>90877</v>
      </c>
      <c r="F349" s="48">
        <v>4213</v>
      </c>
      <c r="G349" s="45"/>
    </row>
    <row r="350" spans="1:7" x14ac:dyDescent="0.25">
      <c r="A350" s="43"/>
      <c r="B350" s="44" t="s">
        <v>502</v>
      </c>
      <c r="C350" s="20">
        <v>1.42302</v>
      </c>
      <c r="D350" s="20">
        <v>1423.02</v>
      </c>
      <c r="E350" s="48">
        <v>90877</v>
      </c>
      <c r="F350" s="48">
        <v>4213</v>
      </c>
      <c r="G350" s="45"/>
    </row>
    <row r="351" spans="1:7" x14ac:dyDescent="0.25">
      <c r="A351" s="43"/>
      <c r="B351" s="44" t="s">
        <v>503</v>
      </c>
      <c r="C351" s="20">
        <v>54.137300000000003</v>
      </c>
      <c r="D351" s="20">
        <v>54137.3</v>
      </c>
      <c r="E351" s="48">
        <v>90877</v>
      </c>
      <c r="F351" s="48">
        <v>4213</v>
      </c>
      <c r="G351" s="45"/>
    </row>
    <row r="352" spans="1:7" x14ac:dyDescent="0.25">
      <c r="A352" s="43"/>
      <c r="B352" s="44" t="s">
        <v>110</v>
      </c>
      <c r="C352" s="20">
        <v>392.03399999999999</v>
      </c>
      <c r="D352" s="20">
        <v>392034</v>
      </c>
      <c r="E352" s="48">
        <v>90909</v>
      </c>
      <c r="F352" s="48">
        <v>4213</v>
      </c>
      <c r="G352" s="45"/>
    </row>
    <row r="353" spans="1:8" x14ac:dyDescent="0.25">
      <c r="A353" s="43"/>
      <c r="B353" s="44" t="s">
        <v>284</v>
      </c>
      <c r="C353" s="20">
        <v>277.85216000000003</v>
      </c>
      <c r="D353" s="20">
        <f>217082.01+60770.15</f>
        <v>277852.16000000003</v>
      </c>
      <c r="E353" s="48">
        <v>90877</v>
      </c>
      <c r="F353" s="48">
        <v>4213</v>
      </c>
      <c r="G353" s="384"/>
      <c r="H353" s="384"/>
    </row>
    <row r="354" spans="1:8" x14ac:dyDescent="0.25">
      <c r="A354" s="43"/>
      <c r="B354" s="44" t="s">
        <v>499</v>
      </c>
      <c r="C354" s="20">
        <v>0.30249999999999999</v>
      </c>
      <c r="D354" s="20">
        <v>302.5</v>
      </c>
      <c r="E354" s="48">
        <v>90877</v>
      </c>
      <c r="F354" s="48">
        <v>4213</v>
      </c>
      <c r="G354" s="384"/>
      <c r="H354" s="160"/>
    </row>
    <row r="355" spans="1:8" x14ac:dyDescent="0.25">
      <c r="A355" s="43"/>
      <c r="B355" s="44" t="s">
        <v>508</v>
      </c>
      <c r="C355" s="20">
        <v>9.3895999999999997</v>
      </c>
      <c r="D355" s="20">
        <v>9389.6</v>
      </c>
      <c r="E355" s="48">
        <v>90877</v>
      </c>
      <c r="F355" s="48">
        <v>4213</v>
      </c>
      <c r="G355" s="45"/>
      <c r="H355" s="160"/>
    </row>
    <row r="356" spans="1:8" x14ac:dyDescent="0.25">
      <c r="A356" s="43"/>
      <c r="B356" s="44" t="s">
        <v>520</v>
      </c>
      <c r="C356" s="20">
        <v>2.125</v>
      </c>
      <c r="D356" s="20">
        <v>2125</v>
      </c>
      <c r="E356" s="48">
        <v>90877</v>
      </c>
      <c r="F356" s="48">
        <v>4213</v>
      </c>
      <c r="G356" s="45"/>
      <c r="H356" s="160"/>
    </row>
    <row r="357" spans="1:8" x14ac:dyDescent="0.25">
      <c r="A357" s="43"/>
      <c r="B357" s="44" t="s">
        <v>509</v>
      </c>
      <c r="C357" s="20">
        <v>3.4999799999999999</v>
      </c>
      <c r="D357" s="20">
        <v>3499.98</v>
      </c>
      <c r="E357" s="48">
        <v>90877</v>
      </c>
      <c r="F357" s="48">
        <v>4213</v>
      </c>
      <c r="G357" s="45"/>
      <c r="H357" s="160"/>
    </row>
    <row r="358" spans="1:8" x14ac:dyDescent="0.25">
      <c r="A358" s="43"/>
      <c r="B358" s="44" t="s">
        <v>504</v>
      </c>
      <c r="C358" s="20">
        <v>77.736059999999995</v>
      </c>
      <c r="D358" s="20">
        <v>77736.06</v>
      </c>
      <c r="E358" s="48">
        <v>90877</v>
      </c>
      <c r="F358" s="48">
        <v>4213</v>
      </c>
      <c r="G358" s="384"/>
      <c r="H358" s="160"/>
    </row>
    <row r="359" spans="1:8" x14ac:dyDescent="0.25">
      <c r="A359" s="43"/>
      <c r="B359" s="44"/>
      <c r="C359" s="20"/>
      <c r="D359" s="20"/>
      <c r="E359" s="48"/>
      <c r="F359" s="48"/>
      <c r="G359" s="45"/>
    </row>
    <row r="360" spans="1:8" x14ac:dyDescent="0.25">
      <c r="A360" s="43"/>
      <c r="B360" s="285" t="s">
        <v>33</v>
      </c>
      <c r="C360" s="39">
        <f>+C361</f>
        <v>100</v>
      </c>
      <c r="D360" s="39">
        <f>+D361</f>
        <v>100000</v>
      </c>
      <c r="E360" s="48"/>
      <c r="F360" s="48"/>
      <c r="G360" s="45"/>
    </row>
    <row r="361" spans="1:8" x14ac:dyDescent="0.25">
      <c r="A361" s="43">
        <v>42244</v>
      </c>
      <c r="B361" s="44" t="s">
        <v>322</v>
      </c>
      <c r="C361" s="20">
        <v>100</v>
      </c>
      <c r="D361" s="20">
        <v>100000</v>
      </c>
      <c r="E361" s="48">
        <v>34941</v>
      </c>
      <c r="F361" s="48">
        <v>4216</v>
      </c>
      <c r="G361" s="45"/>
    </row>
    <row r="362" spans="1:8" x14ac:dyDescent="0.25">
      <c r="A362" s="43"/>
      <c r="B362" s="44"/>
      <c r="C362" s="20"/>
      <c r="D362" s="39"/>
      <c r="E362" s="48"/>
      <c r="F362" s="48"/>
      <c r="G362" s="45"/>
    </row>
    <row r="363" spans="1:8" x14ac:dyDescent="0.25">
      <c r="A363" s="43"/>
      <c r="B363" s="273" t="s">
        <v>45</v>
      </c>
      <c r="C363" s="39">
        <f>+SUM(C364:C386)</f>
        <v>19682.190220000004</v>
      </c>
      <c r="D363" s="39">
        <f>+SUM(D364:D386)</f>
        <v>19682190.220000003</v>
      </c>
      <c r="E363" s="48"/>
      <c r="F363" s="48"/>
      <c r="G363" s="45"/>
    </row>
    <row r="364" spans="1:8" x14ac:dyDescent="0.25">
      <c r="A364" s="43">
        <v>42114</v>
      </c>
      <c r="B364" s="44" t="s">
        <v>156</v>
      </c>
      <c r="C364" s="52">
        <v>801.00243</v>
      </c>
      <c r="D364" s="20">
        <v>801002.43</v>
      </c>
      <c r="E364" s="48">
        <v>15827</v>
      </c>
      <c r="F364" s="48">
        <v>4216</v>
      </c>
      <c r="G364" s="45"/>
    </row>
    <row r="365" spans="1:8" x14ac:dyDescent="0.25">
      <c r="A365" s="43">
        <v>42139</v>
      </c>
      <c r="B365" s="44" t="s">
        <v>169</v>
      </c>
      <c r="C365" s="52">
        <v>359.48018999999999</v>
      </c>
      <c r="D365" s="20">
        <v>359480.19</v>
      </c>
      <c r="E365" s="48">
        <v>15835</v>
      </c>
      <c r="F365" s="48">
        <v>4216</v>
      </c>
      <c r="G365" s="45"/>
    </row>
    <row r="366" spans="1:8" x14ac:dyDescent="0.25">
      <c r="A366" s="43">
        <v>42150</v>
      </c>
      <c r="B366" s="44" t="s">
        <v>218</v>
      </c>
      <c r="C366" s="52">
        <v>547.28240000000005</v>
      </c>
      <c r="D366" s="20">
        <v>547282.4</v>
      </c>
      <c r="E366" s="48">
        <v>15835</v>
      </c>
      <c r="F366" s="48">
        <v>4216</v>
      </c>
      <c r="G366" s="45"/>
    </row>
    <row r="367" spans="1:8" x14ac:dyDescent="0.25">
      <c r="A367" s="43">
        <v>42150</v>
      </c>
      <c r="B367" s="44" t="s">
        <v>219</v>
      </c>
      <c r="C367" s="52">
        <v>362.03313000000003</v>
      </c>
      <c r="D367" s="20">
        <v>362033.13</v>
      </c>
      <c r="E367" s="48">
        <v>15835</v>
      </c>
      <c r="F367" s="48">
        <v>4216</v>
      </c>
      <c r="G367" s="45"/>
    </row>
    <row r="368" spans="1:8" x14ac:dyDescent="0.25">
      <c r="A368" s="43">
        <v>42167</v>
      </c>
      <c r="B368" s="44" t="s">
        <v>232</v>
      </c>
      <c r="C368" s="52">
        <v>486.99520000000001</v>
      </c>
      <c r="D368" s="20">
        <v>486995.20000000001</v>
      </c>
      <c r="E368" s="48">
        <v>15835</v>
      </c>
      <c r="F368" s="48">
        <v>4216</v>
      </c>
      <c r="G368" s="45"/>
    </row>
    <row r="369" spans="1:8" x14ac:dyDescent="0.25">
      <c r="A369" s="43">
        <v>42198</v>
      </c>
      <c r="B369" s="44" t="s">
        <v>280</v>
      </c>
      <c r="C369" s="52">
        <v>2040.8663899999999</v>
      </c>
      <c r="D369" s="20">
        <v>2040866.39</v>
      </c>
      <c r="E369" s="48">
        <v>15835</v>
      </c>
      <c r="F369" s="48">
        <v>4216</v>
      </c>
      <c r="G369" s="45"/>
    </row>
    <row r="370" spans="1:8" x14ac:dyDescent="0.25">
      <c r="A370" s="43">
        <v>42194</v>
      </c>
      <c r="B370" s="44" t="s">
        <v>294</v>
      </c>
      <c r="C370" s="52">
        <v>341.80831999999998</v>
      </c>
      <c r="D370" s="20">
        <v>341808.32</v>
      </c>
      <c r="E370" s="48">
        <v>15835</v>
      </c>
      <c r="F370" s="48">
        <v>4216</v>
      </c>
      <c r="G370" s="45"/>
    </row>
    <row r="371" spans="1:8" x14ac:dyDescent="0.25">
      <c r="A371" s="43">
        <v>42205</v>
      </c>
      <c r="B371" s="44" t="s">
        <v>303</v>
      </c>
      <c r="C371" s="52">
        <v>331.81452999999999</v>
      </c>
      <c r="D371" s="20">
        <v>331814.53000000003</v>
      </c>
      <c r="E371" s="48">
        <v>15835</v>
      </c>
      <c r="F371" s="48">
        <v>4216</v>
      </c>
      <c r="G371" s="45"/>
    </row>
    <row r="372" spans="1:8" x14ac:dyDescent="0.25">
      <c r="A372" s="43">
        <v>42209</v>
      </c>
      <c r="B372" s="44" t="s">
        <v>329</v>
      </c>
      <c r="C372" s="52">
        <v>346.02866999999998</v>
      </c>
      <c r="D372" s="20">
        <v>346028.67</v>
      </c>
      <c r="E372" s="48">
        <v>15835</v>
      </c>
      <c r="F372" s="48">
        <v>4216</v>
      </c>
      <c r="G372" s="45"/>
    </row>
    <row r="373" spans="1:8" x14ac:dyDescent="0.25">
      <c r="A373" s="43">
        <v>42220</v>
      </c>
      <c r="B373" s="44" t="s">
        <v>343</v>
      </c>
      <c r="C373" s="52">
        <v>1231.53595</v>
      </c>
      <c r="D373" s="20">
        <v>1231535.95</v>
      </c>
      <c r="E373" s="48">
        <v>15835</v>
      </c>
      <c r="F373" s="48">
        <v>4216</v>
      </c>
      <c r="G373" s="45"/>
    </row>
    <row r="374" spans="1:8" x14ac:dyDescent="0.25">
      <c r="A374" s="43">
        <v>42222</v>
      </c>
      <c r="B374" s="44" t="s">
        <v>368</v>
      </c>
      <c r="C374" s="52">
        <v>3640.0515500000001</v>
      </c>
      <c r="D374" s="20">
        <v>3640051.55</v>
      </c>
      <c r="E374" s="48">
        <v>15835</v>
      </c>
      <c r="F374" s="48">
        <v>4216</v>
      </c>
      <c r="G374" s="45"/>
    </row>
    <row r="375" spans="1:8" x14ac:dyDescent="0.25">
      <c r="A375" s="287">
        <v>42223</v>
      </c>
      <c r="B375" s="44" t="s">
        <v>218</v>
      </c>
      <c r="C375" s="351">
        <v>131.02522999999999</v>
      </c>
      <c r="D375" s="431">
        <v>131025.23</v>
      </c>
      <c r="E375" s="428">
        <v>15835</v>
      </c>
      <c r="F375" s="428">
        <v>4216</v>
      </c>
      <c r="G375" s="45"/>
    </row>
    <row r="376" spans="1:8" x14ac:dyDescent="0.25">
      <c r="A376" s="43">
        <v>42251</v>
      </c>
      <c r="B376" s="289" t="s">
        <v>329</v>
      </c>
      <c r="C376" s="358">
        <v>5.1425000000000001</v>
      </c>
      <c r="D376" s="46">
        <v>5142.5</v>
      </c>
      <c r="E376" s="29">
        <v>15835</v>
      </c>
      <c r="F376" s="29">
        <v>4216</v>
      </c>
      <c r="G376" s="45"/>
    </row>
    <row r="377" spans="1:8" x14ac:dyDescent="0.25">
      <c r="A377" s="43"/>
      <c r="B377" s="289" t="s">
        <v>501</v>
      </c>
      <c r="C377" s="46">
        <v>1790.63256</v>
      </c>
      <c r="D377" s="46">
        <v>1790632.56</v>
      </c>
      <c r="E377" s="29">
        <v>15835</v>
      </c>
      <c r="F377" s="29">
        <v>4216</v>
      </c>
      <c r="G377" s="384"/>
    </row>
    <row r="378" spans="1:8" x14ac:dyDescent="0.25">
      <c r="A378" s="43"/>
      <c r="B378" s="289" t="s">
        <v>121</v>
      </c>
      <c r="C378" s="46">
        <v>16.574999999999999</v>
      </c>
      <c r="D378" s="46">
        <v>16575</v>
      </c>
      <c r="E378" s="29">
        <v>15835</v>
      </c>
      <c r="F378" s="29">
        <v>4216</v>
      </c>
      <c r="G378" s="45"/>
    </row>
    <row r="379" spans="1:8" x14ac:dyDescent="0.25">
      <c r="A379" s="43"/>
      <c r="B379" s="289" t="s">
        <v>502</v>
      </c>
      <c r="C379" s="46">
        <v>24.19134</v>
      </c>
      <c r="D379" s="46">
        <v>24191.34</v>
      </c>
      <c r="E379" s="29">
        <v>15835</v>
      </c>
      <c r="F379" s="29">
        <v>4216</v>
      </c>
      <c r="G379" s="45"/>
    </row>
    <row r="380" spans="1:8" x14ac:dyDescent="0.25">
      <c r="A380" s="43"/>
      <c r="B380" s="44" t="s">
        <v>503</v>
      </c>
      <c r="C380" s="20">
        <v>920.33410000000003</v>
      </c>
      <c r="D380" s="20">
        <v>920334.1</v>
      </c>
      <c r="E380" s="48">
        <v>15835</v>
      </c>
      <c r="F380" s="48">
        <v>4216</v>
      </c>
      <c r="G380" s="45"/>
    </row>
    <row r="381" spans="1:8" x14ac:dyDescent="0.25">
      <c r="A381" s="43"/>
      <c r="B381" s="44" t="s">
        <v>284</v>
      </c>
      <c r="C381" s="20">
        <v>4723.4869399999998</v>
      </c>
      <c r="D381" s="20">
        <f>3690394.27+1033092.67</f>
        <v>4723486.9400000004</v>
      </c>
      <c r="E381" s="48">
        <v>15835</v>
      </c>
      <c r="F381" s="48">
        <v>4216</v>
      </c>
      <c r="G381" s="384"/>
      <c r="H381" s="384"/>
    </row>
    <row r="382" spans="1:8" x14ac:dyDescent="0.25">
      <c r="A382" s="43"/>
      <c r="B382" s="44" t="s">
        <v>499</v>
      </c>
      <c r="C382" s="20">
        <v>5.1425000000000001</v>
      </c>
      <c r="D382" s="20">
        <v>5142.5</v>
      </c>
      <c r="E382" s="48">
        <v>15835</v>
      </c>
      <c r="F382" s="48">
        <v>4216</v>
      </c>
      <c r="G382" s="384"/>
      <c r="H382" s="384"/>
    </row>
    <row r="383" spans="1:8" x14ac:dyDescent="0.25">
      <c r="A383" s="43"/>
      <c r="B383" s="289" t="s">
        <v>508</v>
      </c>
      <c r="C383" s="46">
        <v>159.6232</v>
      </c>
      <c r="D383" s="46">
        <v>159623.20000000001</v>
      </c>
      <c r="E383" s="29">
        <v>15835</v>
      </c>
      <c r="F383" s="29">
        <v>4216</v>
      </c>
      <c r="G383" s="45"/>
      <c r="H383" s="384"/>
    </row>
    <row r="384" spans="1:8" x14ac:dyDescent="0.25">
      <c r="A384" s="43"/>
      <c r="B384" s="289" t="s">
        <v>510</v>
      </c>
      <c r="C384" s="46">
        <v>36.125</v>
      </c>
      <c r="D384" s="46">
        <v>36125</v>
      </c>
      <c r="E384" s="29">
        <v>15835</v>
      </c>
      <c r="F384" s="29">
        <v>4216</v>
      </c>
      <c r="G384" s="45"/>
      <c r="H384" s="384"/>
    </row>
    <row r="385" spans="1:8" x14ac:dyDescent="0.25">
      <c r="A385" s="43"/>
      <c r="B385" s="289" t="s">
        <v>509</v>
      </c>
      <c r="C385" s="46">
        <v>59.499980000000001</v>
      </c>
      <c r="D385" s="46">
        <v>59499.98</v>
      </c>
      <c r="E385" s="29">
        <v>15835</v>
      </c>
      <c r="F385" s="29">
        <v>4216</v>
      </c>
      <c r="G385" s="45"/>
      <c r="H385" s="384"/>
    </row>
    <row r="386" spans="1:8" x14ac:dyDescent="0.25">
      <c r="A386" s="43"/>
      <c r="B386" s="289" t="s">
        <v>504</v>
      </c>
      <c r="C386" s="46">
        <v>1321.5131100000001</v>
      </c>
      <c r="D386" s="46">
        <v>1321513.1100000001</v>
      </c>
      <c r="E386" s="29">
        <v>15835</v>
      </c>
      <c r="F386" s="29">
        <v>4216</v>
      </c>
      <c r="G386" s="384"/>
      <c r="H386" s="384"/>
    </row>
    <row r="387" spans="1:8" x14ac:dyDescent="0.25">
      <c r="A387" s="43"/>
      <c r="B387" s="276"/>
      <c r="C387" s="20"/>
      <c r="D387" s="20"/>
      <c r="E387" s="48"/>
      <c r="F387" s="48">
        <v>4216</v>
      </c>
      <c r="G387" s="45"/>
    </row>
    <row r="388" spans="1:8" x14ac:dyDescent="0.25">
      <c r="A388" s="43"/>
      <c r="B388" s="285" t="s">
        <v>91</v>
      </c>
      <c r="C388" s="39">
        <f>+SUM(C389:C393)</f>
        <v>35636.295599999998</v>
      </c>
      <c r="D388" s="39">
        <f>+SUM(D389:D393)</f>
        <v>35636295.599999994</v>
      </c>
      <c r="E388" s="48"/>
      <c r="F388" s="48"/>
      <c r="G388" s="45"/>
    </row>
    <row r="389" spans="1:8" x14ac:dyDescent="0.25">
      <c r="A389" s="43">
        <v>42034</v>
      </c>
      <c r="B389" s="276" t="s">
        <v>103</v>
      </c>
      <c r="C389" s="20">
        <v>4395.5924400000004</v>
      </c>
      <c r="D389" s="20">
        <v>4395592.4400000004</v>
      </c>
      <c r="E389" s="48">
        <v>17871</v>
      </c>
      <c r="F389" s="48">
        <v>4216</v>
      </c>
      <c r="G389" s="45"/>
    </row>
    <row r="390" spans="1:8" x14ac:dyDescent="0.25">
      <c r="A390" s="43">
        <v>42034</v>
      </c>
      <c r="B390" s="276" t="s">
        <v>103</v>
      </c>
      <c r="C390" s="20">
        <v>775.69277999999997</v>
      </c>
      <c r="D390" s="20">
        <v>775692.78</v>
      </c>
      <c r="E390" s="48">
        <v>17870</v>
      </c>
      <c r="F390" s="48">
        <v>4216</v>
      </c>
      <c r="G390" s="45"/>
    </row>
    <row r="391" spans="1:8" x14ac:dyDescent="0.25">
      <c r="A391" s="43">
        <v>42151</v>
      </c>
      <c r="B391" s="276" t="s">
        <v>220</v>
      </c>
      <c r="C391" s="20">
        <v>22777.845359999999</v>
      </c>
      <c r="D391" s="20">
        <v>22777845.359999999</v>
      </c>
      <c r="E391" s="48">
        <v>17871</v>
      </c>
      <c r="F391" s="48">
        <v>4216</v>
      </c>
      <c r="G391" s="45"/>
    </row>
    <row r="392" spans="1:8" x14ac:dyDescent="0.25">
      <c r="A392" s="43">
        <v>42250</v>
      </c>
      <c r="B392" s="276" t="s">
        <v>419</v>
      </c>
      <c r="C392" s="20">
        <v>1153.07475</v>
      </c>
      <c r="D392" s="20">
        <v>1153074.75</v>
      </c>
      <c r="E392" s="48">
        <v>17870</v>
      </c>
      <c r="F392" s="48">
        <v>4216</v>
      </c>
      <c r="G392" s="45"/>
    </row>
    <row r="393" spans="1:8" x14ac:dyDescent="0.25">
      <c r="A393" s="43">
        <v>42250</v>
      </c>
      <c r="B393" s="276" t="s">
        <v>419</v>
      </c>
      <c r="C393" s="20">
        <v>6534.0902699999997</v>
      </c>
      <c r="D393" s="20">
        <v>6534090.2699999996</v>
      </c>
      <c r="E393" s="48">
        <v>17871</v>
      </c>
      <c r="F393" s="48">
        <v>4216</v>
      </c>
      <c r="G393" s="45"/>
    </row>
    <row r="394" spans="1:8" x14ac:dyDescent="0.25">
      <c r="A394" s="43"/>
      <c r="B394" s="276"/>
      <c r="C394" s="20"/>
      <c r="D394" s="20"/>
      <c r="E394" s="48"/>
      <c r="F394" s="48"/>
      <c r="G394" s="45"/>
    </row>
    <row r="395" spans="1:8" x14ac:dyDescent="0.25">
      <c r="A395" s="43"/>
      <c r="B395" s="31" t="s">
        <v>149</v>
      </c>
      <c r="C395" s="39">
        <f>+C396</f>
        <v>450</v>
      </c>
      <c r="D395" s="39">
        <f>+D396</f>
        <v>450000</v>
      </c>
      <c r="E395" s="48"/>
      <c r="F395" s="48"/>
      <c r="G395" s="45"/>
    </row>
    <row r="396" spans="1:8" x14ac:dyDescent="0.25">
      <c r="A396" s="43">
        <v>42121</v>
      </c>
      <c r="B396" s="276" t="s">
        <v>155</v>
      </c>
      <c r="C396" s="20">
        <v>450</v>
      </c>
      <c r="D396" s="20">
        <v>450000</v>
      </c>
      <c r="E396" s="48">
        <v>35674</v>
      </c>
      <c r="F396" s="48">
        <v>4216</v>
      </c>
      <c r="G396" s="45"/>
    </row>
    <row r="397" spans="1:8" x14ac:dyDescent="0.25">
      <c r="A397" s="43"/>
      <c r="B397" s="273"/>
      <c r="C397" s="39"/>
      <c r="D397" s="39"/>
      <c r="E397" s="48"/>
      <c r="F397" s="48"/>
      <c r="G397" s="45"/>
    </row>
    <row r="398" spans="1:8" x14ac:dyDescent="0.25">
      <c r="A398" s="43"/>
      <c r="B398" s="273" t="s">
        <v>48</v>
      </c>
      <c r="C398" s="39">
        <f>SUM(C399:C412)</f>
        <v>2720</v>
      </c>
      <c r="D398" s="39">
        <f>SUM(D399:D412)</f>
        <v>2720000</v>
      </c>
      <c r="E398" s="48"/>
      <c r="F398" s="48"/>
      <c r="G398" s="45"/>
    </row>
    <row r="399" spans="1:8" ht="15.6" hidden="1" customHeight="1" x14ac:dyDescent="0.25">
      <c r="A399" s="43"/>
      <c r="B399" s="44"/>
      <c r="C399" s="52"/>
      <c r="D399" s="350"/>
      <c r="E399" s="22"/>
      <c r="F399" s="48">
        <v>4222</v>
      </c>
      <c r="G399" s="45"/>
      <c r="H399" s="269"/>
    </row>
    <row r="400" spans="1:8" ht="15.6" hidden="1" customHeight="1" x14ac:dyDescent="0.25">
      <c r="A400" s="43"/>
      <c r="B400" s="44"/>
      <c r="C400" s="52"/>
      <c r="D400" s="350"/>
      <c r="E400" s="22"/>
      <c r="F400" s="48">
        <v>4222</v>
      </c>
      <c r="G400" s="45"/>
      <c r="H400" s="269"/>
    </row>
    <row r="401" spans="1:7" ht="15.6" hidden="1" customHeight="1" x14ac:dyDescent="0.25">
      <c r="A401" s="43"/>
      <c r="B401" s="44"/>
      <c r="C401" s="20"/>
      <c r="D401" s="350"/>
      <c r="E401" s="48"/>
      <c r="F401" s="48">
        <v>4222</v>
      </c>
      <c r="G401" s="45"/>
    </row>
    <row r="402" spans="1:7" ht="15.6" hidden="1" customHeight="1" x14ac:dyDescent="0.25">
      <c r="A402" s="43"/>
      <c r="B402" s="44"/>
      <c r="C402" s="20"/>
      <c r="D402" s="350"/>
      <c r="E402" s="48"/>
      <c r="F402" s="48">
        <v>4222</v>
      </c>
      <c r="G402" s="45"/>
    </row>
    <row r="403" spans="1:7" ht="15.6" hidden="1" customHeight="1" x14ac:dyDescent="0.25">
      <c r="A403" s="43"/>
      <c r="B403" s="44"/>
      <c r="C403" s="20"/>
      <c r="D403" s="350"/>
      <c r="E403" s="48"/>
      <c r="F403" s="48">
        <v>4222</v>
      </c>
      <c r="G403" s="45"/>
    </row>
    <row r="404" spans="1:7" ht="15.6" hidden="1" customHeight="1" x14ac:dyDescent="0.25">
      <c r="A404" s="43"/>
      <c r="B404" s="44"/>
      <c r="C404" s="20"/>
      <c r="D404" s="350"/>
      <c r="E404" s="48"/>
      <c r="F404" s="48">
        <v>4222</v>
      </c>
      <c r="G404" s="45"/>
    </row>
    <row r="405" spans="1:7" x14ac:dyDescent="0.25">
      <c r="A405" s="43"/>
      <c r="B405" s="44" t="s">
        <v>521</v>
      </c>
      <c r="C405" s="20">
        <v>200</v>
      </c>
      <c r="D405" s="350">
        <v>200000</v>
      </c>
      <c r="E405" s="48">
        <v>551</v>
      </c>
      <c r="F405" s="48">
        <v>4222</v>
      </c>
      <c r="G405" s="45"/>
    </row>
    <row r="406" spans="1:7" x14ac:dyDescent="0.25">
      <c r="A406" s="43"/>
      <c r="B406" s="44" t="s">
        <v>505</v>
      </c>
      <c r="C406" s="20">
        <v>500</v>
      </c>
      <c r="D406" s="350">
        <v>500000</v>
      </c>
      <c r="E406" s="48">
        <v>551</v>
      </c>
      <c r="F406" s="48">
        <v>4222</v>
      </c>
      <c r="G406" s="45"/>
    </row>
    <row r="407" spans="1:7" x14ac:dyDescent="0.25">
      <c r="A407" s="43"/>
      <c r="B407" s="44" t="s">
        <v>312</v>
      </c>
      <c r="C407" s="20">
        <v>90</v>
      </c>
      <c r="D407" s="350">
        <v>90000</v>
      </c>
      <c r="E407" s="48">
        <v>551</v>
      </c>
      <c r="F407" s="48">
        <v>4222</v>
      </c>
      <c r="G407" s="45"/>
    </row>
    <row r="408" spans="1:7" x14ac:dyDescent="0.25">
      <c r="A408" s="43"/>
      <c r="B408" s="44" t="s">
        <v>345</v>
      </c>
      <c r="C408" s="20">
        <v>500</v>
      </c>
      <c r="D408" s="350">
        <v>500000</v>
      </c>
      <c r="E408" s="48">
        <v>551</v>
      </c>
      <c r="F408" s="48">
        <v>4222</v>
      </c>
      <c r="G408" s="45"/>
    </row>
    <row r="409" spans="1:7" x14ac:dyDescent="0.25">
      <c r="A409" s="43"/>
      <c r="B409" s="44" t="s">
        <v>306</v>
      </c>
      <c r="C409" s="20">
        <v>300</v>
      </c>
      <c r="D409" s="350">
        <v>300000</v>
      </c>
      <c r="E409" s="48">
        <v>551</v>
      </c>
      <c r="F409" s="48">
        <v>4222</v>
      </c>
      <c r="G409" s="45"/>
    </row>
    <row r="410" spans="1:7" x14ac:dyDescent="0.25">
      <c r="A410" s="43"/>
      <c r="B410" s="44" t="s">
        <v>313</v>
      </c>
      <c r="C410" s="20">
        <v>700</v>
      </c>
      <c r="D410" s="350">
        <v>700000</v>
      </c>
      <c r="E410" s="48">
        <v>551</v>
      </c>
      <c r="F410" s="48">
        <v>4222</v>
      </c>
      <c r="G410" s="45"/>
    </row>
    <row r="411" spans="1:7" x14ac:dyDescent="0.25">
      <c r="A411" s="43"/>
      <c r="B411" s="44" t="s">
        <v>506</v>
      </c>
      <c r="C411" s="46">
        <v>30</v>
      </c>
      <c r="D411" s="350">
        <v>30000</v>
      </c>
      <c r="E411" s="48">
        <v>433</v>
      </c>
      <c r="F411" s="48">
        <v>4222</v>
      </c>
      <c r="G411" s="45"/>
    </row>
    <row r="412" spans="1:7" x14ac:dyDescent="0.25">
      <c r="A412" s="43"/>
      <c r="B412" s="44" t="s">
        <v>307</v>
      </c>
      <c r="C412" s="20">
        <v>400</v>
      </c>
      <c r="D412" s="350">
        <v>400000</v>
      </c>
      <c r="E412" s="48">
        <v>551</v>
      </c>
      <c r="F412" s="48">
        <v>4222</v>
      </c>
      <c r="G412" s="45"/>
    </row>
    <row r="413" spans="1:7" x14ac:dyDescent="0.25">
      <c r="A413" s="43"/>
      <c r="B413" s="304"/>
      <c r="C413" s="52"/>
      <c r="D413" s="350"/>
      <c r="E413" s="22"/>
      <c r="F413" s="48"/>
      <c r="G413" s="45"/>
    </row>
    <row r="414" spans="1:7" x14ac:dyDescent="0.25">
      <c r="A414" s="43"/>
      <c r="B414" s="31" t="s">
        <v>50</v>
      </c>
      <c r="C414" s="30">
        <f>+SUM(C415:C425)</f>
        <v>97280.79221</v>
      </c>
      <c r="D414" s="30">
        <f>+SUM(D415:D425)</f>
        <v>101266290.89999999</v>
      </c>
      <c r="E414" s="48"/>
      <c r="F414" s="48"/>
      <c r="G414" s="45"/>
    </row>
    <row r="415" spans="1:7" x14ac:dyDescent="0.25">
      <c r="A415" s="43">
        <v>42073</v>
      </c>
      <c r="B415" s="276" t="s">
        <v>112</v>
      </c>
      <c r="C415" s="20">
        <v>24568.326000000001</v>
      </c>
      <c r="D415" s="20">
        <v>24568326</v>
      </c>
      <c r="E415" s="48">
        <v>86505</v>
      </c>
      <c r="F415" s="48">
        <v>4223</v>
      </c>
      <c r="G415" s="45"/>
    </row>
    <row r="416" spans="1:7" x14ac:dyDescent="0.25">
      <c r="A416" s="43">
        <v>42073</v>
      </c>
      <c r="B416" s="276" t="s">
        <v>112</v>
      </c>
      <c r="C416" s="20">
        <v>2167.7934799999998</v>
      </c>
      <c r="D416" s="20">
        <v>2167793.48</v>
      </c>
      <c r="E416" s="48">
        <v>86501</v>
      </c>
      <c r="F416" s="48">
        <v>4223</v>
      </c>
      <c r="G416" s="45"/>
    </row>
    <row r="417" spans="1:7" x14ac:dyDescent="0.25">
      <c r="A417" s="43">
        <v>42087</v>
      </c>
      <c r="B417" s="44" t="s">
        <v>123</v>
      </c>
      <c r="C417" s="46">
        <v>17507.565600000002</v>
      </c>
      <c r="D417" s="46">
        <v>17507565.600000001</v>
      </c>
      <c r="E417" s="22">
        <v>86505</v>
      </c>
      <c r="F417" s="48">
        <v>4223</v>
      </c>
      <c r="G417" s="45"/>
    </row>
    <row r="418" spans="1:7" x14ac:dyDescent="0.25">
      <c r="A418" s="43">
        <v>42101</v>
      </c>
      <c r="B418" s="44" t="s">
        <v>138</v>
      </c>
      <c r="C418" s="46">
        <v>3893.92481</v>
      </c>
      <c r="D418" s="46">
        <v>3893924.81</v>
      </c>
      <c r="E418" s="22">
        <v>86505</v>
      </c>
      <c r="F418" s="48">
        <v>4223</v>
      </c>
      <c r="G418" s="45"/>
    </row>
    <row r="419" spans="1:7" x14ac:dyDescent="0.25">
      <c r="A419" s="43">
        <v>42122</v>
      </c>
      <c r="B419" s="44" t="s">
        <v>152</v>
      </c>
      <c r="C419" s="46">
        <v>4191.1944100000001</v>
      </c>
      <c r="D419" s="46">
        <v>4191194.41</v>
      </c>
      <c r="E419" s="22">
        <v>86505</v>
      </c>
      <c r="F419" s="48">
        <v>4223</v>
      </c>
      <c r="G419" s="45"/>
    </row>
    <row r="420" spans="1:7" x14ac:dyDescent="0.25">
      <c r="A420" s="43">
        <v>42143</v>
      </c>
      <c r="B420" s="44" t="s">
        <v>171</v>
      </c>
      <c r="C420" s="46">
        <v>18985.09273</v>
      </c>
      <c r="D420" s="20">
        <v>18985092.73</v>
      </c>
      <c r="E420" s="22">
        <v>86505</v>
      </c>
      <c r="F420" s="48">
        <v>4223</v>
      </c>
      <c r="G420" s="45"/>
    </row>
    <row r="421" spans="1:7" x14ac:dyDescent="0.25">
      <c r="A421" s="43">
        <v>42178</v>
      </c>
      <c r="B421" s="44" t="s">
        <v>246</v>
      </c>
      <c r="C421" s="46">
        <v>10777.64892</v>
      </c>
      <c r="D421" s="20">
        <v>10777648.92</v>
      </c>
      <c r="E421" s="22">
        <v>86505</v>
      </c>
      <c r="F421" s="48">
        <v>4223</v>
      </c>
      <c r="G421" s="45"/>
    </row>
    <row r="422" spans="1:7" x14ac:dyDescent="0.25">
      <c r="A422" s="43">
        <v>42242</v>
      </c>
      <c r="B422" s="44" t="s">
        <v>507</v>
      </c>
      <c r="C422" s="46">
        <v>9577.3184600000004</v>
      </c>
      <c r="D422" s="20">
        <v>9577318.4600000009</v>
      </c>
      <c r="E422" s="22">
        <v>86505</v>
      </c>
      <c r="F422" s="48">
        <v>4223</v>
      </c>
      <c r="G422" s="45"/>
    </row>
    <row r="423" spans="1:7" x14ac:dyDescent="0.25">
      <c r="A423" s="43"/>
      <c r="B423" s="44" t="s">
        <v>437</v>
      </c>
      <c r="C423" s="46">
        <v>0</v>
      </c>
      <c r="D423" s="20">
        <v>3985498.69</v>
      </c>
      <c r="E423" s="22">
        <v>86505</v>
      </c>
      <c r="F423" s="48">
        <v>4223</v>
      </c>
      <c r="G423" s="384"/>
    </row>
    <row r="424" spans="1:7" x14ac:dyDescent="0.25">
      <c r="A424" s="43"/>
      <c r="B424" s="44" t="s">
        <v>262</v>
      </c>
      <c r="C424" s="46">
        <v>5611.9278000000004</v>
      </c>
      <c r="D424" s="20">
        <v>5611927.7999999998</v>
      </c>
      <c r="E424" s="22">
        <v>86505</v>
      </c>
      <c r="F424" s="48">
        <v>4223</v>
      </c>
      <c r="G424" s="384"/>
    </row>
    <row r="425" spans="1:7" x14ac:dyDescent="0.25">
      <c r="A425" s="43"/>
      <c r="B425" s="44"/>
      <c r="C425" s="46"/>
      <c r="D425" s="20"/>
      <c r="E425" s="22"/>
      <c r="F425" s="48"/>
      <c r="G425" s="45"/>
    </row>
    <row r="426" spans="1:7" x14ac:dyDescent="0.25">
      <c r="A426" s="43"/>
      <c r="B426" s="293" t="s">
        <v>52</v>
      </c>
      <c r="C426" s="30">
        <f>+C427</f>
        <v>877</v>
      </c>
      <c r="D426" s="39">
        <f>+D427</f>
        <v>876199.86</v>
      </c>
      <c r="E426" s="22"/>
      <c r="F426" s="48"/>
      <c r="G426" s="45"/>
    </row>
    <row r="427" spans="1:7" x14ac:dyDescent="0.25">
      <c r="A427" s="43">
        <v>42174</v>
      </c>
      <c r="B427" s="44" t="s">
        <v>244</v>
      </c>
      <c r="C427" s="46">
        <v>877</v>
      </c>
      <c r="D427" s="20">
        <v>876199.86</v>
      </c>
      <c r="E427" s="22"/>
      <c r="F427" s="48">
        <v>4232</v>
      </c>
      <c r="G427" s="45"/>
    </row>
    <row r="428" spans="1:7" x14ac:dyDescent="0.25">
      <c r="A428" s="43"/>
      <c r="B428" s="44"/>
      <c r="C428" s="46"/>
      <c r="D428" s="20"/>
      <c r="E428" s="22"/>
      <c r="F428" s="48"/>
    </row>
    <row r="429" spans="1:7" x14ac:dyDescent="0.25">
      <c r="A429" s="43"/>
      <c r="B429" s="294" t="s">
        <v>55</v>
      </c>
      <c r="C429" s="26">
        <f>+C426+C414+C398+C395+C388+C363+C360+C323</f>
        <v>158437.64354999998</v>
      </c>
      <c r="D429" s="26">
        <f>+D426+D414+D398+D395+D388+D363+D360+D323</f>
        <v>162422342.09999999</v>
      </c>
      <c r="E429" s="71"/>
      <c r="F429" s="28"/>
    </row>
    <row r="430" spans="1:7" ht="16.5" thickBot="1" x14ac:dyDescent="0.3">
      <c r="A430" s="296"/>
      <c r="B430" s="297"/>
      <c r="C430" s="74"/>
      <c r="D430" s="74"/>
      <c r="E430" s="76"/>
      <c r="F430" s="76"/>
    </row>
    <row r="432" spans="1:7" ht="16.5" thickBot="1" x14ac:dyDescent="0.3">
      <c r="A432" s="307"/>
      <c r="B432" s="91"/>
      <c r="C432" s="90"/>
      <c r="D432" s="90"/>
      <c r="E432" s="92"/>
      <c r="F432" s="92"/>
    </row>
    <row r="433" spans="1:8" x14ac:dyDescent="0.25">
      <c r="A433" s="309"/>
      <c r="B433" s="310"/>
      <c r="C433" s="94"/>
      <c r="D433" s="4"/>
      <c r="E433" s="95"/>
      <c r="H433" s="269"/>
    </row>
    <row r="434" spans="1:8" ht="16.5" thickBot="1" x14ac:dyDescent="0.3">
      <c r="A434" s="309"/>
      <c r="B434" s="10" t="s">
        <v>56</v>
      </c>
      <c r="C434" s="9" t="s">
        <v>3</v>
      </c>
      <c r="D434" s="9" t="s">
        <v>4</v>
      </c>
      <c r="E434" s="95"/>
      <c r="G434" s="306"/>
      <c r="H434" s="269"/>
    </row>
    <row r="435" spans="1:8" x14ac:dyDescent="0.25">
      <c r="A435" s="309"/>
      <c r="B435" s="313"/>
      <c r="C435" s="96"/>
      <c r="D435" s="361"/>
      <c r="E435" s="95"/>
      <c r="G435" s="306"/>
      <c r="H435" s="269"/>
    </row>
    <row r="436" spans="1:8" x14ac:dyDescent="0.25">
      <c r="A436" s="314"/>
      <c r="B436" s="122" t="s">
        <v>57</v>
      </c>
      <c r="C436" s="99">
        <f>+C317</f>
        <v>272751.97179999994</v>
      </c>
      <c r="D436" s="358">
        <f>+D317</f>
        <v>279745946.90000004</v>
      </c>
      <c r="E436" s="100"/>
      <c r="G436" s="306"/>
      <c r="H436" s="269"/>
    </row>
    <row r="437" spans="1:8" x14ac:dyDescent="0.25">
      <c r="A437" s="314"/>
      <c r="B437" s="122" t="s">
        <v>58</v>
      </c>
      <c r="C437" s="99">
        <f>+C429</f>
        <v>158437.64354999998</v>
      </c>
      <c r="D437" s="99">
        <f>+D429</f>
        <v>162422342.09999999</v>
      </c>
      <c r="E437" s="101"/>
      <c r="G437" s="306"/>
      <c r="H437" s="269"/>
    </row>
    <row r="438" spans="1:8" x14ac:dyDescent="0.25">
      <c r="A438" s="314"/>
      <c r="B438" s="122"/>
      <c r="C438" s="99"/>
      <c r="D438" s="358"/>
      <c r="E438" s="101"/>
      <c r="G438" s="306"/>
      <c r="H438" s="269"/>
    </row>
    <row r="439" spans="1:8" x14ac:dyDescent="0.25">
      <c r="A439" s="314"/>
      <c r="B439" s="317" t="s">
        <v>59</v>
      </c>
      <c r="C439" s="102">
        <f>+C436+C437</f>
        <v>431189.61534999992</v>
      </c>
      <c r="D439" s="26">
        <f>SUM(D436:D437)</f>
        <v>442168289</v>
      </c>
      <c r="E439" s="101"/>
      <c r="G439" s="45"/>
      <c r="H439" s="269"/>
    </row>
    <row r="440" spans="1:8" ht="16.5" thickBot="1" x14ac:dyDescent="0.3">
      <c r="A440" s="314"/>
      <c r="B440" s="318"/>
      <c r="C440" s="103"/>
      <c r="D440" s="103"/>
      <c r="E440" s="100"/>
      <c r="G440" s="45"/>
      <c r="H440" s="269"/>
    </row>
    <row r="441" spans="1:8" x14ac:dyDescent="0.25">
      <c r="C441" s="38"/>
      <c r="D441" s="362"/>
      <c r="E441" s="1"/>
      <c r="H441" s="269"/>
    </row>
    <row r="442" spans="1:8" x14ac:dyDescent="0.25">
      <c r="A442" s="339"/>
      <c r="B442" s="340"/>
      <c r="C442" s="190"/>
      <c r="D442" s="191"/>
      <c r="E442" s="192"/>
      <c r="G442" s="341"/>
      <c r="H442" s="194"/>
    </row>
    <row r="443" spans="1:8" x14ac:dyDescent="0.25">
      <c r="A443" s="339"/>
      <c r="B443" s="340"/>
      <c r="D443" s="191"/>
      <c r="E443" s="192"/>
      <c r="G443" s="341"/>
      <c r="H443" s="194"/>
    </row>
    <row r="444" spans="1:8" x14ac:dyDescent="0.25">
      <c r="A444" s="339"/>
      <c r="B444" s="340"/>
      <c r="D444" s="191"/>
      <c r="E444" s="192"/>
      <c r="F444" s="193"/>
      <c r="G444" s="341"/>
      <c r="H444" s="194"/>
    </row>
    <row r="445" spans="1:8" x14ac:dyDescent="0.25">
      <c r="A445" s="339"/>
      <c r="B445" s="340"/>
      <c r="D445" s="191"/>
      <c r="E445" s="192"/>
      <c r="F445" s="193"/>
      <c r="G445" s="341"/>
      <c r="H445" s="194"/>
    </row>
    <row r="446" spans="1:8" x14ac:dyDescent="0.25">
      <c r="A446" s="339"/>
      <c r="B446" s="340"/>
      <c r="D446" s="191"/>
      <c r="E446" s="192"/>
      <c r="F446" s="193"/>
      <c r="G446" s="341"/>
      <c r="H446" s="194"/>
    </row>
    <row r="447" spans="1:8" x14ac:dyDescent="0.25">
      <c r="A447" s="339"/>
      <c r="B447" s="340"/>
      <c r="D447" s="191"/>
      <c r="E447" s="192"/>
      <c r="F447" s="193"/>
      <c r="G447" s="341"/>
      <c r="H447" s="194"/>
    </row>
    <row r="448" spans="1:8" x14ac:dyDescent="0.25">
      <c r="A448" s="339"/>
      <c r="B448" s="340"/>
      <c r="D448" s="191"/>
      <c r="E448" s="192"/>
      <c r="F448" s="193"/>
      <c r="G448" s="341"/>
      <c r="H448" s="194"/>
    </row>
    <row r="449" spans="1:8" x14ac:dyDescent="0.25">
      <c r="A449" s="339"/>
      <c r="B449" s="340"/>
      <c r="D449" s="191"/>
      <c r="E449" s="192"/>
      <c r="F449" s="193"/>
      <c r="G449" s="341"/>
      <c r="H449" s="194"/>
    </row>
    <row r="450" spans="1:8" x14ac:dyDescent="0.25">
      <c r="A450" s="339"/>
      <c r="B450" s="340"/>
      <c r="D450" s="191"/>
      <c r="E450" s="192"/>
      <c r="F450" s="193"/>
      <c r="G450" s="341"/>
      <c r="H450" s="194"/>
    </row>
    <row r="451" spans="1:8" x14ac:dyDescent="0.25">
      <c r="A451" s="339"/>
      <c r="B451" s="340"/>
      <c r="D451" s="191"/>
      <c r="E451" s="192"/>
      <c r="F451" s="193"/>
      <c r="G451" s="341"/>
      <c r="H451" s="194"/>
    </row>
    <row r="452" spans="1:8" x14ac:dyDescent="0.25">
      <c r="A452" s="339"/>
      <c r="B452" s="340"/>
      <c r="D452" s="191"/>
      <c r="E452" s="192"/>
      <c r="F452" s="193"/>
      <c r="G452" s="341"/>
      <c r="H452" s="194"/>
    </row>
    <row r="453" spans="1:8" x14ac:dyDescent="0.25">
      <c r="A453" s="339"/>
      <c r="B453" s="340"/>
      <c r="D453" s="191"/>
      <c r="E453" s="192"/>
      <c r="F453" s="193"/>
      <c r="G453" s="341"/>
      <c r="H453" s="194"/>
    </row>
    <row r="454" spans="1:8" x14ac:dyDescent="0.25">
      <c r="A454" s="339"/>
      <c r="B454" s="340"/>
      <c r="C454" s="190"/>
      <c r="D454" s="191"/>
      <c r="E454" s="192"/>
      <c r="F454" s="193"/>
      <c r="G454" s="341"/>
      <c r="H454" s="194"/>
    </row>
    <row r="455" spans="1:8" x14ac:dyDescent="0.25">
      <c r="A455" s="339"/>
      <c r="B455" s="340"/>
      <c r="C455" s="190"/>
      <c r="D455" s="191"/>
      <c r="E455" s="192"/>
      <c r="F455" s="193"/>
      <c r="G455" s="341"/>
      <c r="H455" s="194"/>
    </row>
    <row r="456" spans="1:8" x14ac:dyDescent="0.25">
      <c r="A456" s="339"/>
      <c r="B456" s="340"/>
      <c r="C456" s="190"/>
      <c r="D456" s="191"/>
      <c r="E456" s="192"/>
      <c r="F456" s="193"/>
      <c r="G456" s="341"/>
      <c r="H456" s="194"/>
    </row>
    <row r="457" spans="1:8" x14ac:dyDescent="0.25">
      <c r="A457" s="339"/>
      <c r="B457" s="340"/>
      <c r="C457" s="190"/>
      <c r="D457" s="191"/>
      <c r="E457" s="192"/>
      <c r="F457" s="193"/>
      <c r="G457" s="341"/>
      <c r="H457" s="194"/>
    </row>
    <row r="458" spans="1:8" x14ac:dyDescent="0.25">
      <c r="A458" s="339"/>
      <c r="B458" s="340"/>
      <c r="C458" s="190"/>
      <c r="D458" s="191"/>
      <c r="E458" s="192"/>
      <c r="F458" s="193"/>
      <c r="G458" s="341"/>
      <c r="H458" s="194"/>
    </row>
    <row r="459" spans="1:8" x14ac:dyDescent="0.25">
      <c r="A459" s="339"/>
      <c r="B459" s="340"/>
      <c r="C459" s="190"/>
      <c r="D459" s="191"/>
      <c r="E459" s="192"/>
      <c r="F459" s="193"/>
      <c r="G459" s="341"/>
      <c r="H459" s="194"/>
    </row>
    <row r="460" spans="1:8" x14ac:dyDescent="0.25">
      <c r="A460" s="339"/>
      <c r="B460" s="340"/>
      <c r="C460" s="190"/>
      <c r="D460" s="191"/>
      <c r="E460" s="192"/>
      <c r="F460" s="193"/>
      <c r="G460" s="341"/>
      <c r="H460" s="194"/>
    </row>
    <row r="461" spans="1:8" x14ac:dyDescent="0.25">
      <c r="A461" s="339"/>
      <c r="B461" s="340"/>
      <c r="C461" s="190"/>
      <c r="D461" s="191"/>
      <c r="E461" s="192"/>
      <c r="F461" s="193"/>
      <c r="G461" s="341"/>
      <c r="H461" s="194"/>
    </row>
    <row r="462" spans="1:8" x14ac:dyDescent="0.25">
      <c r="A462" s="339"/>
      <c r="B462" s="340"/>
      <c r="C462" s="190"/>
      <c r="D462" s="191"/>
      <c r="E462" s="192"/>
      <c r="F462" s="193"/>
      <c r="G462" s="341"/>
      <c r="H462" s="194"/>
    </row>
    <row r="463" spans="1:8" x14ac:dyDescent="0.25">
      <c r="A463" s="339"/>
      <c r="B463" s="340"/>
      <c r="C463" s="190"/>
      <c r="D463" s="191"/>
      <c r="E463" s="192"/>
      <c r="F463" s="193"/>
      <c r="G463" s="341"/>
      <c r="H463" s="194"/>
    </row>
    <row r="464" spans="1:8" x14ac:dyDescent="0.25">
      <c r="A464" s="339"/>
      <c r="B464" s="340"/>
      <c r="C464" s="190"/>
      <c r="D464" s="191"/>
      <c r="E464" s="192"/>
      <c r="F464" s="193"/>
      <c r="G464" s="341"/>
      <c r="H464" s="194"/>
    </row>
    <row r="465" spans="1:8" x14ac:dyDescent="0.25">
      <c r="A465" s="339"/>
      <c r="B465" s="340"/>
      <c r="C465" s="190"/>
      <c r="D465" s="191"/>
      <c r="E465" s="192"/>
      <c r="F465" s="193"/>
      <c r="G465" s="341"/>
      <c r="H465" s="194"/>
    </row>
    <row r="466" spans="1:8" x14ac:dyDescent="0.25">
      <c r="A466" s="339"/>
      <c r="B466" s="340"/>
      <c r="C466" s="190"/>
      <c r="D466" s="191"/>
      <c r="E466" s="192"/>
      <c r="F466" s="193"/>
      <c r="G466" s="341"/>
      <c r="H466" s="194"/>
    </row>
    <row r="467" spans="1:8" x14ac:dyDescent="0.25">
      <c r="A467" s="339"/>
      <c r="B467" s="340"/>
      <c r="C467" s="190"/>
      <c r="D467" s="191"/>
      <c r="E467" s="192"/>
      <c r="F467" s="193"/>
      <c r="G467" s="341"/>
      <c r="H467" s="194"/>
    </row>
    <row r="468" spans="1:8" x14ac:dyDescent="0.25">
      <c r="A468" s="339"/>
      <c r="B468" s="340"/>
      <c r="C468" s="190"/>
      <c r="D468" s="191"/>
      <c r="E468" s="192"/>
      <c r="F468" s="193"/>
      <c r="G468" s="341"/>
      <c r="H468" s="194"/>
    </row>
    <row r="469" spans="1:8" x14ac:dyDescent="0.25">
      <c r="A469" s="339"/>
      <c r="B469" s="340"/>
      <c r="C469" s="190"/>
      <c r="D469" s="191"/>
      <c r="E469" s="192"/>
      <c r="F469" s="193"/>
      <c r="G469" s="341"/>
      <c r="H469" s="194"/>
    </row>
    <row r="470" spans="1:8" x14ac:dyDescent="0.25">
      <c r="A470" s="339"/>
      <c r="B470" s="340"/>
      <c r="C470" s="190"/>
      <c r="D470" s="191"/>
      <c r="E470" s="192"/>
      <c r="F470" s="193"/>
      <c r="G470" s="341"/>
      <c r="H470" s="194"/>
    </row>
    <row r="471" spans="1:8" x14ac:dyDescent="0.25">
      <c r="A471" s="339"/>
      <c r="B471" s="340"/>
      <c r="C471" s="190"/>
      <c r="D471" s="191"/>
      <c r="E471" s="192"/>
      <c r="F471" s="193"/>
      <c r="G471" s="341"/>
      <c r="H471" s="194"/>
    </row>
    <row r="472" spans="1:8" x14ac:dyDescent="0.25">
      <c r="A472" s="339"/>
      <c r="B472" s="340"/>
      <c r="C472" s="190"/>
      <c r="D472" s="191"/>
      <c r="E472" s="192"/>
      <c r="F472" s="193"/>
      <c r="G472" s="341"/>
      <c r="H472" s="194"/>
    </row>
    <row r="473" spans="1:8" x14ac:dyDescent="0.25">
      <c r="A473" s="339"/>
      <c r="B473" s="340"/>
      <c r="C473" s="190"/>
      <c r="D473" s="191"/>
      <c r="E473" s="192"/>
      <c r="F473" s="193"/>
      <c r="G473" s="341"/>
      <c r="H473" s="194"/>
    </row>
    <row r="474" spans="1:8" x14ac:dyDescent="0.25">
      <c r="A474" s="339"/>
      <c r="B474" s="340"/>
      <c r="C474" s="190"/>
      <c r="D474" s="191"/>
      <c r="E474" s="192"/>
      <c r="F474" s="193"/>
      <c r="G474" s="341"/>
      <c r="H474" s="194"/>
    </row>
    <row r="475" spans="1:8" x14ac:dyDescent="0.25">
      <c r="A475" s="339"/>
      <c r="B475" s="340"/>
      <c r="C475" s="190"/>
      <c r="D475" s="191"/>
      <c r="E475" s="192"/>
      <c r="F475" s="193"/>
      <c r="G475" s="341"/>
      <c r="H475" s="194"/>
    </row>
    <row r="476" spans="1:8" x14ac:dyDescent="0.25">
      <c r="A476" s="339"/>
      <c r="B476" s="340"/>
      <c r="C476" s="190"/>
      <c r="D476" s="191"/>
      <c r="E476" s="192"/>
      <c r="F476" s="193"/>
      <c r="G476" s="341"/>
      <c r="H476" s="194"/>
    </row>
    <row r="477" spans="1:8" x14ac:dyDescent="0.25">
      <c r="A477" s="339"/>
      <c r="B477" s="340"/>
      <c r="C477" s="190"/>
      <c r="D477" s="191"/>
      <c r="E477" s="192"/>
      <c r="F477" s="193"/>
      <c r="G477" s="341"/>
      <c r="H477" s="194"/>
    </row>
    <row r="478" spans="1:8" x14ac:dyDescent="0.25">
      <c r="A478" s="339"/>
      <c r="B478" s="340"/>
      <c r="C478" s="190"/>
      <c r="D478" s="191"/>
      <c r="E478" s="192"/>
      <c r="F478" s="193"/>
      <c r="G478" s="341"/>
      <c r="H478" s="194"/>
    </row>
    <row r="479" spans="1:8" x14ac:dyDescent="0.25">
      <c r="A479" s="339"/>
      <c r="B479" s="340"/>
      <c r="C479" s="190"/>
      <c r="D479" s="191"/>
      <c r="E479" s="192"/>
      <c r="F479" s="193"/>
      <c r="G479" s="341"/>
      <c r="H479" s="194"/>
    </row>
    <row r="480" spans="1:8" x14ac:dyDescent="0.25">
      <c r="A480" s="339"/>
      <c r="B480" s="340"/>
      <c r="C480" s="190"/>
      <c r="D480" s="191"/>
      <c r="E480" s="192"/>
      <c r="F480" s="193"/>
      <c r="G480" s="341"/>
      <c r="H480" s="194"/>
    </row>
    <row r="481" spans="1:8" x14ac:dyDescent="0.25">
      <c r="A481" s="339"/>
      <c r="B481" s="340"/>
      <c r="C481" s="190"/>
      <c r="D481" s="191"/>
      <c r="E481" s="192"/>
      <c r="F481" s="193"/>
      <c r="G481" s="341"/>
      <c r="H481" s="194"/>
    </row>
    <row r="482" spans="1:8" x14ac:dyDescent="0.25">
      <c r="A482" s="339"/>
      <c r="B482" s="340"/>
      <c r="C482" s="190"/>
      <c r="D482" s="191"/>
      <c r="E482" s="192"/>
      <c r="F482" s="193"/>
      <c r="G482" s="341"/>
      <c r="H482" s="194"/>
    </row>
    <row r="483" spans="1:8" x14ac:dyDescent="0.25">
      <c r="A483" s="339"/>
      <c r="B483" s="340"/>
      <c r="C483" s="190"/>
      <c r="D483" s="191"/>
      <c r="E483" s="192"/>
      <c r="F483" s="193"/>
      <c r="G483" s="341"/>
      <c r="H483" s="194"/>
    </row>
    <row r="484" spans="1:8" x14ac:dyDescent="0.25">
      <c r="A484" s="339"/>
      <c r="B484" s="340"/>
      <c r="C484" s="190"/>
      <c r="D484" s="191"/>
      <c r="E484" s="192"/>
      <c r="F484" s="193"/>
      <c r="G484" s="341"/>
      <c r="H484" s="194"/>
    </row>
    <row r="485" spans="1:8" x14ac:dyDescent="0.25">
      <c r="A485" s="339"/>
      <c r="B485" s="340"/>
      <c r="C485" s="190"/>
      <c r="D485" s="191"/>
      <c r="E485" s="192"/>
      <c r="F485" s="193"/>
      <c r="G485" s="341"/>
      <c r="H485" s="194"/>
    </row>
    <row r="486" spans="1:8" x14ac:dyDescent="0.25">
      <c r="A486" s="339"/>
      <c r="B486" s="340"/>
      <c r="C486" s="190"/>
      <c r="D486" s="191"/>
      <c r="E486" s="192"/>
      <c r="F486" s="193"/>
      <c r="G486" s="341"/>
      <c r="H486" s="194"/>
    </row>
    <row r="487" spans="1:8" x14ac:dyDescent="0.25">
      <c r="A487" s="339"/>
      <c r="B487" s="340"/>
      <c r="C487" s="190"/>
      <c r="D487" s="191"/>
      <c r="E487" s="192"/>
      <c r="F487" s="193"/>
      <c r="G487" s="341"/>
      <c r="H487" s="194"/>
    </row>
    <row r="488" spans="1:8" x14ac:dyDescent="0.25">
      <c r="A488" s="339"/>
      <c r="B488" s="340"/>
      <c r="C488" s="190"/>
      <c r="D488" s="191"/>
      <c r="E488" s="192"/>
      <c r="F488" s="193"/>
      <c r="G488" s="341"/>
      <c r="H488" s="194"/>
    </row>
    <row r="489" spans="1:8" x14ac:dyDescent="0.25">
      <c r="A489" s="339"/>
      <c r="B489" s="340"/>
      <c r="C489" s="190"/>
      <c r="D489" s="191"/>
      <c r="E489" s="192"/>
      <c r="F489" s="193"/>
      <c r="G489" s="341"/>
      <c r="H489" s="194"/>
    </row>
    <row r="490" spans="1:8" x14ac:dyDescent="0.25">
      <c r="A490" s="339"/>
      <c r="B490" s="340"/>
      <c r="C490" s="190"/>
      <c r="D490" s="191"/>
      <c r="E490" s="192"/>
      <c r="F490" s="193"/>
      <c r="G490" s="341"/>
      <c r="H490" s="194"/>
    </row>
    <row r="491" spans="1:8" x14ac:dyDescent="0.25">
      <c r="A491" s="339"/>
      <c r="B491" s="340"/>
      <c r="C491" s="190"/>
      <c r="D491" s="191"/>
      <c r="E491" s="192"/>
      <c r="F491" s="193"/>
      <c r="G491" s="341"/>
      <c r="H491" s="194"/>
    </row>
    <row r="492" spans="1:8" x14ac:dyDescent="0.25">
      <c r="A492" s="339"/>
      <c r="B492" s="340"/>
      <c r="C492" s="190"/>
      <c r="D492" s="191"/>
      <c r="E492" s="192"/>
      <c r="F492" s="193"/>
      <c r="G492" s="341"/>
      <c r="H492" s="194"/>
    </row>
    <row r="493" spans="1:8" x14ac:dyDescent="0.25">
      <c r="A493" s="339"/>
      <c r="B493" s="340"/>
      <c r="C493" s="190"/>
      <c r="D493" s="191"/>
      <c r="E493" s="192"/>
      <c r="F493" s="193"/>
      <c r="G493" s="341"/>
      <c r="H493" s="194"/>
    </row>
    <row r="494" spans="1:8" x14ac:dyDescent="0.25">
      <c r="A494" s="339"/>
      <c r="B494" s="340"/>
      <c r="C494" s="190"/>
      <c r="D494" s="191"/>
      <c r="E494" s="192"/>
      <c r="F494" s="193"/>
      <c r="G494" s="341"/>
      <c r="H494" s="194"/>
    </row>
    <row r="495" spans="1:8" x14ac:dyDescent="0.25">
      <c r="A495" s="339"/>
      <c r="B495" s="340"/>
      <c r="C495" s="190"/>
      <c r="D495" s="191"/>
      <c r="E495" s="192"/>
      <c r="F495" s="193"/>
      <c r="G495" s="341"/>
      <c r="H495" s="194"/>
    </row>
    <row r="496" spans="1:8" x14ac:dyDescent="0.25">
      <c r="A496" s="339"/>
      <c r="B496" s="340"/>
      <c r="C496" s="190"/>
      <c r="D496" s="191"/>
      <c r="E496" s="192"/>
      <c r="F496" s="193"/>
      <c r="G496" s="341"/>
      <c r="H496" s="194"/>
    </row>
    <row r="497" spans="1:8" x14ac:dyDescent="0.25">
      <c r="A497" s="339"/>
      <c r="B497" s="340"/>
      <c r="C497" s="190"/>
      <c r="D497" s="191"/>
      <c r="E497" s="192"/>
      <c r="F497" s="193"/>
      <c r="G497" s="341"/>
      <c r="H497" s="194"/>
    </row>
    <row r="498" spans="1:8" x14ac:dyDescent="0.25">
      <c r="A498" s="339"/>
      <c r="B498" s="340"/>
      <c r="C498" s="190"/>
      <c r="D498" s="191"/>
      <c r="E498" s="192"/>
      <c r="F498" s="193"/>
      <c r="G498" s="341"/>
      <c r="H498" s="194"/>
    </row>
    <row r="499" spans="1:8" x14ac:dyDescent="0.25">
      <c r="A499" s="339"/>
      <c r="B499" s="340"/>
      <c r="C499" s="190"/>
      <c r="D499" s="191"/>
      <c r="E499" s="192"/>
      <c r="F499" s="193"/>
      <c r="G499" s="341"/>
      <c r="H499" s="194"/>
    </row>
    <row r="500" spans="1:8" x14ac:dyDescent="0.25">
      <c r="A500" s="339"/>
      <c r="B500" s="340"/>
      <c r="C500" s="190"/>
      <c r="D500" s="191"/>
      <c r="E500" s="192"/>
      <c r="F500" s="193"/>
      <c r="G500" s="341"/>
      <c r="H500" s="194"/>
    </row>
    <row r="501" spans="1:8" x14ac:dyDescent="0.25">
      <c r="A501" s="339"/>
      <c r="B501" s="340"/>
      <c r="C501" s="190"/>
      <c r="D501" s="191"/>
      <c r="E501" s="192"/>
      <c r="F501" s="193"/>
      <c r="G501" s="341"/>
      <c r="H501" s="194"/>
    </row>
    <row r="502" spans="1:8" x14ac:dyDescent="0.25">
      <c r="A502" s="339"/>
      <c r="B502" s="340"/>
      <c r="C502" s="190"/>
      <c r="D502" s="191"/>
      <c r="E502" s="192"/>
      <c r="F502" s="193"/>
      <c r="G502" s="341"/>
      <c r="H502" s="194"/>
    </row>
    <row r="503" spans="1:8" x14ac:dyDescent="0.25">
      <c r="A503" s="339"/>
      <c r="B503" s="340"/>
      <c r="C503" s="190"/>
      <c r="D503" s="191"/>
      <c r="E503" s="192"/>
      <c r="F503" s="193"/>
      <c r="G503" s="341"/>
      <c r="H503" s="194"/>
    </row>
    <row r="504" spans="1:8" x14ac:dyDescent="0.25">
      <c r="A504" s="339"/>
      <c r="B504" s="340"/>
      <c r="C504" s="190"/>
      <c r="D504" s="191"/>
      <c r="E504" s="192"/>
      <c r="F504" s="193"/>
      <c r="G504" s="341"/>
      <c r="H504" s="194"/>
    </row>
    <row r="505" spans="1:8" x14ac:dyDescent="0.25">
      <c r="A505" s="339"/>
      <c r="B505" s="340"/>
      <c r="C505" s="190"/>
      <c r="D505" s="191"/>
      <c r="E505" s="192"/>
      <c r="F505" s="193"/>
      <c r="G505" s="341"/>
      <c r="H505" s="194"/>
    </row>
    <row r="506" spans="1:8" x14ac:dyDescent="0.25">
      <c r="A506" s="339"/>
      <c r="B506" s="340"/>
      <c r="C506" s="190"/>
      <c r="D506" s="191"/>
      <c r="E506" s="192"/>
      <c r="F506" s="193"/>
      <c r="G506" s="341"/>
      <c r="H506" s="194"/>
    </row>
    <row r="507" spans="1:8" x14ac:dyDescent="0.25">
      <c r="A507" s="339"/>
      <c r="B507" s="340"/>
      <c r="C507" s="190"/>
      <c r="D507" s="191"/>
      <c r="E507" s="192"/>
      <c r="F507" s="193"/>
      <c r="G507" s="341"/>
      <c r="H507" s="194"/>
    </row>
    <row r="508" spans="1:8" x14ac:dyDescent="0.25">
      <c r="A508" s="339"/>
      <c r="B508" s="340"/>
      <c r="C508" s="190"/>
      <c r="D508" s="191"/>
      <c r="E508" s="192"/>
      <c r="F508" s="193"/>
      <c r="G508" s="341"/>
      <c r="H508" s="194"/>
    </row>
    <row r="509" spans="1:8" x14ac:dyDescent="0.25">
      <c r="A509" s="339"/>
      <c r="B509" s="340"/>
      <c r="C509" s="190"/>
      <c r="D509" s="191"/>
      <c r="E509" s="192"/>
      <c r="F509" s="193"/>
      <c r="G509" s="341"/>
      <c r="H509" s="194"/>
    </row>
    <row r="510" spans="1:8" x14ac:dyDescent="0.25">
      <c r="A510" s="339"/>
      <c r="B510" s="340"/>
      <c r="C510" s="190"/>
      <c r="D510" s="191"/>
      <c r="E510" s="192"/>
      <c r="F510" s="193"/>
      <c r="G510" s="341"/>
      <c r="H510" s="194"/>
    </row>
    <row r="511" spans="1:8" x14ac:dyDescent="0.25">
      <c r="A511" s="339"/>
      <c r="B511" s="340"/>
      <c r="C511" s="190"/>
      <c r="D511" s="191"/>
      <c r="E511" s="192"/>
      <c r="F511" s="193"/>
      <c r="G511" s="341"/>
      <c r="H511" s="194"/>
    </row>
    <row r="512" spans="1:8" x14ac:dyDescent="0.25">
      <c r="A512" s="339"/>
      <c r="B512" s="340"/>
      <c r="C512" s="190"/>
      <c r="D512" s="191"/>
      <c r="E512" s="192"/>
      <c r="F512" s="193"/>
      <c r="G512" s="341"/>
      <c r="H512" s="194"/>
    </row>
    <row r="513" spans="1:8" x14ac:dyDescent="0.25">
      <c r="A513" s="339"/>
      <c r="B513" s="340"/>
      <c r="C513" s="190"/>
      <c r="D513" s="191"/>
      <c r="E513" s="192"/>
      <c r="F513" s="193"/>
      <c r="G513" s="341"/>
      <c r="H513" s="194"/>
    </row>
    <row r="514" spans="1:8" x14ac:dyDescent="0.25">
      <c r="A514" s="339"/>
      <c r="B514" s="340"/>
      <c r="C514" s="190"/>
      <c r="D514" s="191"/>
      <c r="E514" s="192"/>
      <c r="F514" s="193"/>
      <c r="G514" s="341"/>
      <c r="H514" s="194"/>
    </row>
    <row r="515" spans="1:8" x14ac:dyDescent="0.25">
      <c r="A515" s="339"/>
      <c r="B515" s="340"/>
      <c r="C515" s="190"/>
      <c r="D515" s="191"/>
      <c r="E515" s="192"/>
      <c r="F515" s="193"/>
      <c r="G515" s="341"/>
      <c r="H515" s="194"/>
    </row>
    <row r="516" spans="1:8" x14ac:dyDescent="0.25">
      <c r="A516" s="339"/>
      <c r="B516" s="340"/>
      <c r="C516" s="190"/>
      <c r="D516" s="191"/>
      <c r="E516" s="192"/>
      <c r="F516" s="193"/>
      <c r="G516" s="341"/>
      <c r="H516" s="194"/>
    </row>
    <row r="517" spans="1:8" x14ac:dyDescent="0.25">
      <c r="A517" s="339"/>
      <c r="B517" s="340"/>
      <c r="C517" s="190"/>
      <c r="D517" s="191"/>
      <c r="E517" s="192"/>
      <c r="F517" s="193"/>
      <c r="G517" s="341"/>
      <c r="H517" s="194"/>
    </row>
    <row r="518" spans="1:8" x14ac:dyDescent="0.25">
      <c r="A518" s="339"/>
      <c r="B518" s="340"/>
      <c r="C518" s="190"/>
      <c r="D518" s="191"/>
      <c r="E518" s="192"/>
      <c r="F518" s="193"/>
      <c r="G518" s="341"/>
      <c r="H518" s="194"/>
    </row>
    <row r="519" spans="1:8" x14ac:dyDescent="0.25">
      <c r="A519" s="339"/>
      <c r="B519" s="340"/>
      <c r="C519" s="190"/>
      <c r="D519" s="191"/>
      <c r="E519" s="192"/>
      <c r="F519" s="193"/>
      <c r="G519" s="341"/>
      <c r="H519" s="194"/>
    </row>
    <row r="520" spans="1:8" x14ac:dyDescent="0.25">
      <c r="A520" s="339"/>
      <c r="B520" s="340"/>
      <c r="C520" s="190"/>
      <c r="D520" s="191"/>
      <c r="E520" s="192"/>
      <c r="F520" s="193"/>
      <c r="G520" s="341"/>
      <c r="H520" s="194"/>
    </row>
    <row r="521" spans="1:8" x14ac:dyDescent="0.25">
      <c r="A521" s="339"/>
      <c r="B521" s="340"/>
      <c r="C521" s="190"/>
      <c r="D521" s="191"/>
      <c r="E521" s="192"/>
      <c r="F521" s="193"/>
      <c r="G521" s="341"/>
      <c r="H521" s="194"/>
    </row>
    <row r="522" spans="1:8" x14ac:dyDescent="0.25">
      <c r="A522" s="339"/>
      <c r="B522" s="340"/>
      <c r="C522" s="190"/>
      <c r="D522" s="191"/>
      <c r="E522" s="192"/>
      <c r="F522" s="193"/>
      <c r="G522" s="341"/>
      <c r="H522" s="194"/>
    </row>
    <row r="523" spans="1:8" x14ac:dyDescent="0.25">
      <c r="A523" s="339"/>
      <c r="B523" s="340"/>
      <c r="C523" s="190"/>
      <c r="D523" s="191"/>
      <c r="E523" s="192"/>
      <c r="F523" s="193"/>
      <c r="G523" s="341"/>
      <c r="H523" s="194"/>
    </row>
    <row r="524" spans="1:8" x14ac:dyDescent="0.25">
      <c r="A524" s="339"/>
      <c r="B524" s="340"/>
      <c r="C524" s="190"/>
      <c r="D524" s="191"/>
      <c r="E524" s="192"/>
      <c r="F524" s="193"/>
      <c r="G524" s="341"/>
      <c r="H524" s="194"/>
    </row>
    <row r="525" spans="1:8" x14ac:dyDescent="0.25">
      <c r="A525" s="339"/>
      <c r="B525" s="340"/>
      <c r="C525" s="190"/>
      <c r="D525" s="191"/>
      <c r="E525" s="192"/>
      <c r="F525" s="193"/>
      <c r="G525" s="341"/>
      <c r="H525" s="194"/>
    </row>
    <row r="526" spans="1:8" x14ac:dyDescent="0.25">
      <c r="A526" s="339"/>
      <c r="B526" s="340"/>
      <c r="C526" s="190"/>
      <c r="D526" s="191"/>
      <c r="E526" s="192"/>
      <c r="F526" s="193"/>
      <c r="G526" s="341"/>
      <c r="H526" s="194"/>
    </row>
    <row r="527" spans="1:8" x14ac:dyDescent="0.25">
      <c r="A527" s="339"/>
      <c r="B527" s="340"/>
      <c r="C527" s="190"/>
      <c r="D527" s="191"/>
      <c r="E527" s="192"/>
      <c r="F527" s="193"/>
      <c r="G527" s="341"/>
      <c r="H527" s="194"/>
    </row>
    <row r="528" spans="1:8" x14ac:dyDescent="0.25">
      <c r="A528" s="339"/>
      <c r="B528" s="340"/>
      <c r="C528" s="190"/>
      <c r="D528" s="191"/>
      <c r="E528" s="192"/>
      <c r="F528" s="193"/>
      <c r="G528" s="341"/>
      <c r="H528" s="194"/>
    </row>
    <row r="529" spans="1:8" x14ac:dyDescent="0.25">
      <c r="A529" s="339"/>
      <c r="B529" s="340"/>
      <c r="C529" s="190"/>
      <c r="D529" s="191"/>
      <c r="E529" s="192"/>
      <c r="F529" s="193"/>
      <c r="G529" s="341"/>
      <c r="H529" s="194"/>
    </row>
    <row r="530" spans="1:8" x14ac:dyDescent="0.25">
      <c r="A530" s="339"/>
      <c r="B530" s="340"/>
      <c r="C530" s="190"/>
      <c r="D530" s="191"/>
      <c r="E530" s="192"/>
      <c r="F530" s="193"/>
      <c r="G530" s="341"/>
      <c r="H530" s="194"/>
    </row>
    <row r="531" spans="1:8" x14ac:dyDescent="0.25">
      <c r="A531" s="339"/>
      <c r="B531" s="340"/>
      <c r="C531" s="190"/>
      <c r="D531" s="191"/>
      <c r="E531" s="192"/>
      <c r="F531" s="193"/>
      <c r="G531" s="341"/>
      <c r="H531" s="194"/>
    </row>
    <row r="532" spans="1:8" x14ac:dyDescent="0.25">
      <c r="A532" s="339"/>
      <c r="B532" s="340"/>
      <c r="C532" s="190"/>
      <c r="D532" s="191"/>
      <c r="E532" s="192"/>
      <c r="F532" s="193"/>
      <c r="G532" s="341"/>
      <c r="H532" s="194"/>
    </row>
    <row r="533" spans="1:8" x14ac:dyDescent="0.25">
      <c r="A533" s="339"/>
      <c r="B533" s="340"/>
      <c r="C533" s="190"/>
      <c r="D533" s="191"/>
      <c r="E533" s="192"/>
      <c r="F533" s="193"/>
      <c r="G533" s="341"/>
      <c r="H533" s="194"/>
    </row>
    <row r="534" spans="1:8" x14ac:dyDescent="0.25">
      <c r="A534" s="339"/>
      <c r="B534" s="340"/>
      <c r="C534" s="190"/>
      <c r="D534" s="191"/>
      <c r="E534" s="192"/>
      <c r="F534" s="193"/>
      <c r="G534" s="341"/>
      <c r="H534" s="194"/>
    </row>
    <row r="535" spans="1:8" x14ac:dyDescent="0.25">
      <c r="A535" s="339"/>
      <c r="B535" s="340"/>
      <c r="C535" s="190"/>
      <c r="D535" s="191"/>
      <c r="E535" s="192"/>
      <c r="F535" s="193"/>
      <c r="G535" s="341"/>
      <c r="H535" s="194"/>
    </row>
    <row r="536" spans="1:8" x14ac:dyDescent="0.25">
      <c r="A536" s="339"/>
      <c r="B536" s="340"/>
      <c r="C536" s="190"/>
      <c r="D536" s="191"/>
      <c r="E536" s="192"/>
      <c r="F536" s="193"/>
      <c r="G536" s="341"/>
      <c r="H536" s="194"/>
    </row>
    <row r="537" spans="1:8" x14ac:dyDescent="0.25">
      <c r="A537" s="339"/>
      <c r="B537" s="340"/>
      <c r="C537" s="190"/>
      <c r="D537" s="191"/>
      <c r="E537" s="192"/>
      <c r="F537" s="193"/>
      <c r="G537" s="341"/>
      <c r="H537" s="194"/>
    </row>
    <row r="538" spans="1:8" x14ac:dyDescent="0.25">
      <c r="A538" s="339"/>
      <c r="B538" s="340"/>
      <c r="C538" s="190"/>
      <c r="D538" s="191"/>
      <c r="E538" s="192"/>
      <c r="F538" s="193"/>
      <c r="G538" s="341"/>
      <c r="H538" s="194"/>
    </row>
    <row r="539" spans="1:8" x14ac:dyDescent="0.25">
      <c r="A539" s="339"/>
      <c r="B539" s="340"/>
      <c r="C539" s="190"/>
      <c r="D539" s="191"/>
      <c r="E539" s="192"/>
      <c r="F539" s="193"/>
      <c r="G539" s="341"/>
      <c r="H539" s="194"/>
    </row>
    <row r="540" spans="1:8" x14ac:dyDescent="0.25">
      <c r="A540" s="339"/>
      <c r="B540" s="340"/>
      <c r="C540" s="190"/>
      <c r="D540" s="191"/>
      <c r="E540" s="192"/>
      <c r="F540" s="193"/>
      <c r="G540" s="341"/>
      <c r="H540" s="194"/>
    </row>
    <row r="541" spans="1:8" x14ac:dyDescent="0.25">
      <c r="A541" s="339"/>
      <c r="B541" s="340"/>
      <c r="C541" s="190"/>
      <c r="D541" s="191"/>
      <c r="E541" s="192"/>
      <c r="F541" s="193"/>
      <c r="G541" s="341"/>
      <c r="H541" s="194"/>
    </row>
    <row r="542" spans="1:8" x14ac:dyDescent="0.25">
      <c r="A542" s="339"/>
      <c r="B542" s="340"/>
      <c r="C542" s="190"/>
      <c r="D542" s="191"/>
      <c r="E542" s="192"/>
      <c r="F542" s="193"/>
      <c r="G542" s="341"/>
      <c r="H542" s="194"/>
    </row>
    <row r="543" spans="1:8" x14ac:dyDescent="0.25">
      <c r="A543" s="339"/>
      <c r="B543" s="340"/>
      <c r="C543" s="190"/>
      <c r="D543" s="191"/>
      <c r="E543" s="192"/>
      <c r="F543" s="193"/>
      <c r="G543" s="341"/>
      <c r="H543" s="194"/>
    </row>
    <row r="544" spans="1:8" x14ac:dyDescent="0.25">
      <c r="A544" s="339"/>
      <c r="B544" s="340"/>
      <c r="C544" s="190"/>
      <c r="D544" s="191"/>
      <c r="E544" s="192"/>
      <c r="F544" s="193"/>
      <c r="G544" s="341"/>
      <c r="H544" s="194"/>
    </row>
    <row r="545" spans="1:8" x14ac:dyDescent="0.25">
      <c r="A545" s="339"/>
      <c r="B545" s="340"/>
      <c r="C545" s="190"/>
      <c r="D545" s="191"/>
      <c r="E545" s="192"/>
      <c r="F545" s="193"/>
      <c r="G545" s="341"/>
      <c r="H545" s="194"/>
    </row>
    <row r="546" spans="1:8" x14ac:dyDescent="0.25">
      <c r="A546" s="339"/>
      <c r="B546" s="340"/>
      <c r="C546" s="190"/>
      <c r="D546" s="191"/>
      <c r="E546" s="192"/>
      <c r="F546" s="193"/>
      <c r="G546" s="341"/>
      <c r="H546" s="194"/>
    </row>
    <row r="547" spans="1:8" x14ac:dyDescent="0.25">
      <c r="A547" s="339"/>
      <c r="B547" s="340"/>
      <c r="C547" s="190"/>
      <c r="D547" s="191"/>
      <c r="E547" s="192"/>
      <c r="F547" s="193"/>
      <c r="G547" s="341"/>
      <c r="H547" s="194"/>
    </row>
    <row r="548" spans="1:8" x14ac:dyDescent="0.25">
      <c r="A548" s="339"/>
      <c r="B548" s="340"/>
      <c r="C548" s="190"/>
      <c r="D548" s="191"/>
      <c r="E548" s="192"/>
      <c r="F548" s="193"/>
      <c r="G548" s="341"/>
      <c r="H548" s="194"/>
    </row>
    <row r="549" spans="1:8" x14ac:dyDescent="0.25">
      <c r="A549" s="339"/>
      <c r="B549" s="340"/>
      <c r="C549" s="190"/>
      <c r="D549" s="191"/>
      <c r="E549" s="192"/>
      <c r="F549" s="193"/>
      <c r="G549" s="341"/>
      <c r="H549" s="194"/>
    </row>
    <row r="550" spans="1:8" x14ac:dyDescent="0.25">
      <c r="A550" s="339"/>
      <c r="B550" s="340"/>
      <c r="C550" s="190"/>
      <c r="D550" s="191"/>
      <c r="E550" s="192"/>
      <c r="F550" s="193"/>
      <c r="G550" s="341"/>
      <c r="H550" s="194"/>
    </row>
    <row r="551" spans="1:8" x14ac:dyDescent="0.25">
      <c r="A551" s="339"/>
      <c r="B551" s="340"/>
      <c r="C551" s="190"/>
      <c r="D551" s="191"/>
      <c r="E551" s="192"/>
      <c r="F551" s="193"/>
      <c r="G551" s="341"/>
      <c r="H551" s="194"/>
    </row>
    <row r="552" spans="1:8" x14ac:dyDescent="0.25">
      <c r="A552" s="339"/>
      <c r="B552" s="340"/>
      <c r="C552" s="190"/>
      <c r="D552" s="191"/>
      <c r="E552" s="192"/>
      <c r="F552" s="193"/>
      <c r="G552" s="341"/>
      <c r="H552" s="194"/>
    </row>
    <row r="553" spans="1:8" x14ac:dyDescent="0.25">
      <c r="A553" s="339"/>
      <c r="B553" s="340"/>
      <c r="C553" s="190"/>
      <c r="D553" s="191"/>
      <c r="E553" s="192"/>
      <c r="F553" s="193"/>
      <c r="G553" s="341"/>
      <c r="H553" s="194"/>
    </row>
    <row r="554" spans="1:8" x14ac:dyDescent="0.25">
      <c r="A554" s="339"/>
      <c r="B554" s="340"/>
      <c r="C554" s="190"/>
      <c r="D554" s="191"/>
      <c r="E554" s="192"/>
      <c r="F554" s="193"/>
      <c r="G554" s="341"/>
      <c r="H554" s="194"/>
    </row>
    <row r="555" spans="1:8" x14ac:dyDescent="0.25">
      <c r="A555" s="339"/>
      <c r="B555" s="340"/>
      <c r="C555" s="190"/>
      <c r="D555" s="191"/>
      <c r="E555" s="192"/>
      <c r="F555" s="193"/>
      <c r="G555" s="341"/>
      <c r="H555" s="194"/>
    </row>
    <row r="556" spans="1:8" x14ac:dyDescent="0.25">
      <c r="A556" s="339"/>
      <c r="B556" s="340"/>
      <c r="C556" s="190"/>
      <c r="D556" s="191"/>
      <c r="E556" s="192"/>
      <c r="F556" s="193"/>
      <c r="G556" s="341"/>
      <c r="H556" s="194"/>
    </row>
    <row r="557" spans="1:8" x14ac:dyDescent="0.25">
      <c r="A557" s="339"/>
      <c r="B557" s="340"/>
      <c r="C557" s="190"/>
      <c r="D557" s="191"/>
      <c r="E557" s="192"/>
      <c r="F557" s="193"/>
      <c r="G557" s="341"/>
      <c r="H557" s="194"/>
    </row>
    <row r="558" spans="1:8" x14ac:dyDescent="0.25">
      <c r="A558" s="339"/>
      <c r="B558" s="340"/>
      <c r="C558" s="190"/>
      <c r="D558" s="191"/>
      <c r="E558" s="192"/>
      <c r="F558" s="193"/>
      <c r="G558" s="341"/>
      <c r="H558" s="194"/>
    </row>
    <row r="559" spans="1:8" x14ac:dyDescent="0.25">
      <c r="A559" s="339"/>
      <c r="B559" s="340"/>
      <c r="C559" s="190"/>
      <c r="D559" s="191"/>
      <c r="E559" s="192"/>
      <c r="F559" s="193"/>
      <c r="G559" s="341"/>
      <c r="H559" s="194"/>
    </row>
    <row r="560" spans="1:8" x14ac:dyDescent="0.25">
      <c r="A560" s="339"/>
      <c r="B560" s="340"/>
      <c r="C560" s="190"/>
      <c r="D560" s="191"/>
      <c r="E560" s="192"/>
      <c r="F560" s="193"/>
      <c r="G560" s="341"/>
      <c r="H560" s="194"/>
    </row>
    <row r="561" spans="1:8" x14ac:dyDescent="0.25">
      <c r="A561" s="339"/>
      <c r="B561" s="340"/>
      <c r="C561" s="190"/>
      <c r="D561" s="191"/>
      <c r="E561" s="192"/>
      <c r="F561" s="193"/>
      <c r="G561" s="341"/>
      <c r="H561" s="194"/>
    </row>
    <row r="562" spans="1:8" x14ac:dyDescent="0.25">
      <c r="A562" s="339"/>
      <c r="B562" s="340"/>
      <c r="C562" s="190"/>
      <c r="D562" s="191"/>
      <c r="E562" s="192"/>
      <c r="F562" s="193"/>
      <c r="G562" s="341"/>
      <c r="H562" s="194"/>
    </row>
    <row r="563" spans="1:8" x14ac:dyDescent="0.25">
      <c r="A563" s="339"/>
      <c r="B563" s="340"/>
      <c r="C563" s="190"/>
      <c r="D563" s="191"/>
      <c r="E563" s="192"/>
      <c r="F563" s="193"/>
      <c r="G563" s="341"/>
      <c r="H563" s="194"/>
    </row>
    <row r="564" spans="1:8" x14ac:dyDescent="0.25">
      <c r="A564" s="339"/>
      <c r="B564" s="340"/>
      <c r="C564" s="190"/>
      <c r="D564" s="191"/>
      <c r="E564" s="192"/>
      <c r="F564" s="193"/>
      <c r="G564" s="341"/>
      <c r="H564" s="194"/>
    </row>
    <row r="565" spans="1:8" x14ac:dyDescent="0.25">
      <c r="A565" s="339"/>
      <c r="B565" s="340"/>
      <c r="C565" s="190"/>
      <c r="D565" s="191"/>
      <c r="E565" s="192"/>
      <c r="F565" s="193"/>
      <c r="G565" s="341"/>
      <c r="H565" s="194"/>
    </row>
    <row r="566" spans="1:8" x14ac:dyDescent="0.25">
      <c r="A566" s="339"/>
      <c r="B566" s="340"/>
      <c r="C566" s="190"/>
      <c r="D566" s="191"/>
      <c r="E566" s="192"/>
      <c r="F566" s="193"/>
      <c r="G566" s="341"/>
      <c r="H566" s="194"/>
    </row>
    <row r="567" spans="1:8" x14ac:dyDescent="0.25">
      <c r="A567" s="339"/>
      <c r="B567" s="340"/>
      <c r="C567" s="190"/>
      <c r="D567" s="191"/>
      <c r="E567" s="192"/>
      <c r="F567" s="193"/>
      <c r="G567" s="341"/>
      <c r="H567" s="194"/>
    </row>
    <row r="568" spans="1:8" x14ac:dyDescent="0.25">
      <c r="A568" s="339"/>
      <c r="B568" s="340"/>
      <c r="C568" s="190"/>
      <c r="D568" s="191"/>
      <c r="E568" s="192"/>
      <c r="F568" s="193"/>
      <c r="G568" s="341"/>
      <c r="H568" s="194"/>
    </row>
    <row r="569" spans="1:8" x14ac:dyDescent="0.25">
      <c r="A569" s="339"/>
      <c r="B569" s="340"/>
      <c r="C569" s="190"/>
      <c r="D569" s="191"/>
      <c r="E569" s="192"/>
      <c r="F569" s="193"/>
      <c r="G569" s="341"/>
      <c r="H569" s="194"/>
    </row>
    <row r="570" spans="1:8" x14ac:dyDescent="0.25">
      <c r="A570" s="339"/>
      <c r="B570" s="340"/>
      <c r="C570" s="190"/>
      <c r="D570" s="191"/>
      <c r="E570" s="192"/>
      <c r="F570" s="193"/>
      <c r="G570" s="341"/>
      <c r="H570" s="194"/>
    </row>
    <row r="571" spans="1:8" x14ac:dyDescent="0.25">
      <c r="A571" s="339"/>
      <c r="B571" s="340"/>
      <c r="C571" s="190"/>
      <c r="D571" s="191"/>
      <c r="E571" s="192"/>
      <c r="F571" s="193"/>
      <c r="G571" s="341"/>
      <c r="H571" s="194"/>
    </row>
    <row r="572" spans="1:8" x14ac:dyDescent="0.25">
      <c r="A572" s="339"/>
      <c r="B572" s="340"/>
      <c r="C572" s="190"/>
      <c r="D572" s="191"/>
      <c r="E572" s="192"/>
      <c r="F572" s="193"/>
      <c r="G572" s="341"/>
      <c r="H572" s="194"/>
    </row>
    <row r="573" spans="1:8" x14ac:dyDescent="0.25">
      <c r="A573" s="339"/>
      <c r="B573" s="340"/>
      <c r="C573" s="190"/>
      <c r="D573" s="191"/>
      <c r="E573" s="192"/>
      <c r="F573" s="193"/>
      <c r="G573" s="341"/>
      <c r="H573" s="194"/>
    </row>
    <row r="574" spans="1:8" x14ac:dyDescent="0.25">
      <c r="A574" s="339"/>
      <c r="B574" s="340"/>
      <c r="C574" s="190"/>
      <c r="D574" s="191"/>
      <c r="E574" s="192"/>
      <c r="F574" s="193"/>
      <c r="G574" s="341"/>
      <c r="H574" s="194"/>
    </row>
    <row r="575" spans="1:8" x14ac:dyDescent="0.25">
      <c r="A575" s="339"/>
      <c r="B575" s="340"/>
      <c r="C575" s="190"/>
      <c r="D575" s="191"/>
      <c r="E575" s="192"/>
      <c r="F575" s="193"/>
      <c r="G575" s="341"/>
      <c r="H575" s="194"/>
    </row>
    <row r="576" spans="1:8" x14ac:dyDescent="0.25">
      <c r="A576" s="339"/>
      <c r="B576" s="340"/>
      <c r="C576" s="190"/>
      <c r="D576" s="191"/>
      <c r="E576" s="192"/>
      <c r="F576" s="193"/>
      <c r="G576" s="341"/>
      <c r="H576" s="194"/>
    </row>
    <row r="577" spans="1:8" x14ac:dyDescent="0.25">
      <c r="A577" s="339"/>
      <c r="B577" s="340"/>
      <c r="C577" s="190"/>
      <c r="D577" s="191"/>
      <c r="E577" s="192"/>
      <c r="F577" s="193"/>
      <c r="G577" s="341"/>
      <c r="H577" s="194"/>
    </row>
    <row r="578" spans="1:8" x14ac:dyDescent="0.25">
      <c r="A578" s="339"/>
      <c r="B578" s="340"/>
      <c r="C578" s="190"/>
      <c r="D578" s="191"/>
      <c r="E578" s="192"/>
      <c r="F578" s="193"/>
      <c r="G578" s="341"/>
      <c r="H578" s="194"/>
    </row>
    <row r="579" spans="1:8" x14ac:dyDescent="0.25">
      <c r="A579" s="339"/>
      <c r="B579" s="340"/>
      <c r="C579" s="190"/>
      <c r="D579" s="191"/>
      <c r="E579" s="192"/>
      <c r="F579" s="193"/>
      <c r="G579" s="341"/>
      <c r="H579" s="194"/>
    </row>
    <row r="580" spans="1:8" x14ac:dyDescent="0.25">
      <c r="A580" s="339"/>
      <c r="B580" s="340"/>
      <c r="C580" s="190"/>
      <c r="D580" s="191"/>
      <c r="E580" s="192"/>
      <c r="F580" s="193"/>
      <c r="G580" s="341"/>
      <c r="H580" s="194"/>
    </row>
  </sheetData>
  <conditionalFormatting sqref="D148:D149 D151:D153 D52:D74 D85 D50 D76:D80">
    <cfRule type="cellIs" dxfId="275" priority="56" operator="notEqual">
      <formula>#REF!</formula>
    </cfRule>
  </conditionalFormatting>
  <conditionalFormatting sqref="D164:D168 D170:D201">
    <cfRule type="cellIs" dxfId="274" priority="54" operator="notEqual">
      <formula>#REF!</formula>
    </cfRule>
  </conditionalFormatting>
  <conditionalFormatting sqref="H302">
    <cfRule type="cellIs" dxfId="273" priority="53" operator="notEqual">
      <formula>A302</formula>
    </cfRule>
  </conditionalFormatting>
  <conditionalFormatting sqref="D156:D157">
    <cfRule type="cellIs" dxfId="272" priority="52" operator="notEqual">
      <formula>#REF!</formula>
    </cfRule>
  </conditionalFormatting>
  <conditionalFormatting sqref="D159">
    <cfRule type="cellIs" dxfId="271" priority="51" operator="notEqual">
      <formula>#REF!</formula>
    </cfRule>
  </conditionalFormatting>
  <conditionalFormatting sqref="D150">
    <cfRule type="cellIs" dxfId="270" priority="50" operator="notEqual">
      <formula>#REF!</formula>
    </cfRule>
  </conditionalFormatting>
  <conditionalFormatting sqref="D169">
    <cfRule type="cellIs" dxfId="269" priority="49" operator="notEqual">
      <formula>#REF!</formula>
    </cfRule>
  </conditionalFormatting>
  <conditionalFormatting sqref="D160">
    <cfRule type="cellIs" dxfId="268" priority="48" operator="notEqual">
      <formula>#REF!</formula>
    </cfRule>
  </conditionalFormatting>
  <conditionalFormatting sqref="D161">
    <cfRule type="cellIs" dxfId="267" priority="47" operator="notEqual">
      <formula>#REF!</formula>
    </cfRule>
  </conditionalFormatting>
  <conditionalFormatting sqref="D180:D182">
    <cfRule type="cellIs" dxfId="266" priority="45" operator="notEqual">
      <formula>#REF!</formula>
    </cfRule>
  </conditionalFormatting>
  <conditionalFormatting sqref="D160 D162:D164">
    <cfRule type="cellIs" dxfId="265" priority="44" operator="notEqual">
      <formula>#REF!</formula>
    </cfRule>
  </conditionalFormatting>
  <conditionalFormatting sqref="D165:D167">
    <cfRule type="cellIs" dxfId="264" priority="43" operator="notEqual">
      <formula>#REF!</formula>
    </cfRule>
  </conditionalFormatting>
  <conditionalFormatting sqref="D168">
    <cfRule type="cellIs" dxfId="263" priority="42" operator="notEqual">
      <formula>#REF!</formula>
    </cfRule>
  </conditionalFormatting>
  <conditionalFormatting sqref="D161">
    <cfRule type="cellIs" dxfId="262" priority="41" operator="notEqual">
      <formula>#REF!</formula>
    </cfRule>
  </conditionalFormatting>
  <conditionalFormatting sqref="D169">
    <cfRule type="cellIs" dxfId="261" priority="40" operator="notEqual">
      <formula>#REF!</formula>
    </cfRule>
  </conditionalFormatting>
  <conditionalFormatting sqref="D171">
    <cfRule type="cellIs" dxfId="260" priority="39" operator="notEqual">
      <formula>#REF!</formula>
    </cfRule>
  </conditionalFormatting>
  <conditionalFormatting sqref="D170">
    <cfRule type="cellIs" dxfId="259" priority="38" operator="notEqual">
      <formula>#REF!</formula>
    </cfRule>
  </conditionalFormatting>
  <conditionalFormatting sqref="D172:D173">
    <cfRule type="cellIs" dxfId="258" priority="37" operator="notEqual">
      <formula>#REF!</formula>
    </cfRule>
  </conditionalFormatting>
  <conditionalFormatting sqref="D171">
    <cfRule type="cellIs" dxfId="257" priority="36" operator="notEqual">
      <formula>#REF!</formula>
    </cfRule>
  </conditionalFormatting>
  <conditionalFormatting sqref="D75">
    <cfRule type="cellIs" dxfId="256" priority="35" operator="notEqual">
      <formula>#REF!</formula>
    </cfRule>
  </conditionalFormatting>
  <conditionalFormatting sqref="D160 D162:D164">
    <cfRule type="cellIs" dxfId="255" priority="28" operator="notEqual">
      <formula>#REF!</formula>
    </cfRule>
  </conditionalFormatting>
  <conditionalFormatting sqref="D165:D166">
    <cfRule type="cellIs" dxfId="254" priority="27" operator="notEqual">
      <formula>#REF!</formula>
    </cfRule>
  </conditionalFormatting>
  <conditionalFormatting sqref="D168">
    <cfRule type="cellIs" dxfId="253" priority="26" operator="notEqual">
      <formula>#REF!</formula>
    </cfRule>
  </conditionalFormatting>
  <conditionalFormatting sqref="D161">
    <cfRule type="cellIs" dxfId="252" priority="25" operator="notEqual">
      <formula>#REF!</formula>
    </cfRule>
  </conditionalFormatting>
  <conditionalFormatting sqref="D179">
    <cfRule type="cellIs" dxfId="251" priority="24" operator="notEqual">
      <formula>#REF!</formula>
    </cfRule>
  </conditionalFormatting>
  <conditionalFormatting sqref="D169">
    <cfRule type="cellIs" dxfId="250" priority="23" operator="notEqual">
      <formula>#REF!</formula>
    </cfRule>
  </conditionalFormatting>
  <conditionalFormatting sqref="D171">
    <cfRule type="cellIs" dxfId="249" priority="22" operator="notEqual">
      <formula>#REF!</formula>
    </cfRule>
  </conditionalFormatting>
  <conditionalFormatting sqref="D170">
    <cfRule type="cellIs" dxfId="248" priority="21" operator="notEqual">
      <formula>#REF!</formula>
    </cfRule>
  </conditionalFormatting>
  <conditionalFormatting sqref="D192">
    <cfRule type="cellIs" dxfId="247" priority="20" operator="notEqual">
      <formula>#REF!</formula>
    </cfRule>
  </conditionalFormatting>
  <conditionalFormatting sqref="D169:D170 D172:D174">
    <cfRule type="cellIs" dxfId="246" priority="19" operator="notEqual">
      <formula>#REF!</formula>
    </cfRule>
  </conditionalFormatting>
  <conditionalFormatting sqref="D175:D177">
    <cfRule type="cellIs" dxfId="245" priority="18" operator="notEqual">
      <formula>#REF!</formula>
    </cfRule>
  </conditionalFormatting>
  <conditionalFormatting sqref="D178">
    <cfRule type="cellIs" dxfId="244" priority="17" operator="notEqual">
      <formula>#REF!</formula>
    </cfRule>
  </conditionalFormatting>
  <conditionalFormatting sqref="D171">
    <cfRule type="cellIs" dxfId="243" priority="16" operator="notEqual">
      <formula>#REF!</formula>
    </cfRule>
  </conditionalFormatting>
  <conditionalFormatting sqref="D179">
    <cfRule type="cellIs" dxfId="242" priority="15" operator="notEqual">
      <formula>#REF!</formula>
    </cfRule>
  </conditionalFormatting>
  <conditionalFormatting sqref="D183">
    <cfRule type="cellIs" dxfId="241" priority="14" operator="notEqual">
      <formula>#REF!</formula>
    </cfRule>
  </conditionalFormatting>
  <conditionalFormatting sqref="D180:D182">
    <cfRule type="cellIs" dxfId="240" priority="13" operator="notEqual">
      <formula>#REF!</formula>
    </cfRule>
  </conditionalFormatting>
  <conditionalFormatting sqref="D184:D185">
    <cfRule type="cellIs" dxfId="239" priority="12" operator="notEqual">
      <formula>#REF!</formula>
    </cfRule>
  </conditionalFormatting>
  <conditionalFormatting sqref="D183">
    <cfRule type="cellIs" dxfId="238" priority="11" operator="notEqual">
      <formula>#REF!</formula>
    </cfRule>
  </conditionalFormatting>
  <conditionalFormatting sqref="D154:D155">
    <cfRule type="cellIs" dxfId="237" priority="4" operator="notEqual">
      <formula>#REF!</formula>
    </cfRule>
  </conditionalFormatting>
  <conditionalFormatting sqref="D81:D84">
    <cfRule type="cellIs" dxfId="236" priority="3" operator="notEqual">
      <formula>#REF!</formula>
    </cfRule>
  </conditionalFormatting>
  <pageMargins left="0.70866141732283472" right="0.70866141732283472" top="0.78740157480314965" bottom="0.78740157480314965" header="0.31496062992125984" footer="0.31496062992125984"/>
  <pageSetup paperSize="9" scale="58" fitToHeight="10" orientation="portrait" r:id="rId1"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K498"/>
  <sheetViews>
    <sheetView topLeftCell="A13" zoomScale="115" zoomScaleNormal="115" workbookViewId="0">
      <selection activeCell="K495" sqref="K495"/>
    </sheetView>
  </sheetViews>
  <sheetFormatPr defaultRowHeight="12.75" x14ac:dyDescent="0.2"/>
  <cols>
    <col min="1" max="1" width="60.5703125" bestFit="1" customWidth="1"/>
    <col min="2" max="2" width="26.140625" bestFit="1" customWidth="1"/>
    <col min="3" max="3" width="17.7109375" customWidth="1"/>
    <col min="4" max="4" width="11.140625" bestFit="1" customWidth="1"/>
    <col min="5" max="5" width="15.42578125" bestFit="1" customWidth="1"/>
    <col min="6" max="6" width="16.85546875" bestFit="1" customWidth="1"/>
  </cols>
  <sheetData>
    <row r="2" spans="1:5" ht="13.5" thickBot="1" x14ac:dyDescent="0.25">
      <c r="A2">
        <v>6</v>
      </c>
    </row>
    <row r="3" spans="1:5" x14ac:dyDescent="0.2">
      <c r="B3" s="682" t="s">
        <v>71</v>
      </c>
      <c r="C3" s="683"/>
      <c r="D3" s="151" t="s">
        <v>3</v>
      </c>
      <c r="E3" s="146" t="s">
        <v>4</v>
      </c>
    </row>
    <row r="4" spans="1:5" ht="13.5" thickBot="1" x14ac:dyDescent="0.25">
      <c r="B4" s="684" t="str">
        <f>INDEX($A$16:$A$28,A2)</f>
        <v>4123 Neinvestiční přijaté transfery od regionálních rad</v>
      </c>
      <c r="C4" s="685"/>
      <c r="D4" s="124">
        <f>SUMIF('MB 9'!F7:F483,INDEX('MB 9'!B496:B508,$A$2),'MB 9'!$C$7:$C$483)</f>
        <v>1808.6522100000002</v>
      </c>
      <c r="E4" s="124">
        <f>SUMIF('MB 9'!F$7:F$483, INDEX('MB 9'!$B496:$B508,$A$2),'MB 9'!$D7:$D483)</f>
        <v>1808652.21</v>
      </c>
    </row>
    <row r="14" spans="1:5" ht="13.5" thickBot="1" x14ac:dyDescent="0.25"/>
    <row r="15" spans="1:5" ht="13.5" thickBot="1" x14ac:dyDescent="0.25">
      <c r="A15" s="127" t="s">
        <v>71</v>
      </c>
      <c r="B15" s="152" t="s">
        <v>90</v>
      </c>
      <c r="C15" s="153" t="s">
        <v>4</v>
      </c>
    </row>
    <row r="16" spans="1:5" x14ac:dyDescent="0.2">
      <c r="A16" s="125" t="s">
        <v>70</v>
      </c>
      <c r="B16" s="126">
        <f>+SUMIF('MB 9'!$F$7:$F$482,'MB 9'!$B496,'MB 9'!$C$7:$C$482)</f>
        <v>0</v>
      </c>
      <c r="C16" s="126">
        <f>+SUMIF('MB 9'!$F$7:$F$482,'MB 9'!$B496,'MB 9'!$D$7:$D$482)</f>
        <v>0</v>
      </c>
    </row>
    <row r="17" spans="1:9" x14ac:dyDescent="0.2">
      <c r="A17" s="123" t="s">
        <v>87</v>
      </c>
      <c r="B17" s="126">
        <f>+SUMIF('MB 9'!$F$7:$F$494,'MB 9'!$B497,'MB 9'!$C$7:$C$494)</f>
        <v>5949.827760000001</v>
      </c>
      <c r="C17" s="126">
        <f>+SUMIF('MB 9'!$F$7:$F$482,'MB 9'!$B497,'MB 9'!$D$7:$D$482)</f>
        <v>3583301.2100000004</v>
      </c>
    </row>
    <row r="18" spans="1:9" x14ac:dyDescent="0.2">
      <c r="A18" s="123" t="s">
        <v>88</v>
      </c>
      <c r="B18" s="126">
        <f>+SUMIF('MB 9'!$F$7:$F$482,'MB 9'!$B498,'MB 9'!$C$7:$C$482)</f>
        <v>149404.18626999998</v>
      </c>
      <c r="C18" s="126">
        <f>+SUMIF('MB 9'!$F$7:$F$482,'MB 9'!$B498,'MB 9'!$D$7:$D$482)</f>
        <v>158601669.82000002</v>
      </c>
    </row>
    <row r="19" spans="1:9" x14ac:dyDescent="0.2">
      <c r="A19" s="123" t="s">
        <v>89</v>
      </c>
      <c r="B19" s="126">
        <f>+SUMIF('MB 9'!$F$7:$F$482,'MB 9'!$B499,'MB 9'!$C$7:$C$482)</f>
        <v>0</v>
      </c>
      <c r="C19" s="126">
        <f>+SUMIF('MB 9'!$F$7:$F$482,'MB 9'!$B499,'MB 9'!$D$7:$D$482)</f>
        <v>0</v>
      </c>
    </row>
    <row r="20" spans="1:9" x14ac:dyDescent="0.2">
      <c r="A20" s="123" t="s">
        <v>72</v>
      </c>
      <c r="B20" s="126">
        <f>+SUMIF('MB 9'!$F$7:$F$482,'MB 9'!$B500,'MB 9'!$C$7:$C$482)</f>
        <v>113212.30556000001</v>
      </c>
      <c r="C20" s="126">
        <f>+SUMIF('MB 9'!$F$7:$F$482,'MB 9'!$B500,'MB 9'!$D$7:$D$482)</f>
        <v>113352305.56</v>
      </c>
    </row>
    <row r="21" spans="1:9" x14ac:dyDescent="0.2">
      <c r="A21" s="123" t="s">
        <v>73</v>
      </c>
      <c r="B21" s="126">
        <f>+SUMIF('MB 9'!$F$7:$F$482,'MB 9'!$B501,'MB 9'!$C$7:$C$482)</f>
        <v>1808.6522100000002</v>
      </c>
      <c r="C21" s="126">
        <f>+SUMIF('MB 9'!$F$7:$F$482,'MB 9'!$B501,'MB 9'!$D$7:$D$482)</f>
        <v>1808652.21</v>
      </c>
    </row>
    <row r="22" spans="1:9" x14ac:dyDescent="0.2">
      <c r="A22" s="123" t="s">
        <v>74</v>
      </c>
      <c r="B22" s="126">
        <f>+SUMIF('MB 9'!$F$7:$F$482,'MB 9'!$B502,'MB 9'!$C$7:$C$482)</f>
        <v>0</v>
      </c>
      <c r="C22" s="126">
        <f>+SUMIF('MB 9'!$F$7:$F$482,'MB 9'!$B502,'MB 9'!$D$7:$D$482)</f>
        <v>0</v>
      </c>
    </row>
    <row r="23" spans="1:9" x14ac:dyDescent="0.2">
      <c r="A23" s="123" t="s">
        <v>75</v>
      </c>
      <c r="B23" s="126">
        <f>+SUMIF('MB 9'!$F$7:$F$482,'MB 9'!$B503,'MB 9'!$C$7:$C$482)</f>
        <v>2377</v>
      </c>
      <c r="C23" s="126">
        <f>+SUMIF('MB 9'!$F$7:$F$482,'MB 9'!$B503,'MB 9'!$D$7:$D$482)</f>
        <v>2400018.1000000006</v>
      </c>
    </row>
    <row r="24" spans="1:9" x14ac:dyDescent="0.2">
      <c r="A24" s="123" t="s">
        <v>86</v>
      </c>
      <c r="B24" s="126">
        <f>+SUMIF('MB 9'!$F$7:$F$482,'MB 9'!$B504,'MB 9'!$C$7:$C$482)</f>
        <v>1691.3655199999998</v>
      </c>
      <c r="C24" s="126">
        <f>+SUMIF('MB 9'!$F$7:$F$482,'MB 9'!$B504,'MB 9'!$D$7:$D$482)</f>
        <v>1691365.5200000005</v>
      </c>
    </row>
    <row r="25" spans="1:9" x14ac:dyDescent="0.2">
      <c r="A25" s="123" t="s">
        <v>76</v>
      </c>
      <c r="B25" s="126">
        <f>+SUMIF('MB 9'!$F$7:$F$482,'MB 9'!$B505,'MB 9'!$C$7:$C$482)</f>
        <v>55868.485820000002</v>
      </c>
      <c r="C25" s="126">
        <f>+SUMIF('MB 9'!$F$7:$F$482,'MB 9'!$B505,'MB 9'!$D$7:$D$482)</f>
        <v>55868485.820000008</v>
      </c>
    </row>
    <row r="26" spans="1:9" x14ac:dyDescent="0.2">
      <c r="A26" s="123" t="s">
        <v>77</v>
      </c>
      <c r="B26" s="126">
        <f>+SUMIF('MB 9'!$F$7:$F$482,'MB 9'!$B506,'MB 9'!$C$7:$C$482)</f>
        <v>2720</v>
      </c>
      <c r="C26" s="126">
        <f>+SUMIF('MB 9'!$F$7:$F$482,'MB 9'!$B506,'MB 9'!$D$7:$D$482)</f>
        <v>2720000</v>
      </c>
    </row>
    <row r="27" spans="1:9" x14ac:dyDescent="0.2">
      <c r="A27" s="123" t="s">
        <v>78</v>
      </c>
      <c r="B27" s="126">
        <f>+SUMIF('MB 9'!$F$7:$F$482,'MB 9'!$B507,'MB 9'!$C$7:$C$482)</f>
        <v>97280.79221</v>
      </c>
      <c r="C27" s="126">
        <f>+SUMIF('MB 9'!$F$7:$F$482,'MB 9'!B507,'MB 9'!$D$7:$D$482)</f>
        <v>101266290.89999999</v>
      </c>
    </row>
    <row r="28" spans="1:9" ht="13.5" thickBot="1" x14ac:dyDescent="0.25">
      <c r="A28" s="148" t="s">
        <v>263</v>
      </c>
      <c r="B28" s="126">
        <f>+SUMIF('MB 9'!$F$7:$F$482,'MB 9'!$B508,'MB 9'!$C$7:$C$482)</f>
        <v>877</v>
      </c>
      <c r="C28" s="126">
        <f>+SUMIF('MB 9'!$F$7:$F$482,'MB 9'!B508,'MB 9'!$D$7:$D$482)</f>
        <v>876199.86</v>
      </c>
    </row>
    <row r="29" spans="1:9" s="147" customFormat="1" ht="13.5" thickBot="1" x14ac:dyDescent="0.25">
      <c r="A29" s="127" t="s">
        <v>85</v>
      </c>
      <c r="B29" s="128">
        <f>+SUM(B16:B28)</f>
        <v>431189.61534999992</v>
      </c>
      <c r="C29" s="129">
        <f>+SUM(C16:C28)</f>
        <v>442168289</v>
      </c>
      <c r="D29"/>
      <c r="E29"/>
      <c r="F29"/>
      <c r="G29"/>
      <c r="H29"/>
      <c r="I29"/>
    </row>
    <row r="32" spans="1:9" x14ac:dyDescent="0.2">
      <c r="B32" s="178"/>
      <c r="C32" s="178"/>
    </row>
    <row r="364" spans="4:4" x14ac:dyDescent="0.2">
      <c r="D364" s="414"/>
    </row>
    <row r="365" spans="4:4" x14ac:dyDescent="0.2">
      <c r="D365" s="414"/>
    </row>
    <row r="366" spans="4:4" x14ac:dyDescent="0.2">
      <c r="D366" s="414"/>
    </row>
    <row r="367" spans="4:4" x14ac:dyDescent="0.2">
      <c r="D367" s="414"/>
    </row>
    <row r="368" spans="4:4" x14ac:dyDescent="0.2">
      <c r="D368" s="414"/>
    </row>
    <row r="369" spans="3:4" x14ac:dyDescent="0.2">
      <c r="D369" s="414"/>
    </row>
    <row r="370" spans="3:4" x14ac:dyDescent="0.2">
      <c r="D370" s="414"/>
    </row>
    <row r="371" spans="3:4" x14ac:dyDescent="0.2">
      <c r="D371" s="414"/>
    </row>
    <row r="372" spans="3:4" x14ac:dyDescent="0.2">
      <c r="C372">
        <v>19.5185</v>
      </c>
      <c r="D372" s="414"/>
    </row>
    <row r="373" spans="3:4" x14ac:dyDescent="0.2">
      <c r="D373" s="414"/>
    </row>
    <row r="374" spans="3:4" x14ac:dyDescent="0.2">
      <c r="D374" s="414"/>
    </row>
    <row r="375" spans="3:4" x14ac:dyDescent="0.2">
      <c r="D375" s="414"/>
    </row>
    <row r="376" spans="3:4" x14ac:dyDescent="0.2">
      <c r="D376" s="414"/>
    </row>
    <row r="389" spans="3:8" x14ac:dyDescent="0.2">
      <c r="C389">
        <v>1.42302</v>
      </c>
    </row>
    <row r="391" spans="3:8" x14ac:dyDescent="0.2">
      <c r="H391" s="414"/>
    </row>
    <row r="392" spans="3:8" x14ac:dyDescent="0.2">
      <c r="H392" s="414"/>
    </row>
    <row r="393" spans="3:8" x14ac:dyDescent="0.2">
      <c r="H393" s="414"/>
    </row>
    <row r="394" spans="3:8" x14ac:dyDescent="0.2">
      <c r="H394" s="414"/>
    </row>
    <row r="395" spans="3:8" x14ac:dyDescent="0.2">
      <c r="H395" s="414"/>
    </row>
    <row r="396" spans="3:8" x14ac:dyDescent="0.2">
      <c r="H396" s="414"/>
    </row>
    <row r="423" spans="3:3" x14ac:dyDescent="0.2">
      <c r="C423">
        <v>24.19134</v>
      </c>
    </row>
    <row r="489" spans="8:11" x14ac:dyDescent="0.2">
      <c r="H489">
        <f>27388800*9</f>
        <v>246499200</v>
      </c>
    </row>
    <row r="494" spans="8:11" x14ac:dyDescent="0.2">
      <c r="J494">
        <v>60000</v>
      </c>
      <c r="K494" t="s">
        <v>412</v>
      </c>
    </row>
    <row r="497" spans="10:10" x14ac:dyDescent="0.2">
      <c r="J497">
        <f>SUM(J488:J496)</f>
        <v>60000</v>
      </c>
    </row>
    <row r="498" spans="10:10" x14ac:dyDescent="0.2">
      <c r="J498">
        <f>+H494+J497</f>
        <v>60000</v>
      </c>
    </row>
  </sheetData>
  <mergeCells count="2">
    <mergeCell ref="B3:C3"/>
    <mergeCell ref="B4:C4"/>
  </mergeCells>
  <pageMargins left="0.7" right="0.7" top="0.78740157499999996" bottom="0.78740157499999996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4689" r:id="rId3" name="Drop Down 1">
              <controlPr defaultSize="0" autoLine="0" autoPict="0">
                <anchor moveWithCells="1">
                  <from>
                    <xdr:col>0</xdr:col>
                    <xdr:colOff>47625</xdr:colOff>
                    <xdr:row>6</xdr:row>
                    <xdr:rowOff>0</xdr:rowOff>
                  </from>
                  <to>
                    <xdr:col>0</xdr:col>
                    <xdr:colOff>2695575</xdr:colOff>
                    <xdr:row>11</xdr:row>
                    <xdr:rowOff>104775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N747"/>
  <sheetViews>
    <sheetView topLeftCell="A439" zoomScale="115" zoomScaleNormal="115" workbookViewId="0">
      <selection activeCell="K495" sqref="K495"/>
    </sheetView>
  </sheetViews>
  <sheetFormatPr defaultColWidth="9.140625" defaultRowHeight="15.75" x14ac:dyDescent="0.25"/>
  <cols>
    <col min="1" max="1" width="11.28515625" style="305" customWidth="1"/>
    <col min="2" max="2" width="93.42578125" style="45" customWidth="1"/>
    <col min="3" max="3" width="17.5703125" style="2" customWidth="1"/>
    <col min="4" max="4" width="16.7109375" style="2" customWidth="1"/>
    <col min="5" max="5" width="16.5703125" style="88" customWidth="1"/>
    <col min="6" max="6" width="17.140625" style="88" customWidth="1"/>
    <col min="7" max="7" width="18.7109375" style="269" customWidth="1"/>
    <col min="8" max="8" width="20.28515625" style="45" bestFit="1" customWidth="1"/>
    <col min="9" max="9" width="25" style="45" bestFit="1" customWidth="1"/>
    <col min="10" max="10" width="19.7109375" style="45" bestFit="1" customWidth="1"/>
    <col min="11" max="11" width="19.42578125" style="45" bestFit="1" customWidth="1"/>
    <col min="12" max="12" width="18.7109375" style="45" bestFit="1" customWidth="1"/>
    <col min="13" max="13" width="14.7109375" style="45" customWidth="1"/>
    <col min="14" max="14" width="9.140625" style="45"/>
    <col min="15" max="15" width="92.140625" style="45" bestFit="1" customWidth="1"/>
    <col min="16" max="16" width="9.140625" style="45"/>
    <col min="17" max="17" width="11" style="45" bestFit="1" customWidth="1"/>
    <col min="18" max="16384" width="9.140625" style="45"/>
  </cols>
  <sheetData>
    <row r="1" spans="1:11" ht="22.5" x14ac:dyDescent="0.3">
      <c r="A1" s="689" t="s">
        <v>0</v>
      </c>
      <c r="B1" s="689"/>
      <c r="C1" s="689"/>
      <c r="D1" s="689"/>
      <c r="E1" s="689"/>
      <c r="F1" s="689"/>
    </row>
    <row r="2" spans="1:11" ht="22.5" x14ac:dyDescent="0.3">
      <c r="A2" s="689" t="s">
        <v>572</v>
      </c>
      <c r="B2" s="689"/>
      <c r="C2" s="689"/>
      <c r="D2" s="689"/>
      <c r="E2" s="689"/>
      <c r="F2" s="689"/>
    </row>
    <row r="3" spans="1:11" ht="22.5" x14ac:dyDescent="0.3">
      <c r="A3" s="435"/>
      <c r="B3" s="270"/>
      <c r="C3" s="162"/>
      <c r="D3" s="434"/>
      <c r="E3" s="434"/>
      <c r="F3" s="434"/>
    </row>
    <row r="4" spans="1:11" ht="23.25" thickBot="1" x14ac:dyDescent="0.35">
      <c r="A4" s="435"/>
      <c r="B4" s="435"/>
      <c r="C4" s="434"/>
      <c r="D4" s="421">
        <v>42308</v>
      </c>
      <c r="E4" s="434"/>
      <c r="F4" s="1"/>
    </row>
    <row r="5" spans="1:11" ht="16.5" thickBot="1" x14ac:dyDescent="0.3">
      <c r="A5" s="690" t="s">
        <v>193</v>
      </c>
      <c r="B5" s="5"/>
      <c r="C5" s="4"/>
      <c r="D5" s="359"/>
      <c r="E5" s="6"/>
      <c r="F5" s="6"/>
      <c r="G5" s="79"/>
    </row>
    <row r="6" spans="1:11" ht="16.5" thickBot="1" x14ac:dyDescent="0.3">
      <c r="A6" s="691"/>
      <c r="B6" s="10" t="s">
        <v>2</v>
      </c>
      <c r="C6" s="9" t="s">
        <v>3</v>
      </c>
      <c r="D6" s="360" t="s">
        <v>4</v>
      </c>
      <c r="E6" s="11" t="s">
        <v>5</v>
      </c>
      <c r="F6" s="11" t="s">
        <v>6</v>
      </c>
      <c r="I6" s="399" t="s">
        <v>358</v>
      </c>
      <c r="J6" s="400" t="s">
        <v>355</v>
      </c>
      <c r="K6" s="401" t="s">
        <v>359</v>
      </c>
    </row>
    <row r="7" spans="1:11" x14ac:dyDescent="0.25">
      <c r="A7" s="43"/>
      <c r="B7" s="273" t="s">
        <v>8</v>
      </c>
      <c r="C7" s="26">
        <f>+SUM(C8:C11)</f>
        <v>5902.2090000000007</v>
      </c>
      <c r="D7" s="26">
        <f>+SUM(D8:D11)</f>
        <v>4532678</v>
      </c>
      <c r="E7" s="28"/>
      <c r="F7" s="29"/>
      <c r="G7" s="45"/>
      <c r="I7" s="390"/>
      <c r="J7" s="387"/>
      <c r="K7" s="391"/>
    </row>
    <row r="8" spans="1:11" x14ac:dyDescent="0.25">
      <c r="A8" s="43"/>
      <c r="B8" s="107" t="s">
        <v>9</v>
      </c>
      <c r="C8" s="174">
        <v>111.04</v>
      </c>
      <c r="D8" s="174">
        <f>55520+55520</f>
        <v>111040</v>
      </c>
      <c r="E8" s="22">
        <v>92241</v>
      </c>
      <c r="F8" s="29" t="s">
        <v>10</v>
      </c>
      <c r="G8" s="45"/>
      <c r="I8" s="390"/>
      <c r="J8" s="389">
        <v>111040</v>
      </c>
      <c r="K8" s="391"/>
    </row>
    <row r="9" spans="1:11" x14ac:dyDescent="0.25">
      <c r="A9" s="43"/>
      <c r="B9" s="107" t="s">
        <v>11</v>
      </c>
      <c r="C9" s="174">
        <v>2001.1780000000001</v>
      </c>
      <c r="D9" s="174">
        <f>108171+109620+15221+509931+48588+64784+72882+72882+108171+109620+12241+82424+126687+134825+165995</f>
        <v>1742042</v>
      </c>
      <c r="E9" s="22">
        <v>92241</v>
      </c>
      <c r="F9" s="29" t="s">
        <v>10</v>
      </c>
      <c r="G9" s="384"/>
      <c r="H9" s="384"/>
      <c r="I9" s="390"/>
      <c r="J9" s="389">
        <v>1742042</v>
      </c>
      <c r="K9" s="391"/>
    </row>
    <row r="10" spans="1:11" x14ac:dyDescent="0.25">
      <c r="A10" s="43"/>
      <c r="B10" s="107" t="s">
        <v>12</v>
      </c>
      <c r="C10" s="174">
        <v>1575.905</v>
      </c>
      <c r="D10" s="174">
        <f>345411+345411+215860+215860</f>
        <v>1122542</v>
      </c>
      <c r="E10" s="22">
        <v>92241</v>
      </c>
      <c r="F10" s="29" t="s">
        <v>10</v>
      </c>
      <c r="G10" s="45"/>
      <c r="I10" s="390"/>
      <c r="J10" s="389">
        <v>1122542</v>
      </c>
      <c r="K10" s="391"/>
    </row>
    <row r="11" spans="1:11" x14ac:dyDescent="0.25">
      <c r="A11" s="43"/>
      <c r="B11" s="107" t="s">
        <v>13</v>
      </c>
      <c r="C11" s="174">
        <v>2214.0859999999998</v>
      </c>
      <c r="D11" s="174">
        <f>778527+778527</f>
        <v>1557054</v>
      </c>
      <c r="E11" s="22">
        <v>92241</v>
      </c>
      <c r="F11" s="29" t="s">
        <v>10</v>
      </c>
      <c r="G11" s="45">
        <f>+C11*1000-D11</f>
        <v>657032</v>
      </c>
      <c r="I11" s="390"/>
      <c r="J11" s="389">
        <f>+D11</f>
        <v>1557054</v>
      </c>
      <c r="K11" s="391"/>
    </row>
    <row r="12" spans="1:11" x14ac:dyDescent="0.25">
      <c r="A12" s="272"/>
      <c r="B12" s="107"/>
      <c r="C12" s="20"/>
      <c r="D12" s="20"/>
      <c r="E12" s="22"/>
      <c r="F12" s="29"/>
      <c r="G12" s="45"/>
      <c r="I12" s="390"/>
      <c r="J12" s="387"/>
      <c r="K12" s="391"/>
    </row>
    <row r="13" spans="1:11" x14ac:dyDescent="0.25">
      <c r="A13" s="272"/>
      <c r="B13" s="273" t="s">
        <v>14</v>
      </c>
      <c r="C13" s="30">
        <f>+SUM(C14:C24)</f>
        <v>40.727090000000004</v>
      </c>
      <c r="D13" s="30">
        <f>+SUM(D14:D24)</f>
        <v>40902.539999999994</v>
      </c>
      <c r="E13" s="22"/>
      <c r="F13" s="29"/>
      <c r="G13" s="45"/>
      <c r="I13" s="390"/>
      <c r="J13" s="387"/>
      <c r="K13" s="391"/>
    </row>
    <row r="14" spans="1:11" x14ac:dyDescent="0.25">
      <c r="A14" s="272">
        <v>42117</v>
      </c>
      <c r="B14" s="276" t="s">
        <v>146</v>
      </c>
      <c r="C14" s="20">
        <v>33.306150000000002</v>
      </c>
      <c r="D14" s="20">
        <v>33306.15</v>
      </c>
      <c r="E14" s="22">
        <v>90001</v>
      </c>
      <c r="F14" s="29">
        <v>4113</v>
      </c>
      <c r="G14" s="45"/>
      <c r="I14" s="390"/>
      <c r="J14" s="387"/>
      <c r="K14" s="391"/>
    </row>
    <row r="15" spans="1:11" x14ac:dyDescent="0.25">
      <c r="A15" s="272">
        <v>42194</v>
      </c>
      <c r="B15" s="276" t="s">
        <v>279</v>
      </c>
      <c r="C15" s="20">
        <v>5.5467000000000004</v>
      </c>
      <c r="D15" s="20">
        <v>5546.7</v>
      </c>
      <c r="E15" s="22">
        <v>90001</v>
      </c>
      <c r="F15" s="29">
        <v>4113</v>
      </c>
      <c r="G15" s="45"/>
      <c r="I15" s="390"/>
      <c r="J15" s="387"/>
      <c r="K15" s="391"/>
    </row>
    <row r="16" spans="1:11" x14ac:dyDescent="0.25">
      <c r="A16" s="272"/>
      <c r="B16" s="276"/>
      <c r="C16" s="20"/>
      <c r="D16" s="20"/>
      <c r="E16" s="22"/>
      <c r="F16" s="29">
        <v>4113</v>
      </c>
      <c r="G16" s="45"/>
      <c r="I16" s="390"/>
      <c r="J16" s="387"/>
      <c r="K16" s="391"/>
    </row>
    <row r="17" spans="1:11" x14ac:dyDescent="0.25">
      <c r="A17" s="272"/>
      <c r="B17" s="276"/>
      <c r="C17" s="20"/>
      <c r="D17" s="20"/>
      <c r="E17" s="22"/>
      <c r="F17" s="29">
        <v>4113</v>
      </c>
      <c r="G17" s="45"/>
      <c r="I17" s="390"/>
      <c r="J17" s="387"/>
      <c r="K17" s="391"/>
    </row>
    <row r="18" spans="1:11" x14ac:dyDescent="0.25">
      <c r="A18" s="272"/>
      <c r="B18" s="276"/>
      <c r="C18" s="20"/>
      <c r="D18" s="20"/>
      <c r="E18" s="22"/>
      <c r="F18" s="29">
        <v>4113</v>
      </c>
      <c r="G18" s="45"/>
      <c r="I18" s="390"/>
      <c r="J18" s="387"/>
      <c r="K18" s="391"/>
    </row>
    <row r="19" spans="1:11" x14ac:dyDescent="0.25">
      <c r="A19" s="272"/>
      <c r="B19" s="276"/>
      <c r="C19" s="20"/>
      <c r="D19" s="20"/>
      <c r="E19" s="22"/>
      <c r="F19" s="29">
        <v>4113</v>
      </c>
      <c r="G19" s="45"/>
      <c r="I19" s="390"/>
      <c r="J19" s="387"/>
      <c r="K19" s="391"/>
    </row>
    <row r="20" spans="1:11" x14ac:dyDescent="0.25">
      <c r="A20" s="272"/>
      <c r="B20" s="276"/>
      <c r="C20" s="20"/>
      <c r="D20" s="20"/>
      <c r="E20" s="22"/>
      <c r="F20" s="29">
        <v>4113</v>
      </c>
      <c r="G20" s="45"/>
      <c r="I20" s="390"/>
      <c r="J20" s="387"/>
      <c r="K20" s="391"/>
    </row>
    <row r="21" spans="1:11" x14ac:dyDescent="0.25">
      <c r="A21" s="272"/>
      <c r="B21" s="276"/>
      <c r="C21" s="20"/>
      <c r="D21" s="20"/>
      <c r="E21" s="22"/>
      <c r="F21" s="29">
        <v>4113</v>
      </c>
      <c r="G21" s="45"/>
      <c r="I21" s="390"/>
      <c r="J21" s="387"/>
      <c r="K21" s="391"/>
    </row>
    <row r="22" spans="1:11" x14ac:dyDescent="0.25">
      <c r="A22" s="272"/>
      <c r="B22" s="276" t="s">
        <v>446</v>
      </c>
      <c r="C22" s="174">
        <v>0</v>
      </c>
      <c r="D22" s="174">
        <v>175.45</v>
      </c>
      <c r="E22" s="22">
        <v>90001</v>
      </c>
      <c r="F22" s="29">
        <v>4113</v>
      </c>
      <c r="G22" s="45"/>
      <c r="I22" s="390"/>
      <c r="J22" s="387">
        <v>175.45</v>
      </c>
      <c r="K22" s="391"/>
    </row>
    <row r="23" spans="1:11" x14ac:dyDescent="0.25">
      <c r="A23" s="272"/>
      <c r="B23" s="276" t="s">
        <v>445</v>
      </c>
      <c r="C23" s="174">
        <v>1.8742399999999999</v>
      </c>
      <c r="D23" s="174">
        <v>1874.24</v>
      </c>
      <c r="E23" s="22">
        <v>90001</v>
      </c>
      <c r="F23" s="29">
        <v>4113</v>
      </c>
      <c r="G23" s="45"/>
      <c r="I23" s="390"/>
      <c r="J23" s="402">
        <v>1874.24</v>
      </c>
      <c r="K23" s="391"/>
    </row>
    <row r="24" spans="1:11" x14ac:dyDescent="0.25">
      <c r="A24" s="272"/>
      <c r="B24" s="276"/>
      <c r="C24" s="20"/>
      <c r="D24" s="20"/>
      <c r="E24" s="22"/>
      <c r="F24" s="29">
        <v>4113</v>
      </c>
      <c r="G24" s="45"/>
      <c r="I24" s="390"/>
      <c r="J24" s="387"/>
      <c r="K24" s="391"/>
    </row>
    <row r="25" spans="1:11" x14ac:dyDescent="0.25">
      <c r="A25" s="272"/>
      <c r="B25" s="107"/>
      <c r="C25" s="20"/>
      <c r="D25" s="20"/>
      <c r="E25" s="22"/>
      <c r="F25" s="29"/>
      <c r="G25" s="45"/>
      <c r="I25" s="390"/>
      <c r="J25" s="387"/>
      <c r="K25" s="391"/>
    </row>
    <row r="26" spans="1:11" x14ac:dyDescent="0.25">
      <c r="A26" s="272"/>
      <c r="B26" s="273" t="s">
        <v>15</v>
      </c>
      <c r="C26" s="30">
        <f>+C27+C28</f>
        <v>6.8916700000000004</v>
      </c>
      <c r="D26" s="30">
        <f>+D27+D28</f>
        <v>6891.67</v>
      </c>
      <c r="E26" s="22"/>
      <c r="F26" s="29"/>
      <c r="G26" s="45"/>
      <c r="I26" s="390"/>
      <c r="J26" s="387"/>
      <c r="K26" s="391"/>
    </row>
    <row r="27" spans="1:11" x14ac:dyDescent="0.25">
      <c r="A27" s="272"/>
      <c r="B27" s="107" t="s">
        <v>395</v>
      </c>
      <c r="C27" s="174">
        <v>4.5358200000000002</v>
      </c>
      <c r="D27" s="174">
        <v>4535.82</v>
      </c>
      <c r="E27" s="22">
        <v>89450</v>
      </c>
      <c r="F27" s="29">
        <v>4113</v>
      </c>
      <c r="G27" s="45"/>
      <c r="I27" s="390"/>
      <c r="J27" s="402">
        <v>4535.82</v>
      </c>
      <c r="K27" s="391"/>
    </row>
    <row r="28" spans="1:11" x14ac:dyDescent="0.25">
      <c r="A28" s="272"/>
      <c r="B28" s="107" t="s">
        <v>394</v>
      </c>
      <c r="C28" s="174">
        <v>2.3558500000000002</v>
      </c>
      <c r="D28" s="174">
        <v>2355.85</v>
      </c>
      <c r="E28" s="22">
        <v>89023</v>
      </c>
      <c r="F28" s="29">
        <v>4113</v>
      </c>
      <c r="G28" s="384"/>
      <c r="H28" s="384"/>
      <c r="I28" s="390"/>
      <c r="J28" s="387">
        <v>2355.85</v>
      </c>
      <c r="K28" s="391"/>
    </row>
    <row r="29" spans="1:11" x14ac:dyDescent="0.25">
      <c r="A29" s="272"/>
      <c r="B29" s="278"/>
      <c r="C29" s="20"/>
      <c r="D29" s="422"/>
      <c r="E29" s="161"/>
      <c r="F29" s="22"/>
      <c r="G29" s="45"/>
      <c r="I29" s="390"/>
      <c r="J29" s="387"/>
      <c r="K29" s="391"/>
    </row>
    <row r="30" spans="1:11" s="275" customFormat="1" x14ac:dyDescent="0.25">
      <c r="A30" s="272"/>
      <c r="B30" s="273" t="s">
        <v>17</v>
      </c>
      <c r="C30" s="13">
        <f>SUM(C31:C58)</f>
        <v>21611.022999999997</v>
      </c>
      <c r="D30" s="30">
        <f>SUM(D31:D58)</f>
        <v>17031175</v>
      </c>
      <c r="E30" s="33"/>
      <c r="F30" s="16"/>
      <c r="G30" s="45"/>
      <c r="H30" s="45"/>
      <c r="I30" s="390"/>
      <c r="J30" s="388"/>
      <c r="K30" s="393"/>
    </row>
    <row r="31" spans="1:11" x14ac:dyDescent="0.25">
      <c r="A31" s="43">
        <v>42053</v>
      </c>
      <c r="B31" s="107" t="s">
        <v>37</v>
      </c>
      <c r="C31" s="37">
        <v>3744</v>
      </c>
      <c r="D31" s="20">
        <v>3744000</v>
      </c>
      <c r="E31" s="34">
        <v>13010</v>
      </c>
      <c r="F31" s="29">
        <v>4116</v>
      </c>
      <c r="G31" s="45"/>
      <c r="I31" s="390"/>
      <c r="J31" s="387"/>
      <c r="K31" s="391"/>
    </row>
    <row r="32" spans="1:11" x14ac:dyDescent="0.25">
      <c r="A32" s="272">
        <v>42123</v>
      </c>
      <c r="B32" s="107" t="s">
        <v>37</v>
      </c>
      <c r="C32" s="20">
        <v>8</v>
      </c>
      <c r="D32" s="20">
        <v>8000</v>
      </c>
      <c r="E32" s="34">
        <v>13010</v>
      </c>
      <c r="F32" s="29">
        <v>4116</v>
      </c>
      <c r="G32" s="45"/>
      <c r="I32" s="390"/>
      <c r="J32" s="387"/>
      <c r="K32" s="391"/>
    </row>
    <row r="33" spans="1:11" x14ac:dyDescent="0.25">
      <c r="A33" s="272">
        <v>42152</v>
      </c>
      <c r="B33" s="107" t="s">
        <v>37</v>
      </c>
      <c r="C33" s="20">
        <v>12</v>
      </c>
      <c r="D33" s="20">
        <v>12000</v>
      </c>
      <c r="E33" s="34">
        <v>13010</v>
      </c>
      <c r="F33" s="29">
        <v>4116</v>
      </c>
      <c r="G33" s="45"/>
      <c r="I33" s="390"/>
      <c r="J33" s="387"/>
      <c r="K33" s="391"/>
    </row>
    <row r="34" spans="1:11" s="275" customFormat="1" x14ac:dyDescent="0.25">
      <c r="A34" s="272">
        <v>42184</v>
      </c>
      <c r="B34" s="107" t="s">
        <v>37</v>
      </c>
      <c r="C34" s="20">
        <v>44</v>
      </c>
      <c r="D34" s="20">
        <v>44000</v>
      </c>
      <c r="E34" s="34">
        <v>13010</v>
      </c>
      <c r="F34" s="29">
        <v>4116</v>
      </c>
      <c r="G34" s="45"/>
      <c r="H34" s="45"/>
      <c r="I34" s="390"/>
      <c r="J34" s="388"/>
      <c r="K34" s="393"/>
    </row>
    <row r="35" spans="1:11" x14ac:dyDescent="0.25">
      <c r="A35" s="43">
        <v>42201</v>
      </c>
      <c r="B35" s="107" t="s">
        <v>37</v>
      </c>
      <c r="C35" s="20">
        <v>32</v>
      </c>
      <c r="D35" s="20">
        <v>32000</v>
      </c>
      <c r="E35" s="34">
        <v>13010</v>
      </c>
      <c r="F35" s="29">
        <v>4116</v>
      </c>
      <c r="G35" s="45"/>
      <c r="I35" s="390"/>
      <c r="J35" s="387"/>
      <c r="K35" s="391"/>
    </row>
    <row r="36" spans="1:11" x14ac:dyDescent="0.25">
      <c r="A36" s="43">
        <v>42283</v>
      </c>
      <c r="B36" s="107" t="s">
        <v>424</v>
      </c>
      <c r="C36" s="20">
        <v>-28</v>
      </c>
      <c r="D36" s="20">
        <v>-28000</v>
      </c>
      <c r="E36" s="34">
        <v>13010</v>
      </c>
      <c r="F36" s="29">
        <v>4116</v>
      </c>
      <c r="G36" s="45"/>
      <c r="I36" s="390"/>
      <c r="J36" s="387"/>
      <c r="K36" s="391"/>
    </row>
    <row r="37" spans="1:11" x14ac:dyDescent="0.25">
      <c r="A37" s="43"/>
      <c r="B37" s="107" t="s">
        <v>37</v>
      </c>
      <c r="C37" s="20"/>
      <c r="D37" s="20"/>
      <c r="E37" s="34">
        <v>13010</v>
      </c>
      <c r="F37" s="29">
        <v>4116</v>
      </c>
      <c r="G37" s="45">
        <v>20000</v>
      </c>
      <c r="I37" s="390"/>
      <c r="J37" s="387"/>
      <c r="K37" s="391"/>
    </row>
    <row r="38" spans="1:11" x14ac:dyDescent="0.25">
      <c r="A38" s="43"/>
      <c r="B38" s="107" t="s">
        <v>37</v>
      </c>
      <c r="C38" s="20"/>
      <c r="D38" s="20"/>
      <c r="E38" s="34">
        <v>13010</v>
      </c>
      <c r="F38" s="29">
        <v>4116</v>
      </c>
      <c r="G38" s="45">
        <v>16000</v>
      </c>
      <c r="I38" s="390"/>
      <c r="J38" s="387"/>
      <c r="K38" s="391"/>
    </row>
    <row r="39" spans="1:11" x14ac:dyDescent="0.25">
      <c r="A39" s="43"/>
      <c r="B39" s="107" t="s">
        <v>411</v>
      </c>
      <c r="C39" s="174">
        <v>10.7</v>
      </c>
      <c r="D39" s="174">
        <v>20904</v>
      </c>
      <c r="E39" s="34">
        <v>13013</v>
      </c>
      <c r="F39" s="29">
        <v>4116</v>
      </c>
      <c r="G39" s="384" t="s">
        <v>358</v>
      </c>
      <c r="I39" s="390">
        <f>+D39</f>
        <v>20904</v>
      </c>
      <c r="J39" s="387"/>
      <c r="K39" s="391"/>
    </row>
    <row r="40" spans="1:11" x14ac:dyDescent="0.25">
      <c r="A40" s="43"/>
      <c r="B40" s="107" t="s">
        <v>568</v>
      </c>
      <c r="C40" s="174"/>
      <c r="D40" s="174">
        <v>14000</v>
      </c>
      <c r="E40" s="34">
        <v>13013</v>
      </c>
      <c r="F40" s="29">
        <v>4116</v>
      </c>
      <c r="G40" s="384" t="s">
        <v>358</v>
      </c>
      <c r="I40" s="390">
        <f t="shared" ref="I40:I56" si="0">+D40</f>
        <v>14000</v>
      </c>
      <c r="J40" s="387"/>
      <c r="K40" s="391"/>
    </row>
    <row r="41" spans="1:11" x14ac:dyDescent="0.25">
      <c r="A41" s="43"/>
      <c r="B41" s="107" t="s">
        <v>97</v>
      </c>
      <c r="C41" s="174">
        <v>267</v>
      </c>
      <c r="D41" s="174">
        <v>300369</v>
      </c>
      <c r="E41" s="34">
        <v>13101</v>
      </c>
      <c r="F41" s="29">
        <v>4116</v>
      </c>
      <c r="G41" s="384" t="s">
        <v>358</v>
      </c>
      <c r="I41" s="390">
        <f t="shared" si="0"/>
        <v>300369</v>
      </c>
      <c r="J41" s="387"/>
      <c r="K41" s="391"/>
    </row>
    <row r="42" spans="1:11" x14ac:dyDescent="0.25">
      <c r="A42" s="43"/>
      <c r="B42" s="107" t="s">
        <v>65</v>
      </c>
      <c r="C42" s="174">
        <v>58</v>
      </c>
      <c r="D42" s="174">
        <f>40896+16866</f>
        <v>57762</v>
      </c>
      <c r="E42" s="34">
        <v>13101</v>
      </c>
      <c r="F42" s="29" t="s">
        <v>18</v>
      </c>
      <c r="G42" s="384" t="s">
        <v>358</v>
      </c>
      <c r="I42" s="390">
        <f t="shared" si="0"/>
        <v>57762</v>
      </c>
      <c r="J42" s="387"/>
      <c r="K42" s="391"/>
    </row>
    <row r="43" spans="1:11" x14ac:dyDescent="0.25">
      <c r="A43" s="43"/>
      <c r="B43" s="107" t="s">
        <v>98</v>
      </c>
      <c r="C43" s="174">
        <v>484.274</v>
      </c>
      <c r="D43" s="174">
        <v>484274</v>
      </c>
      <c r="E43" s="35">
        <v>13101</v>
      </c>
      <c r="F43" s="36">
        <v>4116</v>
      </c>
      <c r="G43" s="384" t="s">
        <v>358</v>
      </c>
      <c r="I43" s="390">
        <f t="shared" si="0"/>
        <v>484274</v>
      </c>
      <c r="J43" s="387"/>
      <c r="K43" s="391"/>
    </row>
    <row r="44" spans="1:11" s="275" customFormat="1" x14ac:dyDescent="0.25">
      <c r="A44" s="272"/>
      <c r="B44" s="107" t="s">
        <v>99</v>
      </c>
      <c r="C44" s="174">
        <v>22</v>
      </c>
      <c r="D44" s="174">
        <v>22000</v>
      </c>
      <c r="E44" s="35">
        <v>13101</v>
      </c>
      <c r="F44" s="36">
        <v>4116</v>
      </c>
      <c r="G44" s="384" t="s">
        <v>358</v>
      </c>
      <c r="H44" s="45"/>
      <c r="I44" s="390">
        <f t="shared" si="0"/>
        <v>22000</v>
      </c>
      <c r="J44" s="388"/>
      <c r="K44" s="393"/>
    </row>
    <row r="45" spans="1:11" s="275" customFormat="1" x14ac:dyDescent="0.25">
      <c r="A45" s="272"/>
      <c r="B45" s="107" t="s">
        <v>19</v>
      </c>
      <c r="C45" s="174">
        <v>60</v>
      </c>
      <c r="D45" s="174">
        <v>54643</v>
      </c>
      <c r="E45" s="34">
        <v>13234</v>
      </c>
      <c r="F45" s="29">
        <v>4116</v>
      </c>
      <c r="G45" s="384" t="s">
        <v>358</v>
      </c>
      <c r="H45" s="45"/>
      <c r="I45" s="390">
        <f t="shared" si="0"/>
        <v>54643</v>
      </c>
      <c r="J45" s="388"/>
      <c r="K45" s="393"/>
    </row>
    <row r="46" spans="1:11" s="275" customFormat="1" x14ac:dyDescent="0.25">
      <c r="A46" s="272"/>
      <c r="B46" s="107" t="s">
        <v>20</v>
      </c>
      <c r="C46" s="174">
        <v>290</v>
      </c>
      <c r="D46" s="174">
        <v>212531</v>
      </c>
      <c r="E46" s="34">
        <v>13234</v>
      </c>
      <c r="F46" s="29">
        <v>4116</v>
      </c>
      <c r="G46" s="384" t="s">
        <v>358</v>
      </c>
      <c r="H46" s="45"/>
      <c r="I46" s="390">
        <f t="shared" si="0"/>
        <v>212531</v>
      </c>
      <c r="J46" s="388"/>
      <c r="K46" s="393"/>
    </row>
    <row r="47" spans="1:11" s="275" customFormat="1" x14ac:dyDescent="0.25">
      <c r="A47" s="272"/>
      <c r="B47" s="107" t="s">
        <v>23</v>
      </c>
      <c r="C47" s="174">
        <v>87.9</v>
      </c>
      <c r="D47" s="174">
        <v>87594</v>
      </c>
      <c r="E47" s="34">
        <v>13234</v>
      </c>
      <c r="F47" s="29">
        <v>4116</v>
      </c>
      <c r="G47" s="384" t="s">
        <v>358</v>
      </c>
      <c r="H47" s="45"/>
      <c r="I47" s="390">
        <f t="shared" si="0"/>
        <v>87594</v>
      </c>
      <c r="J47" s="388"/>
      <c r="K47" s="393"/>
    </row>
    <row r="48" spans="1:11" s="275" customFormat="1" x14ac:dyDescent="0.25">
      <c r="A48" s="272"/>
      <c r="B48" s="107" t="s">
        <v>22</v>
      </c>
      <c r="C48" s="174">
        <v>264</v>
      </c>
      <c r="D48" s="174">
        <v>198000</v>
      </c>
      <c r="E48" s="34">
        <v>13234</v>
      </c>
      <c r="F48" s="29">
        <v>4116</v>
      </c>
      <c r="G48" s="384" t="s">
        <v>358</v>
      </c>
      <c r="H48" s="45"/>
      <c r="I48" s="390">
        <f t="shared" si="0"/>
        <v>198000</v>
      </c>
      <c r="J48" s="388"/>
      <c r="K48" s="393"/>
    </row>
    <row r="49" spans="1:11" s="275" customFormat="1" x14ac:dyDescent="0.25">
      <c r="A49" s="272"/>
      <c r="B49" s="107" t="s">
        <v>67</v>
      </c>
      <c r="C49" s="174">
        <v>171.72300000000001</v>
      </c>
      <c r="D49" s="174">
        <f>86069+44000+41655</f>
        <v>171724</v>
      </c>
      <c r="E49" s="34">
        <v>13234</v>
      </c>
      <c r="F49" s="29">
        <v>4116</v>
      </c>
      <c r="G49" s="384" t="s">
        <v>358</v>
      </c>
      <c r="H49" s="45"/>
      <c r="I49" s="390">
        <f t="shared" si="0"/>
        <v>171724</v>
      </c>
      <c r="J49" s="388"/>
      <c r="K49" s="393"/>
    </row>
    <row r="50" spans="1:11" s="275" customFormat="1" x14ac:dyDescent="0.25">
      <c r="A50" s="272"/>
      <c r="B50" s="107" t="s">
        <v>25</v>
      </c>
      <c r="C50" s="174">
        <v>1705.0060000000001</v>
      </c>
      <c r="D50" s="174">
        <v>908975</v>
      </c>
      <c r="E50" s="34">
        <v>13234</v>
      </c>
      <c r="F50" s="29">
        <v>4116</v>
      </c>
      <c r="G50" s="384" t="s">
        <v>358</v>
      </c>
      <c r="H50" s="45"/>
      <c r="I50" s="390">
        <f t="shared" si="0"/>
        <v>908975</v>
      </c>
      <c r="J50" s="388"/>
      <c r="K50" s="393"/>
    </row>
    <row r="51" spans="1:11" s="275" customFormat="1" x14ac:dyDescent="0.25">
      <c r="A51" s="272"/>
      <c r="B51" s="107" t="s">
        <v>26</v>
      </c>
      <c r="C51" s="174"/>
      <c r="D51" s="174">
        <v>329508</v>
      </c>
      <c r="E51" s="34">
        <v>13234</v>
      </c>
      <c r="F51" s="29">
        <v>4116</v>
      </c>
      <c r="G51" s="384" t="s">
        <v>358</v>
      </c>
      <c r="H51" s="45"/>
      <c r="I51" s="390">
        <f t="shared" si="0"/>
        <v>329508</v>
      </c>
      <c r="J51" s="388"/>
      <c r="K51" s="393"/>
    </row>
    <row r="52" spans="1:11" x14ac:dyDescent="0.25">
      <c r="A52" s="43"/>
      <c r="B52" s="107" t="s">
        <v>28</v>
      </c>
      <c r="C52" s="174">
        <v>5376</v>
      </c>
      <c r="D52" s="174">
        <v>3050667</v>
      </c>
      <c r="E52" s="35">
        <v>13234</v>
      </c>
      <c r="F52" s="29">
        <v>4116</v>
      </c>
      <c r="G52" s="384" t="s">
        <v>358</v>
      </c>
      <c r="I52" s="390">
        <f t="shared" si="0"/>
        <v>3050667</v>
      </c>
      <c r="J52" s="387"/>
      <c r="K52" s="391"/>
    </row>
    <row r="53" spans="1:11" s="275" customFormat="1" x14ac:dyDescent="0.25">
      <c r="A53" s="272"/>
      <c r="B53" s="107" t="s">
        <v>24</v>
      </c>
      <c r="C53" s="174">
        <v>8590</v>
      </c>
      <c r="D53" s="174">
        <v>7044940</v>
      </c>
      <c r="E53" s="34">
        <v>13234</v>
      </c>
      <c r="F53" s="29">
        <v>4116</v>
      </c>
      <c r="G53" s="384" t="s">
        <v>358</v>
      </c>
      <c r="H53" s="45"/>
      <c r="I53" s="390">
        <f t="shared" si="0"/>
        <v>7044940</v>
      </c>
      <c r="J53" s="388"/>
      <c r="K53" s="393"/>
    </row>
    <row r="54" spans="1:11" x14ac:dyDescent="0.25">
      <c r="A54" s="43"/>
      <c r="B54" s="107" t="s">
        <v>66</v>
      </c>
      <c r="C54" s="174">
        <f>55+98</f>
        <v>153</v>
      </c>
      <c r="D54" s="174">
        <v>102133</v>
      </c>
      <c r="E54" s="35">
        <v>13234</v>
      </c>
      <c r="F54" s="36">
        <v>4116</v>
      </c>
      <c r="G54" s="384" t="s">
        <v>358</v>
      </c>
      <c r="I54" s="390">
        <f t="shared" si="0"/>
        <v>102133</v>
      </c>
      <c r="J54" s="387"/>
      <c r="K54" s="391"/>
    </row>
    <row r="55" spans="1:11" x14ac:dyDescent="0.25">
      <c r="A55" s="43"/>
      <c r="B55" s="107" t="s">
        <v>31</v>
      </c>
      <c r="C55" s="174">
        <v>252</v>
      </c>
      <c r="D55" s="174">
        <v>151731</v>
      </c>
      <c r="E55" s="35">
        <v>13234</v>
      </c>
      <c r="F55" s="36">
        <v>4116</v>
      </c>
      <c r="G55" s="384" t="s">
        <v>358</v>
      </c>
      <c r="I55" s="390">
        <f t="shared" si="0"/>
        <v>151731</v>
      </c>
      <c r="J55" s="387"/>
      <c r="K55" s="391"/>
    </row>
    <row r="56" spans="1:11" x14ac:dyDescent="0.25">
      <c r="A56" s="43"/>
      <c r="B56" s="107" t="s">
        <v>21</v>
      </c>
      <c r="C56" s="174">
        <v>7.42</v>
      </c>
      <c r="D56" s="174">
        <v>7420</v>
      </c>
      <c r="E56" s="35">
        <v>13234</v>
      </c>
      <c r="F56" s="29" t="s">
        <v>18</v>
      </c>
      <c r="G56" s="384" t="s">
        <v>358</v>
      </c>
      <c r="I56" s="390">
        <f t="shared" si="0"/>
        <v>7420</v>
      </c>
      <c r="J56" s="387"/>
      <c r="K56" s="391"/>
    </row>
    <row r="57" spans="1:11" x14ac:dyDescent="0.25">
      <c r="A57" s="43"/>
      <c r="B57" s="107" t="s">
        <v>30</v>
      </c>
      <c r="C57" s="174"/>
      <c r="D57" s="174"/>
      <c r="E57" s="35"/>
      <c r="F57" s="36">
        <v>4116</v>
      </c>
      <c r="G57" s="45"/>
      <c r="I57" s="390"/>
      <c r="J57" s="387"/>
      <c r="K57" s="391"/>
    </row>
    <row r="58" spans="1:11" x14ac:dyDescent="0.25">
      <c r="A58" s="43"/>
      <c r="B58" s="107" t="s">
        <v>32</v>
      </c>
      <c r="C58" s="174"/>
      <c r="D58" s="174"/>
      <c r="E58" s="35"/>
      <c r="F58" s="36"/>
      <c r="G58" s="45"/>
      <c r="I58" s="390"/>
      <c r="J58" s="387"/>
      <c r="K58" s="391"/>
    </row>
    <row r="59" spans="1:11" x14ac:dyDescent="0.25">
      <c r="A59" s="43"/>
      <c r="B59" s="44"/>
      <c r="C59" s="37"/>
      <c r="D59" s="20"/>
      <c r="E59" s="35"/>
      <c r="F59" s="36"/>
      <c r="G59" s="45"/>
      <c r="I59" s="390"/>
      <c r="J59" s="387"/>
      <c r="K59" s="391"/>
    </row>
    <row r="60" spans="1:11" x14ac:dyDescent="0.25">
      <c r="A60" s="43"/>
      <c r="B60" s="285" t="s">
        <v>116</v>
      </c>
      <c r="C60" s="39">
        <f>+SUM(C61:C63)</f>
        <v>36.299999999999997</v>
      </c>
      <c r="D60" s="39">
        <f>+SUM(D61:D63)</f>
        <v>36300</v>
      </c>
      <c r="E60" s="29"/>
      <c r="F60" s="36"/>
      <c r="G60" s="45"/>
      <c r="I60" s="390"/>
      <c r="J60" s="387"/>
      <c r="K60" s="391"/>
    </row>
    <row r="61" spans="1:11" x14ac:dyDescent="0.25">
      <c r="A61" s="43">
        <v>42066</v>
      </c>
      <c r="B61" s="107" t="s">
        <v>115</v>
      </c>
      <c r="C61" s="20">
        <v>36.299999999999997</v>
      </c>
      <c r="D61" s="20">
        <v>36300</v>
      </c>
      <c r="E61" s="41">
        <v>27003</v>
      </c>
      <c r="F61" s="36">
        <v>4116</v>
      </c>
      <c r="G61" s="45"/>
      <c r="I61" s="390"/>
      <c r="J61" s="387"/>
      <c r="K61" s="391"/>
    </row>
    <row r="62" spans="1:11" x14ac:dyDescent="0.25">
      <c r="A62" s="287"/>
      <c r="B62" s="107"/>
      <c r="C62" s="20"/>
      <c r="D62" s="20"/>
      <c r="E62" s="36"/>
      <c r="F62" s="36">
        <v>4116</v>
      </c>
      <c r="G62" s="45"/>
      <c r="I62" s="390"/>
      <c r="J62" s="387"/>
      <c r="K62" s="391"/>
    </row>
    <row r="63" spans="1:11" x14ac:dyDescent="0.25">
      <c r="A63" s="287"/>
      <c r="B63" s="107"/>
      <c r="C63" s="20"/>
      <c r="D63" s="20"/>
      <c r="E63" s="36"/>
      <c r="F63" s="36">
        <v>4116</v>
      </c>
      <c r="G63" s="45"/>
      <c r="I63" s="390"/>
      <c r="J63" s="387"/>
      <c r="K63" s="391"/>
    </row>
    <row r="64" spans="1:11" x14ac:dyDescent="0.25">
      <c r="A64" s="43"/>
      <c r="B64" s="285" t="s">
        <v>33</v>
      </c>
      <c r="C64" s="39">
        <f>+SUM(C65:C102)</f>
        <v>24682</v>
      </c>
      <c r="D64" s="39">
        <f>+SUM(D65:D102)</f>
        <v>24682000</v>
      </c>
      <c r="E64" s="29"/>
      <c r="F64" s="36"/>
      <c r="G64" s="45"/>
      <c r="I64" s="390"/>
      <c r="J64" s="387"/>
      <c r="K64" s="391"/>
    </row>
    <row r="65" spans="1:11" x14ac:dyDescent="0.25">
      <c r="A65" s="43">
        <v>42086</v>
      </c>
      <c r="B65" s="107" t="s">
        <v>122</v>
      </c>
      <c r="C65" s="20">
        <v>80</v>
      </c>
      <c r="D65" s="21">
        <v>80000</v>
      </c>
      <c r="E65" s="29">
        <v>34070</v>
      </c>
      <c r="F65" s="29">
        <v>4116</v>
      </c>
      <c r="G65" s="45"/>
      <c r="I65" s="390"/>
      <c r="J65" s="387"/>
      <c r="K65" s="391"/>
    </row>
    <row r="66" spans="1:11" x14ac:dyDescent="0.25">
      <c r="A66" s="43">
        <v>42116</v>
      </c>
      <c r="B66" s="107" t="s">
        <v>266</v>
      </c>
      <c r="C66" s="20">
        <v>25</v>
      </c>
      <c r="D66" s="21">
        <v>25000</v>
      </c>
      <c r="E66" s="29">
        <v>34070</v>
      </c>
      <c r="F66" s="29">
        <v>4116</v>
      </c>
      <c r="G66" s="45"/>
      <c r="I66" s="390"/>
      <c r="J66" s="387"/>
      <c r="K66" s="391"/>
    </row>
    <row r="67" spans="1:11" x14ac:dyDescent="0.25">
      <c r="A67" s="43">
        <v>42116</v>
      </c>
      <c r="B67" s="107" t="s">
        <v>143</v>
      </c>
      <c r="C67" s="20">
        <v>18</v>
      </c>
      <c r="D67" s="21">
        <v>18000</v>
      </c>
      <c r="E67" s="29">
        <v>34070</v>
      </c>
      <c r="F67" s="29">
        <v>4116</v>
      </c>
      <c r="G67" s="45"/>
      <c r="I67" s="390"/>
      <c r="J67" s="387"/>
      <c r="K67" s="391"/>
    </row>
    <row r="68" spans="1:11" x14ac:dyDescent="0.25">
      <c r="A68" s="43">
        <v>42116</v>
      </c>
      <c r="B68" s="107" t="s">
        <v>173</v>
      </c>
      <c r="C68" s="20">
        <v>20</v>
      </c>
      <c r="D68" s="21">
        <v>20000</v>
      </c>
      <c r="E68" s="29">
        <v>34070</v>
      </c>
      <c r="F68" s="29">
        <v>4116</v>
      </c>
      <c r="G68" s="45"/>
      <c r="I68" s="390"/>
      <c r="J68" s="387"/>
      <c r="K68" s="391"/>
    </row>
    <row r="69" spans="1:11" x14ac:dyDescent="0.25">
      <c r="A69" s="43">
        <v>42128</v>
      </c>
      <c r="B69" s="107" t="s">
        <v>172</v>
      </c>
      <c r="C69" s="20">
        <v>45</v>
      </c>
      <c r="D69" s="21">
        <v>45000</v>
      </c>
      <c r="E69" s="29">
        <v>34053</v>
      </c>
      <c r="F69" s="29">
        <v>4116</v>
      </c>
      <c r="G69" s="45"/>
      <c r="I69" s="390"/>
      <c r="J69" s="387"/>
      <c r="K69" s="391"/>
    </row>
    <row r="70" spans="1:11" x14ac:dyDescent="0.25">
      <c r="A70" s="43">
        <v>42135</v>
      </c>
      <c r="B70" s="107" t="s">
        <v>175</v>
      </c>
      <c r="C70" s="20">
        <v>600</v>
      </c>
      <c r="D70" s="21">
        <v>600000</v>
      </c>
      <c r="E70" s="29">
        <v>34070</v>
      </c>
      <c r="F70" s="29">
        <v>4116</v>
      </c>
      <c r="G70" s="45">
        <f>4768+514</f>
        <v>5282</v>
      </c>
      <c r="I70" s="390"/>
      <c r="J70" s="387"/>
      <c r="K70" s="391"/>
    </row>
    <row r="71" spans="1:11" x14ac:dyDescent="0.25">
      <c r="A71" s="43">
        <v>42135</v>
      </c>
      <c r="B71" s="107" t="s">
        <v>176</v>
      </c>
      <c r="C71" s="20">
        <v>70</v>
      </c>
      <c r="D71" s="21">
        <v>70000</v>
      </c>
      <c r="E71" s="29">
        <v>34070</v>
      </c>
      <c r="F71" s="29">
        <v>4116</v>
      </c>
      <c r="G71" s="45">
        <v>5360</v>
      </c>
      <c r="I71" s="390"/>
      <c r="J71" s="387"/>
      <c r="K71" s="391"/>
    </row>
    <row r="72" spans="1:11" x14ac:dyDescent="0.25">
      <c r="A72" s="43">
        <v>42136</v>
      </c>
      <c r="B72" s="107" t="s">
        <v>177</v>
      </c>
      <c r="C72" s="20">
        <v>120</v>
      </c>
      <c r="D72" s="21">
        <v>120000</v>
      </c>
      <c r="E72" s="29">
        <v>34070</v>
      </c>
      <c r="F72" s="29">
        <v>4116</v>
      </c>
      <c r="G72" s="45">
        <f>+G70-G71</f>
        <v>-78</v>
      </c>
      <c r="I72" s="390"/>
      <c r="J72" s="387"/>
      <c r="K72" s="391"/>
    </row>
    <row r="73" spans="1:11" x14ac:dyDescent="0.25">
      <c r="A73" s="43">
        <v>42136</v>
      </c>
      <c r="B73" s="107" t="s">
        <v>178</v>
      </c>
      <c r="C73" s="20">
        <v>340</v>
      </c>
      <c r="D73" s="21">
        <v>340000</v>
      </c>
      <c r="E73" s="29">
        <v>34070</v>
      </c>
      <c r="F73" s="29">
        <v>4116</v>
      </c>
      <c r="G73" s="45"/>
      <c r="I73" s="390"/>
      <c r="J73" s="387"/>
      <c r="K73" s="391"/>
    </row>
    <row r="74" spans="1:11" x14ac:dyDescent="0.25">
      <c r="A74" s="43">
        <v>42136</v>
      </c>
      <c r="B74" s="107" t="s">
        <v>179</v>
      </c>
      <c r="C74" s="20">
        <v>320</v>
      </c>
      <c r="D74" s="21">
        <v>320000</v>
      </c>
      <c r="E74" s="29">
        <v>34070</v>
      </c>
      <c r="F74" s="29">
        <v>4116</v>
      </c>
      <c r="G74" s="45"/>
      <c r="I74" s="390"/>
      <c r="J74" s="387"/>
      <c r="K74" s="391"/>
    </row>
    <row r="75" spans="1:11" x14ac:dyDescent="0.25">
      <c r="A75" s="43">
        <v>42143</v>
      </c>
      <c r="B75" s="107" t="s">
        <v>194</v>
      </c>
      <c r="C75" s="20">
        <v>95</v>
      </c>
      <c r="D75" s="21">
        <v>95000</v>
      </c>
      <c r="E75" s="29">
        <v>34070</v>
      </c>
      <c r="F75" s="29">
        <v>4116</v>
      </c>
      <c r="G75" s="45"/>
      <c r="I75" s="390"/>
      <c r="J75" s="387"/>
      <c r="K75" s="391"/>
    </row>
    <row r="76" spans="1:11" x14ac:dyDescent="0.25">
      <c r="A76" s="43">
        <v>42143</v>
      </c>
      <c r="B76" s="107" t="s">
        <v>195</v>
      </c>
      <c r="C76" s="20">
        <v>30</v>
      </c>
      <c r="D76" s="21">
        <v>30000</v>
      </c>
      <c r="E76" s="29">
        <v>34194</v>
      </c>
      <c r="F76" s="29">
        <v>4116</v>
      </c>
      <c r="G76" s="45"/>
      <c r="I76" s="390"/>
      <c r="J76" s="387"/>
      <c r="K76" s="391"/>
    </row>
    <row r="77" spans="1:11" x14ac:dyDescent="0.25">
      <c r="A77" s="43">
        <v>42143</v>
      </c>
      <c r="B77" s="107" t="s">
        <v>197</v>
      </c>
      <c r="C77" s="20">
        <v>750</v>
      </c>
      <c r="D77" s="21">
        <v>750000</v>
      </c>
      <c r="E77" s="29">
        <v>34070</v>
      </c>
      <c r="F77" s="29">
        <v>4116</v>
      </c>
      <c r="G77" s="45"/>
      <c r="I77" s="390"/>
      <c r="J77" s="387"/>
      <c r="K77" s="391"/>
    </row>
    <row r="78" spans="1:11" x14ac:dyDescent="0.25">
      <c r="A78" s="43">
        <v>42144</v>
      </c>
      <c r="B78" s="107" t="s">
        <v>199</v>
      </c>
      <c r="C78" s="20">
        <v>64</v>
      </c>
      <c r="D78" s="20">
        <v>64000</v>
      </c>
      <c r="E78" s="29">
        <v>34053</v>
      </c>
      <c r="F78" s="29">
        <v>4116</v>
      </c>
      <c r="G78" s="45"/>
      <c r="I78" s="390"/>
      <c r="J78" s="387"/>
      <c r="K78" s="391"/>
    </row>
    <row r="79" spans="1:11" x14ac:dyDescent="0.25">
      <c r="A79" s="43">
        <v>42144</v>
      </c>
      <c r="B79" s="107" t="s">
        <v>198</v>
      </c>
      <c r="C79" s="20">
        <v>45</v>
      </c>
      <c r="D79" s="20">
        <v>45000</v>
      </c>
      <c r="E79" s="29">
        <v>34053</v>
      </c>
      <c r="F79" s="29">
        <v>4116</v>
      </c>
      <c r="G79" s="45"/>
      <c r="I79" s="390"/>
      <c r="J79" s="387"/>
      <c r="K79" s="391"/>
    </row>
    <row r="80" spans="1:11" x14ac:dyDescent="0.25">
      <c r="A80" s="43">
        <v>42164</v>
      </c>
      <c r="B80" s="107" t="s">
        <v>241</v>
      </c>
      <c r="C80" s="20">
        <v>1200</v>
      </c>
      <c r="D80" s="20">
        <v>1200000</v>
      </c>
      <c r="E80" s="29">
        <v>34352</v>
      </c>
      <c r="F80" s="29">
        <v>4116</v>
      </c>
      <c r="G80" s="45"/>
      <c r="I80" s="390"/>
      <c r="J80" s="387"/>
      <c r="K80" s="391"/>
    </row>
    <row r="81" spans="1:11" x14ac:dyDescent="0.25">
      <c r="A81" s="43">
        <v>42172</v>
      </c>
      <c r="B81" s="107" t="s">
        <v>233</v>
      </c>
      <c r="C81" s="20">
        <v>740</v>
      </c>
      <c r="D81" s="20">
        <v>740000</v>
      </c>
      <c r="E81" s="29">
        <v>34352</v>
      </c>
      <c r="F81" s="29">
        <v>4116</v>
      </c>
      <c r="G81" s="45"/>
      <c r="I81" s="390"/>
      <c r="J81" s="387"/>
      <c r="K81" s="391"/>
    </row>
    <row r="82" spans="1:11" x14ac:dyDescent="0.25">
      <c r="A82" s="43">
        <v>42172</v>
      </c>
      <c r="B82" s="107" t="s">
        <v>234</v>
      </c>
      <c r="C82" s="20">
        <v>2745</v>
      </c>
      <c r="D82" s="20">
        <v>2745000</v>
      </c>
      <c r="E82" s="29">
        <v>34352</v>
      </c>
      <c r="F82" s="29">
        <v>4116</v>
      </c>
      <c r="G82" s="45"/>
      <c r="I82" s="390"/>
      <c r="J82" s="387"/>
      <c r="K82" s="391"/>
    </row>
    <row r="83" spans="1:11" x14ac:dyDescent="0.25">
      <c r="A83" s="43">
        <v>42172</v>
      </c>
      <c r="B83" s="107" t="s">
        <v>235</v>
      </c>
      <c r="C83" s="20">
        <v>2580</v>
      </c>
      <c r="D83" s="20">
        <v>2580000</v>
      </c>
      <c r="E83" s="29">
        <v>34352</v>
      </c>
      <c r="F83" s="29">
        <v>4116</v>
      </c>
      <c r="G83" s="45"/>
      <c r="I83" s="390"/>
      <c r="J83" s="387"/>
      <c r="K83" s="391"/>
    </row>
    <row r="84" spans="1:11" x14ac:dyDescent="0.25">
      <c r="A84" s="43">
        <v>42178</v>
      </c>
      <c r="B84" s="107" t="s">
        <v>242</v>
      </c>
      <c r="C84" s="20">
        <v>7135</v>
      </c>
      <c r="D84" s="21">
        <v>7135000</v>
      </c>
      <c r="E84" s="29">
        <v>34352</v>
      </c>
      <c r="F84" s="29">
        <v>4116</v>
      </c>
      <c r="G84" s="45"/>
      <c r="I84" s="390"/>
      <c r="J84" s="387"/>
      <c r="K84" s="391"/>
    </row>
    <row r="85" spans="1:11" x14ac:dyDescent="0.25">
      <c r="A85" s="43">
        <v>42188</v>
      </c>
      <c r="B85" s="107" t="s">
        <v>531</v>
      </c>
      <c r="C85" s="20">
        <v>112</v>
      </c>
      <c r="D85" s="21">
        <v>112000</v>
      </c>
      <c r="E85" s="29">
        <v>34001</v>
      </c>
      <c r="F85" s="29">
        <v>4116</v>
      </c>
      <c r="G85" s="45"/>
      <c r="I85" s="390"/>
      <c r="J85" s="387"/>
      <c r="K85" s="391"/>
    </row>
    <row r="86" spans="1:11" x14ac:dyDescent="0.25">
      <c r="A86" s="43">
        <v>42198</v>
      </c>
      <c r="B86" s="107" t="s">
        <v>295</v>
      </c>
      <c r="C86" s="20">
        <v>80</v>
      </c>
      <c r="D86" s="21">
        <v>80000</v>
      </c>
      <c r="E86" s="29">
        <v>34070</v>
      </c>
      <c r="F86" s="29">
        <v>4116</v>
      </c>
      <c r="G86" s="45"/>
      <c r="I86" s="390"/>
      <c r="J86" s="387"/>
      <c r="K86" s="391"/>
    </row>
    <row r="87" spans="1:11" x14ac:dyDescent="0.25">
      <c r="A87" s="43">
        <v>42212</v>
      </c>
      <c r="B87" s="107" t="s">
        <v>341</v>
      </c>
      <c r="C87" s="20">
        <v>1900</v>
      </c>
      <c r="D87" s="21">
        <v>1900000</v>
      </c>
      <c r="E87" s="29">
        <v>34054</v>
      </c>
      <c r="F87" s="29">
        <v>4116</v>
      </c>
      <c r="G87" s="45"/>
      <c r="I87" s="390"/>
      <c r="J87" s="387"/>
      <c r="K87" s="391"/>
    </row>
    <row r="88" spans="1:11" x14ac:dyDescent="0.25">
      <c r="A88" s="43">
        <v>42214</v>
      </c>
      <c r="B88" s="107" t="s">
        <v>340</v>
      </c>
      <c r="C88" s="20">
        <v>70</v>
      </c>
      <c r="D88" s="21">
        <v>70000</v>
      </c>
      <c r="E88" s="29">
        <v>34070</v>
      </c>
      <c r="F88" s="29">
        <v>4116</v>
      </c>
      <c r="G88" s="384"/>
      <c r="I88" s="390"/>
      <c r="J88" s="387"/>
      <c r="K88" s="391"/>
    </row>
    <row r="89" spans="1:11" x14ac:dyDescent="0.25">
      <c r="A89" s="43">
        <v>42227</v>
      </c>
      <c r="B89" s="107" t="s">
        <v>367</v>
      </c>
      <c r="C89" s="20">
        <v>180</v>
      </c>
      <c r="D89" s="21">
        <v>180000</v>
      </c>
      <c r="E89" s="29">
        <v>34070</v>
      </c>
      <c r="F89" s="29">
        <v>4116</v>
      </c>
      <c r="G89" s="160"/>
      <c r="I89" s="390"/>
      <c r="J89" s="387"/>
      <c r="K89" s="391"/>
    </row>
    <row r="90" spans="1:11" x14ac:dyDescent="0.25">
      <c r="A90" s="43">
        <v>42241</v>
      </c>
      <c r="B90" s="107" t="s">
        <v>413</v>
      </c>
      <c r="C90" s="20">
        <v>2654</v>
      </c>
      <c r="D90" s="21">
        <v>2654000</v>
      </c>
      <c r="E90" s="29">
        <v>34002</v>
      </c>
      <c r="F90" s="29">
        <v>4116</v>
      </c>
      <c r="G90" s="45"/>
      <c r="I90" s="390"/>
      <c r="J90" s="387"/>
      <c r="K90" s="391"/>
    </row>
    <row r="91" spans="1:11" x14ac:dyDescent="0.25">
      <c r="A91" s="43">
        <v>42271</v>
      </c>
      <c r="B91" s="107" t="s">
        <v>422</v>
      </c>
      <c r="C91" s="20">
        <v>1380</v>
      </c>
      <c r="D91" s="21">
        <v>1380000</v>
      </c>
      <c r="E91" s="29">
        <v>34070</v>
      </c>
      <c r="F91" s="29">
        <v>4116</v>
      </c>
      <c r="G91" s="45"/>
      <c r="I91" s="390"/>
      <c r="J91" s="387"/>
      <c r="K91" s="391"/>
    </row>
    <row r="92" spans="1:11" x14ac:dyDescent="0.25">
      <c r="A92" s="43">
        <v>42272</v>
      </c>
      <c r="B92" s="107" t="s">
        <v>422</v>
      </c>
      <c r="C92" s="20">
        <v>620</v>
      </c>
      <c r="D92" s="21">
        <v>620000</v>
      </c>
      <c r="E92" s="29">
        <v>34070</v>
      </c>
      <c r="F92" s="29">
        <v>4116</v>
      </c>
      <c r="G92" s="45"/>
      <c r="I92" s="390"/>
      <c r="J92" s="387"/>
      <c r="K92" s="391"/>
    </row>
    <row r="93" spans="1:11" x14ac:dyDescent="0.25">
      <c r="A93" s="43">
        <v>42284</v>
      </c>
      <c r="B93" s="107" t="s">
        <v>197</v>
      </c>
      <c r="C93" s="20">
        <v>50</v>
      </c>
      <c r="D93" s="21">
        <v>50000</v>
      </c>
      <c r="E93" s="29">
        <v>34070</v>
      </c>
      <c r="F93" s="29">
        <v>4116</v>
      </c>
      <c r="G93" s="45">
        <f>40+40+180</f>
        <v>260</v>
      </c>
      <c r="I93" s="390"/>
      <c r="J93" s="387"/>
      <c r="K93" s="391"/>
    </row>
    <row r="94" spans="1:11" x14ac:dyDescent="0.25">
      <c r="A94" s="43"/>
      <c r="B94" s="107"/>
      <c r="C94" s="20"/>
      <c r="D94" s="20"/>
      <c r="E94" s="29"/>
      <c r="F94" s="29">
        <v>4116</v>
      </c>
      <c r="G94" s="45"/>
      <c r="I94" s="390"/>
      <c r="J94" s="387"/>
      <c r="K94" s="391"/>
    </row>
    <row r="95" spans="1:11" x14ac:dyDescent="0.25">
      <c r="A95" s="43"/>
      <c r="B95" s="107"/>
      <c r="C95" s="20"/>
      <c r="D95" s="20"/>
      <c r="E95" s="29"/>
      <c r="F95" s="29">
        <v>4116</v>
      </c>
      <c r="G95" s="45"/>
      <c r="I95" s="390"/>
      <c r="J95" s="387"/>
      <c r="K95" s="391"/>
    </row>
    <row r="96" spans="1:11" x14ac:dyDescent="0.25">
      <c r="A96" s="43"/>
      <c r="B96" s="107"/>
      <c r="C96" s="20"/>
      <c r="D96" s="20"/>
      <c r="E96" s="29"/>
      <c r="F96" s="29">
        <v>4116</v>
      </c>
      <c r="G96" s="45"/>
      <c r="I96" s="390"/>
      <c r="J96" s="387"/>
      <c r="K96" s="391"/>
    </row>
    <row r="97" spans="1:11" x14ac:dyDescent="0.25">
      <c r="A97" s="43"/>
      <c r="B97" s="107" t="s">
        <v>267</v>
      </c>
      <c r="C97" s="174">
        <v>100</v>
      </c>
      <c r="D97" s="174">
        <f>50000+50000</f>
        <v>100000</v>
      </c>
      <c r="E97" s="29">
        <v>34273</v>
      </c>
      <c r="F97" s="29">
        <v>4116</v>
      </c>
      <c r="G97" s="384"/>
      <c r="H97" s="384"/>
      <c r="I97" s="390"/>
      <c r="J97" s="387">
        <v>100000</v>
      </c>
      <c r="K97" s="391"/>
    </row>
    <row r="98" spans="1:11" x14ac:dyDescent="0.25">
      <c r="A98" s="43"/>
      <c r="B98" s="107" t="s">
        <v>382</v>
      </c>
      <c r="C98" s="174">
        <v>70</v>
      </c>
      <c r="D98" s="174">
        <v>70000</v>
      </c>
      <c r="E98" s="29">
        <v>34002</v>
      </c>
      <c r="F98" s="29">
        <v>4116</v>
      </c>
      <c r="G98" s="384"/>
      <c r="H98" s="384"/>
      <c r="I98" s="390"/>
      <c r="J98" s="387">
        <v>70000</v>
      </c>
      <c r="K98" s="391"/>
    </row>
    <row r="99" spans="1:11" x14ac:dyDescent="0.25">
      <c r="A99" s="43"/>
      <c r="B99" s="107" t="s">
        <v>383</v>
      </c>
      <c r="C99" s="174">
        <v>90</v>
      </c>
      <c r="D99" s="174">
        <v>90000</v>
      </c>
      <c r="E99" s="29">
        <v>34002</v>
      </c>
      <c r="F99" s="29">
        <v>4116</v>
      </c>
      <c r="G99" s="384"/>
      <c r="H99" s="384"/>
      <c r="I99" s="390"/>
      <c r="J99" s="387">
        <v>90000</v>
      </c>
      <c r="K99" s="391"/>
    </row>
    <row r="100" spans="1:11" x14ac:dyDescent="0.25">
      <c r="A100" s="43"/>
      <c r="B100" s="107" t="s">
        <v>430</v>
      </c>
      <c r="C100" s="174">
        <v>54</v>
      </c>
      <c r="D100" s="174">
        <v>54000</v>
      </c>
      <c r="E100" s="29">
        <v>34002</v>
      </c>
      <c r="F100" s="29">
        <v>4116</v>
      </c>
      <c r="G100" s="384"/>
      <c r="H100" s="384"/>
      <c r="I100" s="390"/>
      <c r="J100" s="387">
        <v>54000</v>
      </c>
      <c r="K100" s="391"/>
    </row>
    <row r="101" spans="1:11" x14ac:dyDescent="0.25">
      <c r="A101" s="43"/>
      <c r="B101" s="107" t="s">
        <v>431</v>
      </c>
      <c r="C101" s="174">
        <v>300</v>
      </c>
      <c r="D101" s="174">
        <v>300000</v>
      </c>
      <c r="E101" s="29">
        <v>34002</v>
      </c>
      <c r="F101" s="29">
        <v>4116</v>
      </c>
      <c r="G101" s="384"/>
      <c r="H101" s="384"/>
      <c r="I101" s="390"/>
      <c r="J101" s="387">
        <v>300000</v>
      </c>
      <c r="K101" s="391"/>
    </row>
    <row r="102" spans="1:11" x14ac:dyDescent="0.25">
      <c r="A102" s="43"/>
      <c r="B102" s="107"/>
      <c r="C102" s="20"/>
      <c r="D102" s="20"/>
      <c r="E102" s="29"/>
      <c r="F102" s="29"/>
      <c r="G102" s="45"/>
      <c r="I102" s="390"/>
      <c r="J102" s="387"/>
      <c r="K102" s="391"/>
    </row>
    <row r="103" spans="1:11" x14ac:dyDescent="0.25">
      <c r="A103" s="43"/>
      <c r="B103" s="285" t="s">
        <v>34</v>
      </c>
      <c r="C103" s="39">
        <f>SUM(C104:C165)</f>
        <v>51231.16081999999</v>
      </c>
      <c r="D103" s="39">
        <f>SUM(D104:D186)</f>
        <v>56174137.82</v>
      </c>
      <c r="E103" s="29"/>
      <c r="F103" s="36"/>
      <c r="G103" s="45"/>
      <c r="I103" s="390"/>
      <c r="J103" s="387"/>
      <c r="K103" s="391"/>
    </row>
    <row r="104" spans="1:11" x14ac:dyDescent="0.25">
      <c r="A104" s="43">
        <v>42054</v>
      </c>
      <c r="B104" s="107" t="s">
        <v>68</v>
      </c>
      <c r="C104" s="52">
        <v>972.54641000000004</v>
      </c>
      <c r="D104" s="53">
        <v>972546.41</v>
      </c>
      <c r="E104" s="29">
        <v>33019</v>
      </c>
      <c r="F104" s="36" t="s">
        <v>18</v>
      </c>
      <c r="G104" s="45"/>
      <c r="I104" s="390"/>
      <c r="J104" s="387"/>
      <c r="K104" s="391"/>
    </row>
    <row r="105" spans="1:11" x14ac:dyDescent="0.25">
      <c r="A105" s="43">
        <v>42081</v>
      </c>
      <c r="B105" s="107" t="s">
        <v>117</v>
      </c>
      <c r="C105" s="52">
        <v>192</v>
      </c>
      <c r="D105" s="55">
        <v>192000</v>
      </c>
      <c r="E105" s="29">
        <v>33339</v>
      </c>
      <c r="F105" s="36">
        <v>4116</v>
      </c>
      <c r="G105" s="45"/>
      <c r="I105" s="390"/>
      <c r="J105" s="387"/>
      <c r="K105" s="391"/>
    </row>
    <row r="106" spans="1:11" x14ac:dyDescent="0.25">
      <c r="A106" s="43">
        <v>42116</v>
      </c>
      <c r="B106" s="107" t="s">
        <v>145</v>
      </c>
      <c r="C106" s="52">
        <v>417.25607000000002</v>
      </c>
      <c r="D106" s="55">
        <f>354667.65+62588.42</f>
        <v>417256.07</v>
      </c>
      <c r="E106" s="29">
        <v>33019</v>
      </c>
      <c r="F106" s="36">
        <v>4116</v>
      </c>
      <c r="G106" s="45"/>
      <c r="I106" s="390"/>
      <c r="J106" s="387"/>
      <c r="K106" s="391"/>
    </row>
    <row r="107" spans="1:11" x14ac:dyDescent="0.25">
      <c r="A107" s="43">
        <v>42117</v>
      </c>
      <c r="B107" s="107" t="s">
        <v>148</v>
      </c>
      <c r="C107" s="52">
        <v>6858.8674300000002</v>
      </c>
      <c r="D107" s="114">
        <v>6858867.4299999997</v>
      </c>
      <c r="E107" s="29">
        <v>33019</v>
      </c>
      <c r="F107" s="36">
        <v>4116</v>
      </c>
      <c r="G107" s="45"/>
      <c r="I107" s="390"/>
      <c r="J107" s="387"/>
      <c r="K107" s="391"/>
    </row>
    <row r="108" spans="1:11" x14ac:dyDescent="0.25">
      <c r="A108" s="43">
        <v>42131</v>
      </c>
      <c r="B108" s="107" t="s">
        <v>174</v>
      </c>
      <c r="C108" s="52">
        <v>592.21028999999999</v>
      </c>
      <c r="D108" s="55">
        <v>592210.29</v>
      </c>
      <c r="E108" s="28">
        <v>33019</v>
      </c>
      <c r="F108" s="36">
        <v>4116</v>
      </c>
      <c r="G108" s="45"/>
      <c r="I108" s="390"/>
      <c r="J108" s="387"/>
      <c r="K108" s="391"/>
    </row>
    <row r="109" spans="1:11" x14ac:dyDescent="0.25">
      <c r="A109" s="43">
        <v>42138</v>
      </c>
      <c r="B109" s="107" t="s">
        <v>148</v>
      </c>
      <c r="C109" s="52">
        <v>4904.7020000000002</v>
      </c>
      <c r="D109" s="55">
        <v>4904702</v>
      </c>
      <c r="E109" s="28">
        <v>33019</v>
      </c>
      <c r="F109" s="36">
        <v>4116</v>
      </c>
      <c r="G109" s="45"/>
      <c r="I109" s="390"/>
      <c r="J109" s="387"/>
      <c r="K109" s="391"/>
    </row>
    <row r="110" spans="1:11" x14ac:dyDescent="0.25">
      <c r="A110" s="43">
        <v>42184</v>
      </c>
      <c r="B110" s="107" t="s">
        <v>145</v>
      </c>
      <c r="C110" s="52">
        <v>681.93142</v>
      </c>
      <c r="D110" s="55">
        <v>681931.42</v>
      </c>
      <c r="E110" s="28">
        <v>33019</v>
      </c>
      <c r="F110" s="36">
        <v>4116</v>
      </c>
      <c r="G110" s="45"/>
      <c r="I110" s="390"/>
      <c r="J110" s="387"/>
      <c r="K110" s="391"/>
    </row>
    <row r="111" spans="1:11" x14ac:dyDescent="0.25">
      <c r="A111" s="43">
        <v>42188</v>
      </c>
      <c r="B111" s="276" t="s">
        <v>174</v>
      </c>
      <c r="C111" s="52">
        <v>800.06946000000005</v>
      </c>
      <c r="D111" s="55">
        <v>800069.46</v>
      </c>
      <c r="E111" s="28">
        <v>33019</v>
      </c>
      <c r="F111" s="36">
        <v>4116</v>
      </c>
      <c r="G111" s="45"/>
      <c r="I111" s="390"/>
      <c r="J111" s="387"/>
      <c r="K111" s="391"/>
    </row>
    <row r="112" spans="1:11" x14ac:dyDescent="0.25">
      <c r="A112" s="43">
        <v>42198</v>
      </c>
      <c r="B112" s="276" t="s">
        <v>275</v>
      </c>
      <c r="C112" s="52">
        <f>841.97005+148.58295</f>
        <v>990.553</v>
      </c>
      <c r="D112" s="55">
        <f>841970.05+148582.95</f>
        <v>990553</v>
      </c>
      <c r="E112" s="28">
        <v>33058</v>
      </c>
      <c r="F112" s="36">
        <v>4116</v>
      </c>
      <c r="G112" s="45"/>
      <c r="I112" s="390"/>
      <c r="J112" s="387"/>
      <c r="K112" s="391"/>
    </row>
    <row r="113" spans="1:11" x14ac:dyDescent="0.25">
      <c r="A113" s="43">
        <v>42198</v>
      </c>
      <c r="B113" s="276" t="s">
        <v>276</v>
      </c>
      <c r="C113" s="52">
        <f>846.78615+149.43285</f>
        <v>996.21900000000005</v>
      </c>
      <c r="D113" s="55">
        <f>846786.15+149432.85</f>
        <v>996219</v>
      </c>
      <c r="E113" s="28">
        <v>33058</v>
      </c>
      <c r="F113" s="36">
        <v>4116</v>
      </c>
      <c r="G113" s="45"/>
      <c r="I113" s="390"/>
      <c r="J113" s="387"/>
      <c r="K113" s="391"/>
    </row>
    <row r="114" spans="1:11" x14ac:dyDescent="0.25">
      <c r="A114" s="43">
        <v>42198</v>
      </c>
      <c r="B114" s="276" t="s">
        <v>277</v>
      </c>
      <c r="C114" s="52">
        <f>689.90845+121.74855</f>
        <v>811.65700000000004</v>
      </c>
      <c r="D114" s="55">
        <f>689908.45+121748.55</f>
        <v>811657</v>
      </c>
      <c r="E114" s="28">
        <v>33058</v>
      </c>
      <c r="F114" s="36">
        <v>4116</v>
      </c>
      <c r="G114" s="45"/>
      <c r="I114" s="390"/>
      <c r="J114" s="387"/>
      <c r="K114" s="391"/>
    </row>
    <row r="115" spans="1:11" x14ac:dyDescent="0.25">
      <c r="A115" s="43">
        <v>42200</v>
      </c>
      <c r="B115" s="276" t="s">
        <v>296</v>
      </c>
      <c r="C115" s="52">
        <v>978.06399999999996</v>
      </c>
      <c r="D115" s="55">
        <v>978064</v>
      </c>
      <c r="E115" s="28">
        <v>33058</v>
      </c>
      <c r="F115" s="36">
        <v>4116</v>
      </c>
      <c r="G115" s="45"/>
      <c r="I115" s="390"/>
      <c r="J115" s="387"/>
      <c r="K115" s="391"/>
    </row>
    <row r="116" spans="1:11" x14ac:dyDescent="0.25">
      <c r="A116" s="43">
        <v>42200</v>
      </c>
      <c r="B116" s="276" t="s">
        <v>297</v>
      </c>
      <c r="C116" s="52">
        <v>914.54499999999996</v>
      </c>
      <c r="D116" s="55">
        <v>914545</v>
      </c>
      <c r="E116" s="28">
        <v>33058</v>
      </c>
      <c r="F116" s="36">
        <v>4116</v>
      </c>
      <c r="G116" s="45"/>
      <c r="I116" s="390"/>
      <c r="J116" s="387"/>
      <c r="K116" s="391"/>
    </row>
    <row r="117" spans="1:11" x14ac:dyDescent="0.25">
      <c r="A117" s="43">
        <v>42200</v>
      </c>
      <c r="B117" s="276" t="s">
        <v>298</v>
      </c>
      <c r="C117" s="52">
        <v>797.56700000000001</v>
      </c>
      <c r="D117" s="55">
        <v>797567</v>
      </c>
      <c r="E117" s="28">
        <v>33058</v>
      </c>
      <c r="F117" s="36">
        <v>4116</v>
      </c>
      <c r="G117" s="45"/>
      <c r="I117" s="390"/>
      <c r="J117" s="387"/>
      <c r="K117" s="391"/>
    </row>
    <row r="118" spans="1:11" x14ac:dyDescent="0.25">
      <c r="A118" s="43">
        <v>42200</v>
      </c>
      <c r="B118" s="276" t="s">
        <v>299</v>
      </c>
      <c r="C118" s="52">
        <v>991.53399999999999</v>
      </c>
      <c r="D118" s="55">
        <v>991534</v>
      </c>
      <c r="E118" s="28">
        <v>33058</v>
      </c>
      <c r="F118" s="36">
        <v>4116</v>
      </c>
      <c r="G118" s="45"/>
      <c r="I118" s="390"/>
      <c r="J118" s="387"/>
      <c r="K118" s="391"/>
    </row>
    <row r="119" spans="1:11" x14ac:dyDescent="0.25">
      <c r="A119" s="43">
        <v>42200</v>
      </c>
      <c r="B119" s="276" t="s">
        <v>300</v>
      </c>
      <c r="C119" s="52">
        <v>959.90899999999999</v>
      </c>
      <c r="D119" s="55">
        <v>959909</v>
      </c>
      <c r="E119" s="28">
        <v>33058</v>
      </c>
      <c r="F119" s="36">
        <v>4116</v>
      </c>
      <c r="G119" s="45"/>
      <c r="I119" s="390"/>
      <c r="J119" s="387"/>
      <c r="K119" s="391"/>
    </row>
    <row r="120" spans="1:11" x14ac:dyDescent="0.25">
      <c r="A120" s="43">
        <v>42206</v>
      </c>
      <c r="B120" s="276" t="s">
        <v>314</v>
      </c>
      <c r="C120" s="52">
        <v>415.29</v>
      </c>
      <c r="D120" s="55">
        <v>415290</v>
      </c>
      <c r="E120" s="28">
        <v>33058</v>
      </c>
      <c r="F120" s="36">
        <v>4116</v>
      </c>
      <c r="G120" s="45"/>
      <c r="I120" s="390"/>
      <c r="J120" s="387"/>
      <c r="K120" s="391"/>
    </row>
    <row r="121" spans="1:11" x14ac:dyDescent="0.25">
      <c r="A121" s="43">
        <v>42206</v>
      </c>
      <c r="B121" s="276" t="s">
        <v>315</v>
      </c>
      <c r="C121" s="52">
        <v>578.94200000000001</v>
      </c>
      <c r="D121" s="55">
        <v>578942</v>
      </c>
      <c r="E121" s="28">
        <v>33058</v>
      </c>
      <c r="F121" s="36">
        <v>4116</v>
      </c>
      <c r="G121" s="45"/>
      <c r="I121" s="390"/>
      <c r="J121" s="387"/>
      <c r="K121" s="391"/>
    </row>
    <row r="122" spans="1:11" x14ac:dyDescent="0.25">
      <c r="A122" s="43">
        <v>42206</v>
      </c>
      <c r="B122" s="276" t="s">
        <v>316</v>
      </c>
      <c r="C122" s="52">
        <v>528.80200000000002</v>
      </c>
      <c r="D122" s="55">
        <v>528802</v>
      </c>
      <c r="E122" s="28">
        <v>33058</v>
      </c>
      <c r="F122" s="36">
        <v>4116</v>
      </c>
      <c r="G122" s="45"/>
      <c r="I122" s="390"/>
      <c r="J122" s="387"/>
      <c r="K122" s="391"/>
    </row>
    <row r="123" spans="1:11" x14ac:dyDescent="0.25">
      <c r="A123" s="43">
        <v>42206</v>
      </c>
      <c r="B123" s="276" t="s">
        <v>317</v>
      </c>
      <c r="C123" s="52">
        <v>672.51599999999996</v>
      </c>
      <c r="D123" s="55">
        <v>672516</v>
      </c>
      <c r="E123" s="28">
        <v>33058</v>
      </c>
      <c r="F123" s="36">
        <v>4116</v>
      </c>
      <c r="G123" s="45"/>
      <c r="I123" s="390"/>
      <c r="J123" s="387"/>
      <c r="K123" s="391"/>
    </row>
    <row r="124" spans="1:11" x14ac:dyDescent="0.25">
      <c r="A124" s="43">
        <v>42206</v>
      </c>
      <c r="B124" s="276" t="s">
        <v>318</v>
      </c>
      <c r="C124" s="52">
        <v>424.34399999999999</v>
      </c>
      <c r="D124" s="55">
        <v>424344</v>
      </c>
      <c r="E124" s="28">
        <v>33058</v>
      </c>
      <c r="F124" s="36">
        <v>4116</v>
      </c>
      <c r="G124" s="45"/>
      <c r="I124" s="390"/>
      <c r="J124" s="387"/>
      <c r="K124" s="391"/>
    </row>
    <row r="125" spans="1:11" x14ac:dyDescent="0.25">
      <c r="A125" s="43">
        <v>42206</v>
      </c>
      <c r="B125" s="276" t="s">
        <v>319</v>
      </c>
      <c r="C125" s="46">
        <v>315.46100000000001</v>
      </c>
      <c r="D125" s="55">
        <v>315461</v>
      </c>
      <c r="E125" s="28">
        <v>33058</v>
      </c>
      <c r="F125" s="36">
        <v>4116</v>
      </c>
      <c r="G125" s="45"/>
      <c r="I125" s="390"/>
      <c r="J125" s="387"/>
      <c r="K125" s="391"/>
    </row>
    <row r="126" spans="1:11" x14ac:dyDescent="0.25">
      <c r="A126" s="43">
        <v>42206</v>
      </c>
      <c r="B126" s="276" t="s">
        <v>320</v>
      </c>
      <c r="C126" s="46">
        <v>537.85599999999999</v>
      </c>
      <c r="D126" s="55">
        <v>537856</v>
      </c>
      <c r="E126" s="28">
        <v>33058</v>
      </c>
      <c r="F126" s="36">
        <v>4116</v>
      </c>
      <c r="G126" s="45"/>
      <c r="I126" s="390"/>
      <c r="J126" s="387"/>
      <c r="K126" s="391"/>
    </row>
    <row r="127" spans="1:11" x14ac:dyDescent="0.25">
      <c r="A127" s="43">
        <v>42206</v>
      </c>
      <c r="B127" s="276" t="s">
        <v>321</v>
      </c>
      <c r="C127" s="46">
        <v>980.19799999999998</v>
      </c>
      <c r="D127" s="55">
        <v>980198</v>
      </c>
      <c r="E127" s="28">
        <v>33058</v>
      </c>
      <c r="F127" s="36">
        <v>4116</v>
      </c>
      <c r="G127" s="45"/>
      <c r="I127" s="390"/>
      <c r="J127" s="387"/>
      <c r="K127" s="391"/>
    </row>
    <row r="128" spans="1:11" x14ac:dyDescent="0.25">
      <c r="A128" s="43">
        <v>42209</v>
      </c>
      <c r="B128" s="276" t="s">
        <v>323</v>
      </c>
      <c r="C128" s="46">
        <v>715.23800000000006</v>
      </c>
      <c r="D128" s="55">
        <v>715238</v>
      </c>
      <c r="E128" s="28">
        <v>33058</v>
      </c>
      <c r="F128" s="36">
        <v>4116</v>
      </c>
      <c r="G128" s="45"/>
      <c r="I128" s="390"/>
      <c r="J128" s="387"/>
      <c r="K128" s="391"/>
    </row>
    <row r="129" spans="1:11" x14ac:dyDescent="0.25">
      <c r="A129" s="43">
        <v>42209</v>
      </c>
      <c r="B129" s="276" t="s">
        <v>324</v>
      </c>
      <c r="C129" s="46">
        <v>692.15</v>
      </c>
      <c r="D129" s="55">
        <v>692150</v>
      </c>
      <c r="E129" s="28">
        <v>33058</v>
      </c>
      <c r="F129" s="36">
        <v>4116</v>
      </c>
      <c r="G129" s="45"/>
      <c r="I129" s="390"/>
      <c r="J129" s="387"/>
      <c r="K129" s="391"/>
    </row>
    <row r="130" spans="1:11" x14ac:dyDescent="0.25">
      <c r="A130" s="43">
        <v>42209</v>
      </c>
      <c r="B130" s="276" t="s">
        <v>325</v>
      </c>
      <c r="C130" s="46">
        <v>903.15300000000002</v>
      </c>
      <c r="D130" s="55">
        <v>903153</v>
      </c>
      <c r="E130" s="28">
        <v>33058</v>
      </c>
      <c r="F130" s="36">
        <v>4116</v>
      </c>
      <c r="G130" s="45"/>
      <c r="I130" s="390"/>
      <c r="J130" s="387"/>
      <c r="K130" s="391"/>
    </row>
    <row r="131" spans="1:11" x14ac:dyDescent="0.25">
      <c r="A131" s="43">
        <v>42209</v>
      </c>
      <c r="B131" s="276" t="s">
        <v>326</v>
      </c>
      <c r="C131" s="46">
        <v>328.98700000000002</v>
      </c>
      <c r="D131" s="55">
        <v>328987</v>
      </c>
      <c r="E131" s="28">
        <v>33058</v>
      </c>
      <c r="F131" s="36">
        <v>4116</v>
      </c>
      <c r="G131" s="45"/>
      <c r="I131" s="390"/>
      <c r="J131" s="387"/>
      <c r="K131" s="391"/>
    </row>
    <row r="132" spans="1:11" x14ac:dyDescent="0.25">
      <c r="A132" s="43">
        <v>42209</v>
      </c>
      <c r="B132" s="276" t="s">
        <v>327</v>
      </c>
      <c r="C132" s="46">
        <v>989.45600000000002</v>
      </c>
      <c r="D132" s="55">
        <v>989456</v>
      </c>
      <c r="E132" s="28">
        <v>33058</v>
      </c>
      <c r="F132" s="36">
        <v>4116</v>
      </c>
      <c r="G132" s="45"/>
      <c r="I132" s="390"/>
      <c r="J132" s="387"/>
      <c r="K132" s="391"/>
    </row>
    <row r="133" spans="1:11" x14ac:dyDescent="0.25">
      <c r="A133" s="43">
        <v>42209</v>
      </c>
      <c r="B133" s="276" t="s">
        <v>328</v>
      </c>
      <c r="C133" s="46">
        <v>990.11099999999999</v>
      </c>
      <c r="D133" s="55">
        <v>990111</v>
      </c>
      <c r="E133" s="28">
        <v>33058</v>
      </c>
      <c r="F133" s="36">
        <v>4116</v>
      </c>
      <c r="G133" s="45"/>
      <c r="I133" s="390"/>
      <c r="J133" s="387"/>
      <c r="K133" s="391"/>
    </row>
    <row r="134" spans="1:11" x14ac:dyDescent="0.25">
      <c r="A134" s="43">
        <v>42214</v>
      </c>
      <c r="B134" s="276" t="s">
        <v>335</v>
      </c>
      <c r="C134" s="46">
        <v>973.43499999999995</v>
      </c>
      <c r="D134" s="55">
        <f>827419.75+146015.25</f>
        <v>973435</v>
      </c>
      <c r="E134" s="28">
        <v>33058</v>
      </c>
      <c r="F134" s="29">
        <v>4116</v>
      </c>
      <c r="G134" s="45"/>
      <c r="I134" s="390"/>
      <c r="J134" s="387"/>
      <c r="K134" s="391"/>
    </row>
    <row r="135" spans="1:11" ht="14.45" customHeight="1" x14ac:dyDescent="0.25">
      <c r="A135" s="43">
        <v>42214</v>
      </c>
      <c r="B135" s="276" t="s">
        <v>336</v>
      </c>
      <c r="C135" s="46">
        <v>600.303</v>
      </c>
      <c r="D135" s="55">
        <f>510257.55+90045.45</f>
        <v>600303</v>
      </c>
      <c r="E135" s="28">
        <v>33058</v>
      </c>
      <c r="F135" s="29">
        <v>4116</v>
      </c>
      <c r="G135" s="45"/>
      <c r="I135" s="390"/>
      <c r="J135" s="387"/>
      <c r="K135" s="391"/>
    </row>
    <row r="136" spans="1:11" x14ac:dyDescent="0.25">
      <c r="A136" s="43">
        <v>42214</v>
      </c>
      <c r="B136" s="276" t="s">
        <v>337</v>
      </c>
      <c r="C136" s="46">
        <v>87.683000000000007</v>
      </c>
      <c r="D136" s="55">
        <v>87683</v>
      </c>
      <c r="E136" s="28">
        <v>33060</v>
      </c>
      <c r="F136" s="29">
        <v>4116</v>
      </c>
      <c r="G136" s="45"/>
      <c r="I136" s="390"/>
      <c r="J136" s="387"/>
      <c r="K136" s="391"/>
    </row>
    <row r="137" spans="1:11" x14ac:dyDescent="0.25">
      <c r="A137" s="43">
        <v>42214</v>
      </c>
      <c r="B137" s="276" t="s">
        <v>338</v>
      </c>
      <c r="C137" s="46">
        <v>40</v>
      </c>
      <c r="D137" s="55">
        <v>40000</v>
      </c>
      <c r="E137" s="28">
        <v>33060</v>
      </c>
      <c r="F137" s="29">
        <v>4116</v>
      </c>
      <c r="G137" s="45"/>
      <c r="I137" s="390"/>
      <c r="J137" s="387"/>
      <c r="K137" s="391"/>
    </row>
    <row r="138" spans="1:11" x14ac:dyDescent="0.25">
      <c r="A138" s="43">
        <v>42214</v>
      </c>
      <c r="B138" s="276" t="s">
        <v>339</v>
      </c>
      <c r="C138" s="46">
        <v>100.455</v>
      </c>
      <c r="D138" s="55">
        <v>100455</v>
      </c>
      <c r="E138" s="28">
        <v>33060</v>
      </c>
      <c r="F138" s="29">
        <v>4116</v>
      </c>
      <c r="G138" s="45"/>
      <c r="I138" s="390"/>
      <c r="J138" s="387"/>
      <c r="K138" s="391"/>
    </row>
    <row r="139" spans="1:11" x14ac:dyDescent="0.25">
      <c r="A139" s="43">
        <v>42222</v>
      </c>
      <c r="B139" s="276" t="s">
        <v>361</v>
      </c>
      <c r="C139" s="20">
        <v>568.97299999999996</v>
      </c>
      <c r="D139" s="55">
        <v>568973</v>
      </c>
      <c r="E139" s="28">
        <v>33058</v>
      </c>
      <c r="F139" s="29">
        <v>4116</v>
      </c>
      <c r="G139" s="45"/>
      <c r="I139" s="390"/>
      <c r="J139" s="387"/>
      <c r="K139" s="391"/>
    </row>
    <row r="140" spans="1:11" x14ac:dyDescent="0.25">
      <c r="A140" s="43">
        <v>42227</v>
      </c>
      <c r="B140" s="276" t="s">
        <v>362</v>
      </c>
      <c r="C140" s="20">
        <v>417.58100000000002</v>
      </c>
      <c r="D140" s="55">
        <v>417581</v>
      </c>
      <c r="E140" s="28">
        <v>33058</v>
      </c>
      <c r="F140" s="29">
        <v>4116</v>
      </c>
      <c r="G140" s="45"/>
      <c r="I140" s="390"/>
      <c r="J140" s="387"/>
      <c r="K140" s="391"/>
    </row>
    <row r="141" spans="1:11" x14ac:dyDescent="0.25">
      <c r="A141" s="43">
        <v>42227</v>
      </c>
      <c r="B141" s="276" t="s">
        <v>363</v>
      </c>
      <c r="C141" s="20">
        <v>707.96699999999998</v>
      </c>
      <c r="D141" s="55">
        <v>707967</v>
      </c>
      <c r="E141" s="28">
        <v>33058</v>
      </c>
      <c r="F141" s="29">
        <v>4116</v>
      </c>
      <c r="G141" s="45"/>
      <c r="I141" s="390"/>
      <c r="J141" s="387"/>
      <c r="K141" s="391"/>
    </row>
    <row r="142" spans="1:11" x14ac:dyDescent="0.25">
      <c r="A142" s="43">
        <v>42227</v>
      </c>
      <c r="B142" s="276" t="s">
        <v>364</v>
      </c>
      <c r="C142" s="20">
        <v>542.32799999999997</v>
      </c>
      <c r="D142" s="55">
        <v>542328</v>
      </c>
      <c r="E142" s="28">
        <v>33058</v>
      </c>
      <c r="F142" s="29">
        <v>4116</v>
      </c>
      <c r="G142" s="45"/>
      <c r="I142" s="390"/>
      <c r="J142" s="387"/>
      <c r="K142" s="391"/>
    </row>
    <row r="143" spans="1:11" x14ac:dyDescent="0.25">
      <c r="A143" s="43">
        <v>42227</v>
      </c>
      <c r="B143" s="276" t="s">
        <v>365</v>
      </c>
      <c r="C143" s="20">
        <v>605.84699999999998</v>
      </c>
      <c r="D143" s="55">
        <v>605847</v>
      </c>
      <c r="E143" s="28">
        <v>33058</v>
      </c>
      <c r="F143" s="29">
        <v>4116</v>
      </c>
      <c r="G143" s="45"/>
      <c r="I143" s="390"/>
      <c r="J143" s="387"/>
      <c r="K143" s="391"/>
    </row>
    <row r="144" spans="1:11" x14ac:dyDescent="0.25">
      <c r="A144" s="43">
        <v>42227</v>
      </c>
      <c r="B144" s="276" t="s">
        <v>366</v>
      </c>
      <c r="C144" s="20">
        <v>914.54499999999996</v>
      </c>
      <c r="D144" s="55">
        <v>914545</v>
      </c>
      <c r="E144" s="28">
        <v>33058</v>
      </c>
      <c r="F144" s="29">
        <v>4116</v>
      </c>
      <c r="G144" s="45"/>
      <c r="I144" s="390"/>
      <c r="J144" s="387"/>
      <c r="K144" s="391"/>
    </row>
    <row r="145" spans="1:11" x14ac:dyDescent="0.25">
      <c r="A145" s="43">
        <v>42229</v>
      </c>
      <c r="B145" s="276" t="s">
        <v>369</v>
      </c>
      <c r="C145" s="20">
        <v>614.12400000000002</v>
      </c>
      <c r="D145" s="55">
        <v>614124</v>
      </c>
      <c r="E145" s="28">
        <v>33058</v>
      </c>
      <c r="F145" s="29">
        <v>4116</v>
      </c>
      <c r="G145" s="45"/>
      <c r="I145" s="390"/>
      <c r="J145" s="387"/>
      <c r="K145" s="391"/>
    </row>
    <row r="146" spans="1:11" x14ac:dyDescent="0.25">
      <c r="A146" s="43">
        <v>42229</v>
      </c>
      <c r="B146" s="276" t="s">
        <v>370</v>
      </c>
      <c r="C146" s="20">
        <v>492.49200000000002</v>
      </c>
      <c r="D146" s="55">
        <v>492492</v>
      </c>
      <c r="E146" s="28">
        <v>33058</v>
      </c>
      <c r="F146" s="29">
        <v>4116</v>
      </c>
      <c r="G146" s="45"/>
      <c r="I146" s="390"/>
      <c r="J146" s="387"/>
      <c r="K146" s="391"/>
    </row>
    <row r="147" spans="1:11" x14ac:dyDescent="0.25">
      <c r="A147" s="43">
        <v>42233</v>
      </c>
      <c r="B147" s="276" t="s">
        <v>371</v>
      </c>
      <c r="C147" s="20">
        <v>378.98</v>
      </c>
      <c r="D147" s="55">
        <v>378980</v>
      </c>
      <c r="E147" s="28">
        <v>33058</v>
      </c>
      <c r="F147" s="29">
        <v>4116</v>
      </c>
      <c r="G147" s="45"/>
      <c r="I147" s="390"/>
      <c r="J147" s="387"/>
      <c r="K147" s="391"/>
    </row>
    <row r="148" spans="1:11" x14ac:dyDescent="0.25">
      <c r="A148" s="43">
        <v>42233</v>
      </c>
      <c r="B148" s="276" t="s">
        <v>372</v>
      </c>
      <c r="C148" s="20">
        <v>785.52</v>
      </c>
      <c r="D148" s="55">
        <v>785520</v>
      </c>
      <c r="E148" s="28">
        <v>33058</v>
      </c>
      <c r="F148" s="29">
        <v>4116</v>
      </c>
      <c r="G148" s="45"/>
      <c r="I148" s="390"/>
      <c r="J148" s="387"/>
      <c r="K148" s="391"/>
    </row>
    <row r="149" spans="1:11" x14ac:dyDescent="0.25">
      <c r="A149" s="43">
        <v>42233</v>
      </c>
      <c r="B149" s="276" t="s">
        <v>373</v>
      </c>
      <c r="C149" s="20">
        <v>447.12799999999999</v>
      </c>
      <c r="D149" s="55">
        <v>447128</v>
      </c>
      <c r="E149" s="28">
        <v>33058</v>
      </c>
      <c r="F149" s="29">
        <v>4116</v>
      </c>
      <c r="G149" s="45"/>
      <c r="I149" s="390"/>
      <c r="J149" s="387"/>
      <c r="K149" s="391"/>
    </row>
    <row r="150" spans="1:11" x14ac:dyDescent="0.25">
      <c r="A150" s="43">
        <v>42233</v>
      </c>
      <c r="B150" s="276" t="s">
        <v>374</v>
      </c>
      <c r="C150" s="20">
        <v>692.15</v>
      </c>
      <c r="D150" s="55">
        <v>692150</v>
      </c>
      <c r="E150" s="28">
        <v>33058</v>
      </c>
      <c r="F150" s="29">
        <v>4116</v>
      </c>
      <c r="G150" s="45"/>
      <c r="I150" s="390"/>
      <c r="J150" s="387"/>
      <c r="K150" s="391"/>
    </row>
    <row r="151" spans="1:11" x14ac:dyDescent="0.25">
      <c r="A151" s="43">
        <v>42236</v>
      </c>
      <c r="B151" s="276" t="s">
        <v>375</v>
      </c>
      <c r="C151" s="20">
        <v>479.97199999999998</v>
      </c>
      <c r="D151" s="55">
        <v>479972</v>
      </c>
      <c r="E151" s="28">
        <v>33058</v>
      </c>
      <c r="F151" s="29">
        <v>4116</v>
      </c>
      <c r="G151" s="45"/>
      <c r="I151" s="390"/>
      <c r="J151" s="387"/>
      <c r="K151" s="391"/>
    </row>
    <row r="152" spans="1:11" x14ac:dyDescent="0.25">
      <c r="A152" s="43">
        <v>42236</v>
      </c>
      <c r="B152" s="276" t="s">
        <v>376</v>
      </c>
      <c r="C152" s="20">
        <v>964.17700000000002</v>
      </c>
      <c r="D152" s="55">
        <v>964177</v>
      </c>
      <c r="E152" s="28">
        <v>33058</v>
      </c>
      <c r="F152" s="29">
        <v>4116</v>
      </c>
      <c r="G152" s="45"/>
      <c r="I152" s="390"/>
      <c r="J152" s="387"/>
      <c r="K152" s="391"/>
    </row>
    <row r="153" spans="1:11" x14ac:dyDescent="0.25">
      <c r="A153" s="43">
        <v>42236</v>
      </c>
      <c r="B153" s="276" t="s">
        <v>377</v>
      </c>
      <c r="C153" s="20">
        <v>736.59900000000005</v>
      </c>
      <c r="D153" s="55">
        <v>736599</v>
      </c>
      <c r="E153" s="28">
        <v>33058</v>
      </c>
      <c r="F153" s="29">
        <v>4116</v>
      </c>
      <c r="G153" s="45"/>
      <c r="I153" s="390"/>
      <c r="J153" s="387"/>
      <c r="K153" s="391"/>
    </row>
    <row r="154" spans="1:11" x14ac:dyDescent="0.25">
      <c r="A154" s="43">
        <v>42236</v>
      </c>
      <c r="B154" s="276" t="s">
        <v>378</v>
      </c>
      <c r="C154" s="20">
        <v>501.89699999999999</v>
      </c>
      <c r="D154" s="55">
        <v>501897</v>
      </c>
      <c r="E154" s="28">
        <v>33058</v>
      </c>
      <c r="F154" s="29">
        <v>4116</v>
      </c>
      <c r="G154" s="45"/>
      <c r="I154" s="390"/>
      <c r="J154" s="387"/>
      <c r="K154" s="391"/>
    </row>
    <row r="155" spans="1:11" x14ac:dyDescent="0.25">
      <c r="A155" s="43">
        <v>42240</v>
      </c>
      <c r="B155" s="276" t="s">
        <v>400</v>
      </c>
      <c r="C155" s="20">
        <v>390.37200000000001</v>
      </c>
      <c r="D155" s="55">
        <v>390372</v>
      </c>
      <c r="E155" s="28">
        <v>33058</v>
      </c>
      <c r="F155" s="29">
        <v>4116</v>
      </c>
      <c r="G155" s="45"/>
      <c r="I155" s="390"/>
      <c r="J155" s="387"/>
      <c r="K155" s="391"/>
    </row>
    <row r="156" spans="1:11" x14ac:dyDescent="0.25">
      <c r="A156" s="43">
        <v>42240</v>
      </c>
      <c r="B156" s="276" t="s">
        <v>384</v>
      </c>
      <c r="C156" s="20">
        <v>227.024</v>
      </c>
      <c r="D156" s="55">
        <v>227024</v>
      </c>
      <c r="E156" s="28">
        <v>33058</v>
      </c>
      <c r="F156" s="29">
        <v>4116</v>
      </c>
      <c r="G156" s="45"/>
      <c r="I156" s="390"/>
      <c r="J156" s="387"/>
      <c r="K156" s="391"/>
    </row>
    <row r="157" spans="1:11" x14ac:dyDescent="0.25">
      <c r="A157" s="43">
        <v>42240</v>
      </c>
      <c r="B157" s="276" t="s">
        <v>385</v>
      </c>
      <c r="C157" s="20">
        <v>649.077</v>
      </c>
      <c r="D157" s="55">
        <v>649077</v>
      </c>
      <c r="E157" s="28">
        <v>33058</v>
      </c>
      <c r="F157" s="29">
        <v>4116</v>
      </c>
      <c r="G157" s="45"/>
      <c r="I157" s="390"/>
      <c r="J157" s="387"/>
      <c r="K157" s="391"/>
    </row>
    <row r="158" spans="1:11" x14ac:dyDescent="0.25">
      <c r="A158" s="43">
        <v>42240</v>
      </c>
      <c r="B158" s="276" t="s">
        <v>386</v>
      </c>
      <c r="C158" s="20">
        <v>982.69299999999998</v>
      </c>
      <c r="D158" s="55">
        <v>982693</v>
      </c>
      <c r="E158" s="28">
        <v>33058</v>
      </c>
      <c r="F158" s="29">
        <v>4116</v>
      </c>
      <c r="G158" s="45"/>
      <c r="I158" s="390"/>
      <c r="J158" s="387"/>
      <c r="K158" s="391"/>
    </row>
    <row r="159" spans="1:11" x14ac:dyDescent="0.25">
      <c r="A159" s="43">
        <v>42240</v>
      </c>
      <c r="B159" s="276" t="s">
        <v>387</v>
      </c>
      <c r="C159" s="20">
        <v>481.1</v>
      </c>
      <c r="D159" s="55">
        <v>481100</v>
      </c>
      <c r="E159" s="28">
        <v>33058</v>
      </c>
      <c r="F159" s="29">
        <v>4116</v>
      </c>
      <c r="G159" s="45"/>
      <c r="I159" s="390"/>
      <c r="J159" s="387"/>
      <c r="K159" s="391"/>
    </row>
    <row r="160" spans="1:11" x14ac:dyDescent="0.25">
      <c r="A160" s="43">
        <v>42240</v>
      </c>
      <c r="B160" s="276" t="s">
        <v>388</v>
      </c>
      <c r="C160" s="20">
        <v>979.07</v>
      </c>
      <c r="D160" s="55">
        <v>979070</v>
      </c>
      <c r="E160" s="28">
        <v>33058</v>
      </c>
      <c r="F160" s="29">
        <v>4116</v>
      </c>
      <c r="G160" s="45"/>
      <c r="I160" s="390"/>
      <c r="J160" s="387"/>
      <c r="K160" s="391"/>
    </row>
    <row r="161" spans="1:11" x14ac:dyDescent="0.25">
      <c r="A161" s="43">
        <v>42240</v>
      </c>
      <c r="B161" s="276" t="s">
        <v>389</v>
      </c>
      <c r="C161" s="20">
        <v>354.06200000000001</v>
      </c>
      <c r="D161" s="55">
        <v>354062</v>
      </c>
      <c r="E161" s="28">
        <v>33058</v>
      </c>
      <c r="F161" s="29">
        <v>4116</v>
      </c>
      <c r="G161" s="45"/>
      <c r="I161" s="390"/>
      <c r="J161" s="387"/>
      <c r="K161" s="391"/>
    </row>
    <row r="162" spans="1:11" x14ac:dyDescent="0.25">
      <c r="A162" s="43">
        <v>42240</v>
      </c>
      <c r="B162" s="276" t="s">
        <v>390</v>
      </c>
      <c r="C162" s="20">
        <v>227.024</v>
      </c>
      <c r="D162" s="55">
        <v>227024</v>
      </c>
      <c r="E162" s="28">
        <v>33058</v>
      </c>
      <c r="F162" s="29">
        <v>4116</v>
      </c>
      <c r="G162" s="45"/>
      <c r="I162" s="390"/>
      <c r="J162" s="387"/>
      <c r="K162" s="391"/>
    </row>
    <row r="163" spans="1:11" x14ac:dyDescent="0.25">
      <c r="A163" s="43">
        <v>42240</v>
      </c>
      <c r="B163" s="276" t="s">
        <v>391</v>
      </c>
      <c r="C163" s="20">
        <v>998.44399999999996</v>
      </c>
      <c r="D163" s="55">
        <v>998444</v>
      </c>
      <c r="E163" s="28">
        <v>33058</v>
      </c>
      <c r="F163" s="29">
        <v>4116</v>
      </c>
      <c r="G163" s="45"/>
      <c r="I163" s="390"/>
      <c r="J163" s="387"/>
      <c r="K163" s="391"/>
    </row>
    <row r="164" spans="1:11" x14ac:dyDescent="0.25">
      <c r="A164" s="43">
        <v>42240</v>
      </c>
      <c r="B164" s="276" t="s">
        <v>540</v>
      </c>
      <c r="C164" s="20">
        <v>265.46800000000002</v>
      </c>
      <c r="D164" s="55">
        <v>265468</v>
      </c>
      <c r="E164" s="28">
        <v>33058</v>
      </c>
      <c r="F164" s="29">
        <v>4116</v>
      </c>
      <c r="G164" s="45"/>
      <c r="H164" s="384"/>
      <c r="I164" s="390"/>
      <c r="J164" s="387"/>
      <c r="K164" s="391"/>
    </row>
    <row r="165" spans="1:11" x14ac:dyDescent="0.25">
      <c r="A165" s="43">
        <v>42242</v>
      </c>
      <c r="B165" s="276" t="s">
        <v>148</v>
      </c>
      <c r="C165" s="20">
        <v>2092.5357399999998</v>
      </c>
      <c r="D165" s="53">
        <v>2092535.74</v>
      </c>
      <c r="E165" s="28">
        <v>33019</v>
      </c>
      <c r="F165" s="29">
        <v>4116</v>
      </c>
      <c r="G165" s="45"/>
      <c r="I165" s="390"/>
      <c r="J165" s="387"/>
      <c r="K165" s="391"/>
    </row>
    <row r="166" spans="1:11" x14ac:dyDescent="0.25">
      <c r="A166" s="43">
        <v>42299</v>
      </c>
      <c r="B166" s="276" t="s">
        <v>544</v>
      </c>
      <c r="C166" s="20">
        <v>0</v>
      </c>
      <c r="D166" s="53">
        <v>204112</v>
      </c>
      <c r="E166" s="28">
        <v>33058</v>
      </c>
      <c r="F166" s="29">
        <v>4116</v>
      </c>
      <c r="G166" s="45"/>
      <c r="I166" s="390"/>
      <c r="J166" s="387"/>
      <c r="K166" s="391"/>
    </row>
    <row r="167" spans="1:11" x14ac:dyDescent="0.25">
      <c r="A167" s="43">
        <v>42299</v>
      </c>
      <c r="B167" s="276" t="s">
        <v>545</v>
      </c>
      <c r="C167" s="20">
        <v>0</v>
      </c>
      <c r="D167" s="53">
        <v>570932</v>
      </c>
      <c r="E167" s="28">
        <v>33058</v>
      </c>
      <c r="F167" s="29">
        <v>4116</v>
      </c>
      <c r="G167" s="45"/>
      <c r="I167" s="390"/>
      <c r="J167" s="387"/>
      <c r="K167" s="391"/>
    </row>
    <row r="168" spans="1:11" x14ac:dyDescent="0.25">
      <c r="A168" s="43">
        <v>42299</v>
      </c>
      <c r="B168" s="276" t="s">
        <v>546</v>
      </c>
      <c r="C168" s="20">
        <v>0</v>
      </c>
      <c r="D168" s="53">
        <v>204112</v>
      </c>
      <c r="E168" s="28">
        <v>33058</v>
      </c>
      <c r="F168" s="29">
        <v>4116</v>
      </c>
      <c r="G168" s="45"/>
      <c r="I168" s="390"/>
      <c r="J168" s="387"/>
      <c r="K168" s="391"/>
    </row>
    <row r="169" spans="1:11" x14ac:dyDescent="0.25">
      <c r="A169" s="43">
        <v>42299</v>
      </c>
      <c r="B169" s="276" t="s">
        <v>547</v>
      </c>
      <c r="C169" s="20">
        <v>0</v>
      </c>
      <c r="D169" s="53">
        <v>204112</v>
      </c>
      <c r="E169" s="28">
        <v>33058</v>
      </c>
      <c r="F169" s="29">
        <v>4116</v>
      </c>
      <c r="G169" s="45"/>
      <c r="I169" s="390"/>
      <c r="J169" s="387"/>
      <c r="K169" s="391"/>
    </row>
    <row r="170" spans="1:11" x14ac:dyDescent="0.25">
      <c r="A170" s="43">
        <v>42299</v>
      </c>
      <c r="B170" s="276" t="s">
        <v>548</v>
      </c>
      <c r="C170" s="20">
        <v>0</v>
      </c>
      <c r="D170" s="53">
        <v>529087</v>
      </c>
      <c r="E170" s="28">
        <v>33058</v>
      </c>
      <c r="F170" s="29">
        <v>4116</v>
      </c>
      <c r="G170" s="45"/>
      <c r="I170" s="390"/>
      <c r="J170" s="387"/>
      <c r="K170" s="391"/>
    </row>
    <row r="171" spans="1:11" x14ac:dyDescent="0.25">
      <c r="A171" s="43">
        <v>42299</v>
      </c>
      <c r="B171" s="276" t="s">
        <v>549</v>
      </c>
      <c r="C171" s="20">
        <v>0</v>
      </c>
      <c r="D171" s="53">
        <v>225616</v>
      </c>
      <c r="E171" s="28">
        <v>33058</v>
      </c>
      <c r="F171" s="29">
        <v>4116</v>
      </c>
      <c r="G171" s="45"/>
      <c r="I171" s="390"/>
      <c r="J171" s="387"/>
      <c r="K171" s="391"/>
    </row>
    <row r="172" spans="1:11" x14ac:dyDescent="0.25">
      <c r="A172" s="43">
        <v>42299</v>
      </c>
      <c r="B172" s="276" t="s">
        <v>550</v>
      </c>
      <c r="C172" s="20">
        <v>0</v>
      </c>
      <c r="D172" s="53">
        <v>204112</v>
      </c>
      <c r="E172" s="28">
        <v>33058</v>
      </c>
      <c r="F172" s="29">
        <v>4116</v>
      </c>
      <c r="G172" s="45"/>
      <c r="I172" s="390"/>
      <c r="J172" s="387"/>
      <c r="K172" s="391"/>
    </row>
    <row r="173" spans="1:11" x14ac:dyDescent="0.25">
      <c r="A173" s="43">
        <v>42299</v>
      </c>
      <c r="B173" s="276" t="s">
        <v>551</v>
      </c>
      <c r="C173" s="20">
        <v>0</v>
      </c>
      <c r="D173" s="53">
        <v>616338</v>
      </c>
      <c r="E173" s="28">
        <v>33058</v>
      </c>
      <c r="F173" s="29">
        <v>4116</v>
      </c>
      <c r="G173" s="45"/>
      <c r="I173" s="390"/>
      <c r="J173" s="387"/>
      <c r="K173" s="391"/>
    </row>
    <row r="174" spans="1:11" x14ac:dyDescent="0.25">
      <c r="A174" s="43">
        <v>42299</v>
      </c>
      <c r="B174" s="276" t="s">
        <v>552</v>
      </c>
      <c r="C174" s="20">
        <v>0</v>
      </c>
      <c r="D174" s="53">
        <v>220850</v>
      </c>
      <c r="E174" s="28">
        <v>33058</v>
      </c>
      <c r="F174" s="29">
        <v>4116</v>
      </c>
      <c r="G174" s="45"/>
      <c r="I174" s="390"/>
      <c r="J174" s="387"/>
      <c r="K174" s="391"/>
    </row>
    <row r="175" spans="1:11" x14ac:dyDescent="0.25">
      <c r="A175" s="43">
        <v>42299</v>
      </c>
      <c r="B175" s="276" t="s">
        <v>553</v>
      </c>
      <c r="C175" s="20">
        <v>0</v>
      </c>
      <c r="D175" s="53">
        <v>229219</v>
      </c>
      <c r="E175" s="28">
        <v>33058</v>
      </c>
      <c r="F175" s="29">
        <v>4116</v>
      </c>
      <c r="G175" s="45"/>
      <c r="I175" s="390"/>
      <c r="J175" s="387"/>
      <c r="K175" s="391"/>
    </row>
    <row r="176" spans="1:11" x14ac:dyDescent="0.25">
      <c r="A176" s="43">
        <v>42299</v>
      </c>
      <c r="B176" s="276" t="s">
        <v>554</v>
      </c>
      <c r="C176" s="20">
        <v>0</v>
      </c>
      <c r="D176" s="53">
        <v>204112</v>
      </c>
      <c r="E176" s="28">
        <v>33058</v>
      </c>
      <c r="F176" s="29">
        <v>4116</v>
      </c>
      <c r="G176" s="45"/>
      <c r="I176" s="390"/>
      <c r="J176" s="387"/>
      <c r="K176" s="391"/>
    </row>
    <row r="177" spans="1:11" x14ac:dyDescent="0.25">
      <c r="A177" s="43">
        <v>42300</v>
      </c>
      <c r="B177" s="276" t="s">
        <v>555</v>
      </c>
      <c r="C177" s="20">
        <v>0</v>
      </c>
      <c r="D177" s="53">
        <v>229219</v>
      </c>
      <c r="E177" s="28">
        <v>33058</v>
      </c>
      <c r="F177" s="29">
        <v>4116</v>
      </c>
      <c r="G177" s="45"/>
      <c r="I177" s="390"/>
      <c r="J177" s="387"/>
      <c r="K177" s="391"/>
    </row>
    <row r="178" spans="1:11" x14ac:dyDescent="0.25">
      <c r="A178" s="43">
        <v>42300</v>
      </c>
      <c r="B178" s="276" t="s">
        <v>556</v>
      </c>
      <c r="C178" s="20">
        <v>0</v>
      </c>
      <c r="D178" s="53">
        <v>392956</v>
      </c>
      <c r="E178" s="28">
        <v>33058</v>
      </c>
      <c r="F178" s="29">
        <v>4116</v>
      </c>
      <c r="G178" s="45"/>
      <c r="I178" s="390"/>
      <c r="J178" s="387"/>
      <c r="K178" s="391"/>
    </row>
    <row r="179" spans="1:11" x14ac:dyDescent="0.25">
      <c r="A179" s="43">
        <v>42300</v>
      </c>
      <c r="B179" s="276" t="s">
        <v>557</v>
      </c>
      <c r="C179" s="20">
        <v>0</v>
      </c>
      <c r="D179" s="53">
        <v>220850</v>
      </c>
      <c r="E179" s="28">
        <v>33058</v>
      </c>
      <c r="F179" s="29">
        <v>4116</v>
      </c>
      <c r="G179" s="45"/>
      <c r="I179" s="390"/>
      <c r="J179" s="387"/>
      <c r="K179" s="391"/>
    </row>
    <row r="180" spans="1:11" x14ac:dyDescent="0.25">
      <c r="A180" s="43">
        <v>42300</v>
      </c>
      <c r="B180" s="276" t="s">
        <v>558</v>
      </c>
      <c r="C180" s="20">
        <v>0</v>
      </c>
      <c r="D180" s="53">
        <v>353692</v>
      </c>
      <c r="E180" s="28">
        <v>33058</v>
      </c>
      <c r="F180" s="29">
        <v>4116</v>
      </c>
      <c r="G180" s="45"/>
      <c r="I180" s="390"/>
      <c r="J180" s="387"/>
      <c r="K180" s="391"/>
    </row>
    <row r="181" spans="1:11" x14ac:dyDescent="0.25">
      <c r="A181" s="43">
        <v>42300</v>
      </c>
      <c r="B181" s="276" t="s">
        <v>559</v>
      </c>
      <c r="C181" s="20">
        <v>0</v>
      </c>
      <c r="D181" s="53">
        <v>112808</v>
      </c>
      <c r="E181" s="28">
        <v>33058</v>
      </c>
      <c r="F181" s="29">
        <v>4116</v>
      </c>
      <c r="G181" s="45"/>
      <c r="I181" s="390"/>
      <c r="J181" s="387"/>
      <c r="K181" s="391"/>
    </row>
    <row r="182" spans="1:11" x14ac:dyDescent="0.25">
      <c r="A182" s="43">
        <v>42300</v>
      </c>
      <c r="B182" s="276" t="s">
        <v>560</v>
      </c>
      <c r="C182" s="20">
        <v>0</v>
      </c>
      <c r="D182" s="53">
        <v>220850</v>
      </c>
      <c r="E182" s="28">
        <v>33058</v>
      </c>
      <c r="F182" s="29">
        <v>4116</v>
      </c>
      <c r="G182" s="45"/>
      <c r="I182" s="390"/>
      <c r="J182" s="387"/>
      <c r="K182" s="391"/>
    </row>
    <row r="183" spans="1:11" x14ac:dyDescent="0.25">
      <c r="A183" s="43"/>
      <c r="B183" s="276"/>
      <c r="C183" s="20"/>
      <c r="D183" s="52"/>
      <c r="E183" s="28"/>
      <c r="F183" s="29"/>
      <c r="G183" s="45"/>
      <c r="I183" s="390"/>
      <c r="J183" s="387"/>
      <c r="K183" s="391"/>
    </row>
    <row r="184" spans="1:11" x14ac:dyDescent="0.25">
      <c r="A184" s="43"/>
      <c r="B184" s="276"/>
      <c r="C184" s="20"/>
      <c r="D184" s="52"/>
      <c r="E184" s="28"/>
      <c r="F184" s="29"/>
      <c r="G184" s="45"/>
      <c r="I184" s="390"/>
      <c r="J184" s="387"/>
      <c r="K184" s="391"/>
    </row>
    <row r="185" spans="1:11" x14ac:dyDescent="0.25">
      <c r="A185" s="43"/>
      <c r="B185" s="276"/>
      <c r="C185" s="20"/>
      <c r="D185" s="52"/>
      <c r="E185" s="28"/>
      <c r="F185" s="29"/>
      <c r="G185" s="45"/>
      <c r="I185" s="390"/>
      <c r="J185" s="387"/>
      <c r="K185" s="391"/>
    </row>
    <row r="186" spans="1:11" x14ac:dyDescent="0.25">
      <c r="A186" s="43"/>
      <c r="B186" s="107"/>
      <c r="C186" s="20"/>
      <c r="D186" s="52"/>
      <c r="E186" s="28"/>
      <c r="F186" s="29">
        <v>4116</v>
      </c>
      <c r="G186" s="45"/>
      <c r="I186" s="390"/>
      <c r="J186" s="387"/>
      <c r="K186" s="391"/>
    </row>
    <row r="187" spans="1:11" x14ac:dyDescent="0.25">
      <c r="A187" s="43"/>
      <c r="B187" s="273" t="s">
        <v>35</v>
      </c>
      <c r="C187" s="30">
        <f>+SUM(C188:C194)</f>
        <v>2686.6678700000002</v>
      </c>
      <c r="D187" s="30">
        <f>+SUM(D188:D194)</f>
        <v>3487799.87</v>
      </c>
      <c r="E187" s="28"/>
      <c r="F187" s="29"/>
      <c r="G187" s="45"/>
      <c r="I187" s="390"/>
      <c r="J187" s="387"/>
      <c r="K187" s="391"/>
    </row>
    <row r="188" spans="1:11" x14ac:dyDescent="0.25">
      <c r="A188" s="43">
        <v>42040</v>
      </c>
      <c r="B188" s="107" t="s">
        <v>60</v>
      </c>
      <c r="C188" s="52">
        <v>2686.6678700000002</v>
      </c>
      <c r="D188" s="52">
        <v>2686667.87</v>
      </c>
      <c r="E188" s="28">
        <v>17003</v>
      </c>
      <c r="F188" s="29" t="s">
        <v>18</v>
      </c>
      <c r="G188" s="45"/>
      <c r="I188" s="390"/>
      <c r="J188" s="387"/>
      <c r="K188" s="391"/>
    </row>
    <row r="189" spans="1:11" x14ac:dyDescent="0.25">
      <c r="A189" s="43">
        <v>42059</v>
      </c>
      <c r="B189" s="107" t="s">
        <v>105</v>
      </c>
      <c r="C189" s="52">
        <v>188.21549999999999</v>
      </c>
      <c r="D189" s="52">
        <v>188215.5</v>
      </c>
      <c r="E189" s="28">
        <v>17003</v>
      </c>
      <c r="F189" s="29">
        <v>4116</v>
      </c>
      <c r="G189" s="45"/>
      <c r="I189" s="390"/>
      <c r="J189" s="387"/>
      <c r="K189" s="391"/>
    </row>
    <row r="190" spans="1:11" x14ac:dyDescent="0.25">
      <c r="A190" s="43">
        <v>42059</v>
      </c>
      <c r="B190" s="107" t="s">
        <v>105</v>
      </c>
      <c r="C190" s="52">
        <v>33.214500000000001</v>
      </c>
      <c r="D190" s="52">
        <v>33214.5</v>
      </c>
      <c r="E190" s="28">
        <v>17002</v>
      </c>
      <c r="F190" s="29">
        <v>4116</v>
      </c>
      <c r="G190" s="45"/>
      <c r="I190" s="390"/>
      <c r="J190" s="387"/>
      <c r="K190" s="391"/>
    </row>
    <row r="191" spans="1:11" x14ac:dyDescent="0.25">
      <c r="A191" s="43">
        <v>42241</v>
      </c>
      <c r="B191" s="107" t="s">
        <v>379</v>
      </c>
      <c r="C191" s="52">
        <v>-188.21549999999999</v>
      </c>
      <c r="D191" s="52">
        <v>-188215.5</v>
      </c>
      <c r="E191" s="28">
        <v>17003</v>
      </c>
      <c r="F191" s="29">
        <v>4116</v>
      </c>
      <c r="G191" s="45"/>
      <c r="I191" s="390"/>
      <c r="J191" s="387"/>
      <c r="K191" s="391"/>
    </row>
    <row r="192" spans="1:11" x14ac:dyDescent="0.25">
      <c r="A192" s="43">
        <v>42241</v>
      </c>
      <c r="B192" s="107" t="s">
        <v>379</v>
      </c>
      <c r="C192" s="52">
        <v>-33.214500000000001</v>
      </c>
      <c r="D192" s="52">
        <v>-33214.5</v>
      </c>
      <c r="E192" s="28">
        <v>17002</v>
      </c>
      <c r="F192" s="29">
        <v>4116</v>
      </c>
      <c r="G192" s="45"/>
      <c r="I192" s="390"/>
      <c r="J192" s="387"/>
      <c r="K192" s="391"/>
    </row>
    <row r="193" spans="1:11" x14ac:dyDescent="0.25">
      <c r="A193" s="43"/>
      <c r="B193" s="289" t="s">
        <v>541</v>
      </c>
      <c r="C193" s="52">
        <v>0</v>
      </c>
      <c r="D193" s="52">
        <v>801132</v>
      </c>
      <c r="E193" s="28">
        <v>17005</v>
      </c>
      <c r="F193" s="29">
        <v>4116</v>
      </c>
      <c r="G193" s="384" t="s">
        <v>347</v>
      </c>
      <c r="I193" s="390"/>
      <c r="J193" s="387"/>
      <c r="K193" s="391">
        <v>801132</v>
      </c>
    </row>
    <row r="194" spans="1:11" x14ac:dyDescent="0.25">
      <c r="A194" s="43"/>
      <c r="B194" s="289"/>
      <c r="C194" s="52"/>
      <c r="D194" s="52"/>
      <c r="E194" s="28"/>
      <c r="F194" s="29"/>
      <c r="G194" s="45"/>
      <c r="I194" s="390"/>
      <c r="J194" s="387"/>
      <c r="K194" s="391"/>
    </row>
    <row r="195" spans="1:11" x14ac:dyDescent="0.25">
      <c r="A195" s="43"/>
      <c r="B195" s="31" t="s">
        <v>36</v>
      </c>
      <c r="C195" s="30">
        <f>+SUM(C196:C200)</f>
        <v>60120.788510000006</v>
      </c>
      <c r="D195" s="30">
        <f>+SUM(D196:D200)</f>
        <v>60120788.509999998</v>
      </c>
      <c r="E195" s="28"/>
      <c r="F195" s="29"/>
      <c r="G195" s="45"/>
      <c r="I195" s="390"/>
      <c r="J195" s="387"/>
      <c r="K195" s="391"/>
    </row>
    <row r="196" spans="1:11" x14ac:dyDescent="0.25">
      <c r="A196" s="43">
        <v>42163</v>
      </c>
      <c r="B196" s="107" t="s">
        <v>237</v>
      </c>
      <c r="C196" s="20">
        <v>46797.196000000004</v>
      </c>
      <c r="D196" s="52">
        <v>46797196</v>
      </c>
      <c r="E196" s="28">
        <v>13011</v>
      </c>
      <c r="F196" s="29">
        <v>4116</v>
      </c>
      <c r="G196" s="384" t="s">
        <v>348</v>
      </c>
      <c r="H196" s="384">
        <v>-42649848</v>
      </c>
      <c r="I196" s="390"/>
      <c r="J196" s="387">
        <v>42649848</v>
      </c>
      <c r="K196" s="391"/>
    </row>
    <row r="197" spans="1:11" x14ac:dyDescent="0.25">
      <c r="A197" s="43">
        <v>42163</v>
      </c>
      <c r="B197" s="107" t="s">
        <v>238</v>
      </c>
      <c r="C197" s="20">
        <v>505.56599999999997</v>
      </c>
      <c r="D197" s="52">
        <v>505566</v>
      </c>
      <c r="E197" s="28">
        <v>13011</v>
      </c>
      <c r="F197" s="29">
        <v>4116</v>
      </c>
      <c r="G197" s="45"/>
      <c r="I197" s="390"/>
      <c r="J197" s="387"/>
      <c r="K197" s="391"/>
    </row>
    <row r="198" spans="1:11" x14ac:dyDescent="0.25">
      <c r="A198" s="43">
        <v>42271</v>
      </c>
      <c r="B198" s="107" t="s">
        <v>423</v>
      </c>
      <c r="C198" s="20">
        <v>12309</v>
      </c>
      <c r="D198" s="52">
        <v>12309000</v>
      </c>
      <c r="E198" s="28">
        <v>13015</v>
      </c>
      <c r="F198" s="29">
        <v>4116</v>
      </c>
      <c r="G198" s="45"/>
      <c r="I198" s="390"/>
      <c r="J198" s="387"/>
      <c r="K198" s="391"/>
    </row>
    <row r="199" spans="1:11" x14ac:dyDescent="0.25">
      <c r="A199" s="43"/>
      <c r="B199" s="44" t="s">
        <v>196</v>
      </c>
      <c r="C199" s="175">
        <v>181.30393000000001</v>
      </c>
      <c r="D199" s="175">
        <v>181303.93</v>
      </c>
      <c r="E199" s="28">
        <v>13233</v>
      </c>
      <c r="F199" s="29">
        <v>4116</v>
      </c>
      <c r="G199" s="45"/>
      <c r="I199" s="390"/>
      <c r="J199" s="387">
        <v>181303.93</v>
      </c>
      <c r="K199" s="391"/>
    </row>
    <row r="200" spans="1:11" x14ac:dyDescent="0.25">
      <c r="A200" s="43"/>
      <c r="B200" s="44" t="s">
        <v>203</v>
      </c>
      <c r="C200" s="175">
        <v>327.72257999999999</v>
      </c>
      <c r="D200" s="175">
        <v>327722.58</v>
      </c>
      <c r="E200" s="28">
        <v>13233</v>
      </c>
      <c r="F200" s="29">
        <v>4116</v>
      </c>
      <c r="G200" s="45"/>
      <c r="I200" s="390"/>
      <c r="J200" s="387">
        <v>327722.58</v>
      </c>
      <c r="K200" s="391"/>
    </row>
    <row r="201" spans="1:11" x14ac:dyDescent="0.25">
      <c r="A201" s="43"/>
      <c r="B201" s="58"/>
      <c r="C201" s="46"/>
      <c r="D201" s="358"/>
      <c r="E201" s="28"/>
      <c r="F201" s="29"/>
      <c r="G201" s="45"/>
      <c r="I201" s="390"/>
      <c r="J201" s="387"/>
      <c r="K201" s="391"/>
    </row>
    <row r="202" spans="1:11" x14ac:dyDescent="0.25">
      <c r="A202" s="43"/>
      <c r="B202" s="273" t="s">
        <v>38</v>
      </c>
      <c r="C202" s="30">
        <f>+C203</f>
        <v>600</v>
      </c>
      <c r="D202" s="30">
        <f>+D203</f>
        <v>600000</v>
      </c>
      <c r="E202" s="28"/>
      <c r="F202" s="29"/>
      <c r="G202" s="45"/>
      <c r="I202" s="390"/>
      <c r="J202" s="387"/>
      <c r="K202" s="391"/>
    </row>
    <row r="203" spans="1:11" x14ac:dyDescent="0.25">
      <c r="A203" s="43">
        <v>42051</v>
      </c>
      <c r="B203" s="107" t="s">
        <v>39</v>
      </c>
      <c r="C203" s="46">
        <v>600</v>
      </c>
      <c r="D203" s="46">
        <v>600000</v>
      </c>
      <c r="E203" s="28">
        <v>22005</v>
      </c>
      <c r="F203" s="29" t="s">
        <v>18</v>
      </c>
      <c r="G203" s="45"/>
      <c r="I203" s="390"/>
      <c r="J203" s="387"/>
      <c r="K203" s="391"/>
    </row>
    <row r="204" spans="1:11" x14ac:dyDescent="0.25">
      <c r="A204" s="43"/>
      <c r="B204" s="276"/>
      <c r="C204" s="46"/>
      <c r="D204" s="46"/>
      <c r="E204" s="28"/>
      <c r="F204" s="29"/>
      <c r="G204" s="45"/>
      <c r="I204" s="390"/>
      <c r="J204" s="387"/>
      <c r="K204" s="391"/>
    </row>
    <row r="205" spans="1:11" x14ac:dyDescent="0.25">
      <c r="A205" s="43"/>
      <c r="B205" s="273" t="s">
        <v>40</v>
      </c>
      <c r="C205" s="30">
        <f>SUM(C206:C223)</f>
        <v>2027.6526699999999</v>
      </c>
      <c r="D205" s="30">
        <f>SUM(D206:D223)</f>
        <v>2103195.67</v>
      </c>
      <c r="E205" s="28"/>
      <c r="F205" s="29"/>
      <c r="G205" s="45"/>
      <c r="I205" s="390"/>
      <c r="J205" s="387"/>
      <c r="K205" s="391"/>
    </row>
    <row r="206" spans="1:11" x14ac:dyDescent="0.25">
      <c r="A206" s="43">
        <v>42081</v>
      </c>
      <c r="B206" s="276" t="s">
        <v>118</v>
      </c>
      <c r="C206" s="46">
        <v>134.988</v>
      </c>
      <c r="D206" s="47">
        <v>134988</v>
      </c>
      <c r="E206" s="28">
        <v>14023</v>
      </c>
      <c r="F206" s="29">
        <v>4116</v>
      </c>
      <c r="G206" s="45"/>
      <c r="I206" s="390"/>
      <c r="J206" s="387"/>
      <c r="K206" s="391"/>
    </row>
    <row r="207" spans="1:11" x14ac:dyDescent="0.25">
      <c r="A207" s="43">
        <v>42082</v>
      </c>
      <c r="B207" s="276" t="s">
        <v>119</v>
      </c>
      <c r="C207" s="46">
        <v>72</v>
      </c>
      <c r="D207" s="47">
        <v>72000</v>
      </c>
      <c r="E207" s="28">
        <v>14336</v>
      </c>
      <c r="F207" s="29">
        <v>4116</v>
      </c>
      <c r="G207" s="45"/>
      <c r="I207" s="390"/>
      <c r="J207" s="387"/>
      <c r="K207" s="391"/>
    </row>
    <row r="208" spans="1:11" x14ac:dyDescent="0.25">
      <c r="A208" s="43">
        <v>42087</v>
      </c>
      <c r="B208" s="276" t="s">
        <v>118</v>
      </c>
      <c r="C208" s="46">
        <v>0.8</v>
      </c>
      <c r="D208" s="47">
        <v>800</v>
      </c>
      <c r="E208" s="28">
        <v>14023</v>
      </c>
      <c r="F208" s="29">
        <v>4116</v>
      </c>
      <c r="G208" s="45"/>
      <c r="I208" s="390"/>
      <c r="J208" s="387"/>
      <c r="K208" s="391"/>
    </row>
    <row r="209" spans="1:11" x14ac:dyDescent="0.25">
      <c r="A209" s="43">
        <v>42090</v>
      </c>
      <c r="B209" s="276" t="s">
        <v>118</v>
      </c>
      <c r="C209" s="46">
        <v>66.06</v>
      </c>
      <c r="D209" s="47">
        <v>66060</v>
      </c>
      <c r="E209" s="28">
        <v>14023</v>
      </c>
      <c r="F209" s="29">
        <v>4116</v>
      </c>
      <c r="G209" s="45"/>
      <c r="I209" s="390"/>
      <c r="J209" s="387"/>
      <c r="K209" s="391"/>
    </row>
    <row r="210" spans="1:11" x14ac:dyDescent="0.25">
      <c r="A210" s="43">
        <v>42096</v>
      </c>
      <c r="B210" s="276" t="s">
        <v>136</v>
      </c>
      <c r="C210" s="46">
        <v>72</v>
      </c>
      <c r="D210" s="47">
        <v>72000</v>
      </c>
      <c r="E210" s="28">
        <v>14336</v>
      </c>
      <c r="F210" s="29">
        <v>4116</v>
      </c>
      <c r="G210" s="45"/>
      <c r="I210" s="390"/>
      <c r="J210" s="387"/>
      <c r="K210" s="391"/>
    </row>
    <row r="211" spans="1:11" x14ac:dyDescent="0.25">
      <c r="A211" s="43">
        <v>42096</v>
      </c>
      <c r="B211" s="276" t="s">
        <v>137</v>
      </c>
      <c r="C211" s="46">
        <v>72</v>
      </c>
      <c r="D211" s="47">
        <v>72000</v>
      </c>
      <c r="E211" s="28">
        <v>14336</v>
      </c>
      <c r="F211" s="29">
        <v>4116</v>
      </c>
      <c r="G211" s="45"/>
      <c r="I211" s="390"/>
      <c r="J211" s="387"/>
      <c r="K211" s="391"/>
    </row>
    <row r="212" spans="1:11" x14ac:dyDescent="0.25">
      <c r="A212" s="43">
        <v>42123</v>
      </c>
      <c r="B212" s="276" t="s">
        <v>153</v>
      </c>
      <c r="C212" s="46">
        <v>72</v>
      </c>
      <c r="D212" s="47">
        <v>72000</v>
      </c>
      <c r="E212" s="28">
        <v>14336</v>
      </c>
      <c r="F212" s="29">
        <v>4116</v>
      </c>
      <c r="G212" s="45"/>
      <c r="I212" s="390"/>
      <c r="J212" s="387"/>
      <c r="K212" s="391"/>
    </row>
    <row r="213" spans="1:11" x14ac:dyDescent="0.25">
      <c r="A213" s="43">
        <v>42128</v>
      </c>
      <c r="B213" s="276" t="s">
        <v>118</v>
      </c>
      <c r="C213" s="46">
        <v>65.341999999999999</v>
      </c>
      <c r="D213" s="47">
        <v>65342</v>
      </c>
      <c r="E213" s="28">
        <v>14023</v>
      </c>
      <c r="F213" s="29">
        <v>4116</v>
      </c>
      <c r="G213" s="45"/>
      <c r="I213" s="390"/>
      <c r="J213" s="387"/>
      <c r="K213" s="391"/>
    </row>
    <row r="214" spans="1:11" x14ac:dyDescent="0.25">
      <c r="A214" s="43">
        <v>42152</v>
      </c>
      <c r="B214" s="276" t="s">
        <v>118</v>
      </c>
      <c r="C214" s="46">
        <v>69.66</v>
      </c>
      <c r="D214" s="47">
        <v>69660</v>
      </c>
      <c r="E214" s="28">
        <v>14023</v>
      </c>
      <c r="F214" s="29">
        <v>4116</v>
      </c>
      <c r="G214" s="45"/>
      <c r="I214" s="390"/>
      <c r="J214" s="387"/>
      <c r="K214" s="391"/>
    </row>
    <row r="215" spans="1:11" x14ac:dyDescent="0.25">
      <c r="A215" s="43">
        <v>42166</v>
      </c>
      <c r="B215" s="276" t="s">
        <v>229</v>
      </c>
      <c r="C215" s="46">
        <v>721</v>
      </c>
      <c r="D215" s="47">
        <f>757000-36000</f>
        <v>721000</v>
      </c>
      <c r="E215" s="28">
        <v>14018</v>
      </c>
      <c r="F215" s="29">
        <v>4116</v>
      </c>
      <c r="G215" s="45"/>
      <c r="I215" s="390"/>
      <c r="J215" s="387"/>
      <c r="K215" s="391"/>
    </row>
    <row r="216" spans="1:11" x14ac:dyDescent="0.25">
      <c r="A216" s="43">
        <v>42181</v>
      </c>
      <c r="B216" s="276" t="s">
        <v>247</v>
      </c>
      <c r="C216" s="46">
        <v>102.74966999999999</v>
      </c>
      <c r="D216" s="47">
        <v>102749.67</v>
      </c>
      <c r="E216" s="28">
        <v>14013</v>
      </c>
      <c r="F216" s="29">
        <v>4116</v>
      </c>
      <c r="G216" s="45"/>
      <c r="I216" s="390"/>
      <c r="J216" s="387"/>
      <c r="K216" s="391"/>
    </row>
    <row r="217" spans="1:11" x14ac:dyDescent="0.25">
      <c r="A217" s="43">
        <v>42184</v>
      </c>
      <c r="B217" s="276" t="s">
        <v>118</v>
      </c>
      <c r="C217" s="46">
        <f>69.6456+12.2904</f>
        <v>81.936000000000007</v>
      </c>
      <c r="D217" s="47">
        <v>81936</v>
      </c>
      <c r="E217" s="28">
        <v>14023</v>
      </c>
      <c r="F217" s="29">
        <v>4116</v>
      </c>
      <c r="G217" s="45"/>
      <c r="I217" s="390"/>
      <c r="J217" s="387"/>
      <c r="K217" s="391"/>
    </row>
    <row r="218" spans="1:11" x14ac:dyDescent="0.25">
      <c r="A218" s="43">
        <v>42213</v>
      </c>
      <c r="B218" s="276" t="s">
        <v>118</v>
      </c>
      <c r="C218" s="46">
        <v>67.016000000000005</v>
      </c>
      <c r="D218" s="47">
        <v>67016</v>
      </c>
      <c r="E218" s="28">
        <v>14023</v>
      </c>
      <c r="F218" s="29">
        <v>4116</v>
      </c>
      <c r="G218" s="45"/>
      <c r="I218" s="390"/>
      <c r="J218" s="402"/>
      <c r="K218" s="391"/>
    </row>
    <row r="219" spans="1:11" x14ac:dyDescent="0.25">
      <c r="A219" s="43">
        <v>42241</v>
      </c>
      <c r="B219" s="276" t="s">
        <v>118</v>
      </c>
      <c r="C219" s="46">
        <v>69.228999999999999</v>
      </c>
      <c r="D219" s="47">
        <f>58844.65+10384.35</f>
        <v>69229</v>
      </c>
      <c r="E219" s="28">
        <v>14023</v>
      </c>
      <c r="F219" s="29">
        <v>4116</v>
      </c>
      <c r="G219" s="45"/>
      <c r="I219" s="390"/>
      <c r="J219" s="402"/>
      <c r="K219" s="391"/>
    </row>
    <row r="220" spans="1:11" x14ac:dyDescent="0.25">
      <c r="A220" s="43">
        <v>42278</v>
      </c>
      <c r="B220" s="276" t="s">
        <v>118</v>
      </c>
      <c r="C220" s="46">
        <v>0</v>
      </c>
      <c r="D220" s="47">
        <v>75543</v>
      </c>
      <c r="E220" s="28">
        <v>14023</v>
      </c>
      <c r="F220" s="29">
        <v>4116</v>
      </c>
      <c r="G220" s="45">
        <f>75993-D220</f>
        <v>450</v>
      </c>
      <c r="I220" s="390"/>
      <c r="J220" s="402"/>
      <c r="K220" s="391"/>
    </row>
    <row r="221" spans="1:11" x14ac:dyDescent="0.25">
      <c r="A221" s="43"/>
      <c r="B221" s="276" t="s">
        <v>398</v>
      </c>
      <c r="C221" s="179">
        <v>300</v>
      </c>
      <c r="D221" s="179">
        <v>300000</v>
      </c>
      <c r="E221" s="28">
        <v>14336</v>
      </c>
      <c r="F221" s="29">
        <v>4116</v>
      </c>
      <c r="G221" s="384"/>
      <c r="H221" s="384"/>
      <c r="I221" s="390"/>
      <c r="J221" s="402">
        <v>300000</v>
      </c>
      <c r="K221" s="391"/>
    </row>
    <row r="222" spans="1:11" x14ac:dyDescent="0.25">
      <c r="A222" s="43"/>
      <c r="B222" s="276" t="s">
        <v>274</v>
      </c>
      <c r="C222" s="179">
        <v>36</v>
      </c>
      <c r="D222" s="179">
        <v>36000</v>
      </c>
      <c r="E222" s="28">
        <v>14018</v>
      </c>
      <c r="F222" s="29">
        <v>4116</v>
      </c>
      <c r="G222" s="45"/>
      <c r="I222" s="390"/>
      <c r="J222" s="402">
        <v>36000</v>
      </c>
      <c r="K222" s="391"/>
    </row>
    <row r="223" spans="1:11" x14ac:dyDescent="0.25">
      <c r="A223" s="43"/>
      <c r="B223" s="276" t="s">
        <v>113</v>
      </c>
      <c r="C223" s="179">
        <f>15.968+8.904</f>
        <v>24.872</v>
      </c>
      <c r="D223" s="179">
        <f>7480+8488+8904</f>
        <v>24872</v>
      </c>
      <c r="E223" s="28">
        <v>14137</v>
      </c>
      <c r="F223" s="29">
        <v>4116</v>
      </c>
      <c r="G223" s="45"/>
      <c r="I223" s="390"/>
      <c r="J223" s="387">
        <v>24872</v>
      </c>
      <c r="K223" s="391"/>
    </row>
    <row r="224" spans="1:11" x14ac:dyDescent="0.25">
      <c r="A224" s="43"/>
      <c r="B224" s="276"/>
      <c r="C224" s="46"/>
      <c r="D224" s="46"/>
      <c r="E224" s="28"/>
      <c r="F224" s="48"/>
      <c r="G224" s="45"/>
      <c r="I224" s="390"/>
      <c r="J224" s="387"/>
      <c r="K224" s="391"/>
    </row>
    <row r="225" spans="1:11" x14ac:dyDescent="0.25">
      <c r="A225" s="43"/>
      <c r="B225" s="273" t="s">
        <v>41</v>
      </c>
      <c r="C225" s="30">
        <f>+SUM(C226:C237)</f>
        <v>325.37400000000002</v>
      </c>
      <c r="D225" s="30">
        <f>+SUM(D226:D237)</f>
        <v>650748</v>
      </c>
      <c r="E225" s="28"/>
      <c r="F225" s="48"/>
      <c r="G225" s="45"/>
      <c r="I225" s="390"/>
      <c r="J225" s="387"/>
      <c r="K225" s="391"/>
    </row>
    <row r="226" spans="1:11" x14ac:dyDescent="0.25">
      <c r="A226" s="43">
        <v>42118</v>
      </c>
      <c r="B226" s="276" t="s">
        <v>93</v>
      </c>
      <c r="C226" s="46">
        <v>18.0625</v>
      </c>
      <c r="D226" s="46">
        <v>18062.5</v>
      </c>
      <c r="E226" s="28">
        <v>35019</v>
      </c>
      <c r="F226" s="48">
        <v>4116</v>
      </c>
      <c r="G226" s="45"/>
      <c r="I226" s="390"/>
      <c r="J226" s="387"/>
      <c r="K226" s="391"/>
    </row>
    <row r="227" spans="1:11" x14ac:dyDescent="0.25">
      <c r="A227" s="43">
        <v>42118</v>
      </c>
      <c r="B227" s="276" t="s">
        <v>94</v>
      </c>
      <c r="C227" s="46">
        <v>17.977499999999999</v>
      </c>
      <c r="D227" s="46">
        <v>17977.5</v>
      </c>
      <c r="E227" s="28">
        <v>35019</v>
      </c>
      <c r="F227" s="48">
        <v>4116</v>
      </c>
      <c r="G227" s="439"/>
      <c r="H227"/>
      <c r="I227" s="390"/>
      <c r="J227" s="387"/>
      <c r="K227" s="391"/>
    </row>
    <row r="228" spans="1:11" x14ac:dyDescent="0.25">
      <c r="A228" s="43">
        <v>42118</v>
      </c>
      <c r="B228" s="276" t="s">
        <v>95</v>
      </c>
      <c r="C228" s="46">
        <v>32.084000000000003</v>
      </c>
      <c r="D228" s="46">
        <v>32084</v>
      </c>
      <c r="E228" s="28">
        <v>35019</v>
      </c>
      <c r="F228" s="48">
        <v>4116</v>
      </c>
      <c r="G228" s="439"/>
      <c r="H228" s="440"/>
      <c r="I228" s="390"/>
      <c r="J228" s="387"/>
      <c r="K228" s="391"/>
    </row>
    <row r="229" spans="1:11" x14ac:dyDescent="0.25">
      <c r="A229" s="43">
        <v>42118</v>
      </c>
      <c r="B229" s="276" t="s">
        <v>95</v>
      </c>
      <c r="C229" s="46">
        <v>77</v>
      </c>
      <c r="D229" s="46">
        <v>77000</v>
      </c>
      <c r="E229" s="28">
        <v>35019</v>
      </c>
      <c r="F229" s="48">
        <v>4116</v>
      </c>
      <c r="G229" s="439"/>
      <c r="H229"/>
      <c r="I229" s="390"/>
      <c r="J229" s="387"/>
      <c r="K229" s="391"/>
    </row>
    <row r="230" spans="1:11" x14ac:dyDescent="0.25">
      <c r="A230" s="43">
        <v>42118</v>
      </c>
      <c r="B230" s="276" t="s">
        <v>92</v>
      </c>
      <c r="C230" s="46">
        <v>40.25</v>
      </c>
      <c r="D230" s="46">
        <v>40250</v>
      </c>
      <c r="E230" s="28">
        <v>35019</v>
      </c>
      <c r="F230" s="48">
        <v>4116</v>
      </c>
      <c r="G230" s="439"/>
      <c r="H230" s="440"/>
      <c r="I230" s="390"/>
      <c r="J230" s="387"/>
      <c r="K230" s="391"/>
    </row>
    <row r="231" spans="1:11" x14ac:dyDescent="0.25">
      <c r="A231" s="43">
        <v>42172</v>
      </c>
      <c r="B231" s="276" t="s">
        <v>100</v>
      </c>
      <c r="C231" s="46">
        <v>140</v>
      </c>
      <c r="D231" s="46">
        <v>140000</v>
      </c>
      <c r="E231" s="28">
        <v>35015</v>
      </c>
      <c r="F231" s="48">
        <v>4116</v>
      </c>
      <c r="G231" s="439"/>
      <c r="H231" s="440"/>
      <c r="I231" s="390"/>
      <c r="J231" s="387"/>
      <c r="K231" s="391"/>
    </row>
    <row r="232" spans="1:11" x14ac:dyDescent="0.25">
      <c r="A232" s="43">
        <v>42299</v>
      </c>
      <c r="B232" s="276" t="s">
        <v>93</v>
      </c>
      <c r="C232" s="46">
        <v>0</v>
      </c>
      <c r="D232" s="46">
        <v>18062.5</v>
      </c>
      <c r="E232" s="28">
        <v>35019</v>
      </c>
      <c r="F232" s="48">
        <v>4116</v>
      </c>
      <c r="G232" s="439"/>
      <c r="H232" s="440"/>
      <c r="I232" s="390"/>
      <c r="J232" s="387"/>
      <c r="K232" s="391"/>
    </row>
    <row r="233" spans="1:11" x14ac:dyDescent="0.25">
      <c r="A233" s="43">
        <v>42299</v>
      </c>
      <c r="B233" s="276" t="s">
        <v>94</v>
      </c>
      <c r="C233" s="46">
        <v>0</v>
      </c>
      <c r="D233" s="46">
        <v>17977.5</v>
      </c>
      <c r="E233" s="28">
        <v>35019</v>
      </c>
      <c r="F233" s="48">
        <v>4116</v>
      </c>
      <c r="G233" s="45"/>
      <c r="I233" s="390"/>
      <c r="J233" s="387"/>
      <c r="K233" s="391"/>
    </row>
    <row r="234" spans="1:11" x14ac:dyDescent="0.25">
      <c r="A234" s="43">
        <v>42299</v>
      </c>
      <c r="B234" s="276" t="s">
        <v>95</v>
      </c>
      <c r="C234" s="46">
        <v>0</v>
      </c>
      <c r="D234" s="46">
        <v>32084</v>
      </c>
      <c r="E234" s="28">
        <v>35019</v>
      </c>
      <c r="F234" s="48">
        <v>4116</v>
      </c>
      <c r="G234" s="45"/>
      <c r="I234" s="390"/>
      <c r="J234" s="387"/>
      <c r="K234" s="391"/>
    </row>
    <row r="235" spans="1:11" x14ac:dyDescent="0.25">
      <c r="A235" s="43">
        <v>42300</v>
      </c>
      <c r="B235" s="276" t="s">
        <v>95</v>
      </c>
      <c r="C235" s="46">
        <v>0</v>
      </c>
      <c r="D235" s="46">
        <v>77000</v>
      </c>
      <c r="E235" s="28">
        <v>35019</v>
      </c>
      <c r="F235" s="48">
        <v>4116</v>
      </c>
      <c r="G235" s="45"/>
      <c r="I235" s="390"/>
      <c r="J235" s="387"/>
      <c r="K235" s="391"/>
    </row>
    <row r="236" spans="1:11" x14ac:dyDescent="0.25">
      <c r="A236" s="43">
        <v>42300</v>
      </c>
      <c r="B236" s="276" t="s">
        <v>92</v>
      </c>
      <c r="C236" s="46">
        <v>0</v>
      </c>
      <c r="D236" s="46">
        <v>40250</v>
      </c>
      <c r="E236" s="28">
        <v>35019</v>
      </c>
      <c r="F236" s="48">
        <v>4116</v>
      </c>
      <c r="G236" s="45"/>
      <c r="I236" s="390"/>
      <c r="J236" s="387"/>
      <c r="K236" s="391"/>
    </row>
    <row r="237" spans="1:11" x14ac:dyDescent="0.25">
      <c r="A237" s="43">
        <v>42300</v>
      </c>
      <c r="B237" s="276" t="s">
        <v>100</v>
      </c>
      <c r="C237" s="46">
        <v>0</v>
      </c>
      <c r="D237" s="46">
        <v>140000</v>
      </c>
      <c r="E237" s="28">
        <v>35015</v>
      </c>
      <c r="F237" s="48">
        <v>4116</v>
      </c>
      <c r="G237" s="45"/>
      <c r="I237" s="390"/>
      <c r="J237" s="387"/>
      <c r="K237" s="391"/>
    </row>
    <row r="238" spans="1:11" x14ac:dyDescent="0.25">
      <c r="A238" s="43"/>
      <c r="B238" s="276"/>
      <c r="C238" s="46"/>
      <c r="D238" s="46"/>
      <c r="E238" s="28"/>
      <c r="F238" s="48"/>
      <c r="G238" s="45"/>
      <c r="I238" s="390"/>
      <c r="J238" s="387"/>
      <c r="K238" s="391"/>
    </row>
    <row r="239" spans="1:11" x14ac:dyDescent="0.25">
      <c r="A239" s="43"/>
      <c r="B239" s="273" t="s">
        <v>42</v>
      </c>
      <c r="C239" s="30">
        <f>+SUM(C240:C243)</f>
        <v>266.166</v>
      </c>
      <c r="D239" s="30">
        <f>+SUM(D240:D243)</f>
        <v>266166</v>
      </c>
      <c r="E239" s="28"/>
      <c r="F239" s="48"/>
      <c r="G239" s="45"/>
      <c r="I239" s="390"/>
      <c r="J239" s="387"/>
      <c r="K239" s="391"/>
    </row>
    <row r="240" spans="1:11" x14ac:dyDescent="0.25">
      <c r="A240" s="43">
        <v>42142</v>
      </c>
      <c r="B240" s="276" t="s">
        <v>43</v>
      </c>
      <c r="C240" s="46">
        <v>86.159000000000006</v>
      </c>
      <c r="D240" s="46">
        <v>86159</v>
      </c>
      <c r="E240" s="28">
        <v>29008</v>
      </c>
      <c r="F240" s="48">
        <v>4116</v>
      </c>
      <c r="G240" s="45"/>
      <c r="I240" s="390"/>
      <c r="J240" s="387"/>
      <c r="K240" s="391"/>
    </row>
    <row r="241" spans="1:11" x14ac:dyDescent="0.25">
      <c r="A241" s="43">
        <v>42157</v>
      </c>
      <c r="B241" s="276" t="s">
        <v>44</v>
      </c>
      <c r="C241" s="46">
        <v>10.5</v>
      </c>
      <c r="D241" s="46">
        <v>10500</v>
      </c>
      <c r="E241" s="28">
        <v>29004</v>
      </c>
      <c r="F241" s="48">
        <v>4116</v>
      </c>
      <c r="G241" s="45"/>
      <c r="I241" s="390"/>
      <c r="J241" s="387"/>
      <c r="K241" s="391"/>
    </row>
    <row r="242" spans="1:11" x14ac:dyDescent="0.25">
      <c r="A242" s="43">
        <v>42163</v>
      </c>
      <c r="B242" s="276" t="s">
        <v>43</v>
      </c>
      <c r="C242" s="46">
        <v>84.284999999999997</v>
      </c>
      <c r="D242" s="46">
        <v>84285</v>
      </c>
      <c r="E242" s="28">
        <v>29008</v>
      </c>
      <c r="F242" s="48">
        <v>4116</v>
      </c>
      <c r="G242" s="45"/>
      <c r="I242" s="390"/>
      <c r="J242" s="387"/>
      <c r="K242" s="391"/>
    </row>
    <row r="243" spans="1:11" x14ac:dyDescent="0.25">
      <c r="A243" s="43">
        <v>42278</v>
      </c>
      <c r="B243" s="276" t="s">
        <v>43</v>
      </c>
      <c r="C243" s="46">
        <v>85.221999999999994</v>
      </c>
      <c r="D243" s="46">
        <v>85222</v>
      </c>
      <c r="E243" s="28">
        <v>29008</v>
      </c>
      <c r="F243" s="48">
        <v>4116</v>
      </c>
      <c r="G243" s="45"/>
      <c r="I243" s="390"/>
      <c r="J243" s="387"/>
      <c r="K243" s="391"/>
    </row>
    <row r="244" spans="1:11" x14ac:dyDescent="0.25">
      <c r="A244" s="43"/>
      <c r="B244" s="276"/>
      <c r="C244" s="46"/>
      <c r="D244" s="46"/>
      <c r="E244" s="28"/>
      <c r="F244" s="48"/>
      <c r="G244" s="45"/>
      <c r="I244" s="390"/>
      <c r="J244" s="387"/>
      <c r="K244" s="391"/>
    </row>
    <row r="245" spans="1:11" x14ac:dyDescent="0.25">
      <c r="A245" s="43"/>
      <c r="B245" s="273" t="s">
        <v>45</v>
      </c>
      <c r="C245" s="30">
        <f>+SUM(C246:C252)</f>
        <v>1501.7613999999999</v>
      </c>
      <c r="D245" s="30">
        <f>+SUM(D246:D252)</f>
        <v>1505094.95</v>
      </c>
      <c r="E245" s="28"/>
      <c r="F245" s="48"/>
      <c r="G245" s="45"/>
      <c r="I245" s="390"/>
      <c r="J245" s="387"/>
      <c r="K245" s="391"/>
    </row>
    <row r="246" spans="1:11" x14ac:dyDescent="0.25">
      <c r="A246" s="43">
        <v>42057</v>
      </c>
      <c r="B246" s="276" t="s">
        <v>146</v>
      </c>
      <c r="C246" s="46">
        <v>466.28609999999998</v>
      </c>
      <c r="D246" s="46">
        <v>466286.1</v>
      </c>
      <c r="E246" s="28">
        <v>15319</v>
      </c>
      <c r="F246" s="48">
        <v>4116</v>
      </c>
      <c r="G246" s="45"/>
      <c r="I246" s="390"/>
      <c r="J246" s="387"/>
      <c r="K246" s="391"/>
    </row>
    <row r="247" spans="1:11" x14ac:dyDescent="0.25">
      <c r="A247" s="43">
        <v>42193</v>
      </c>
      <c r="B247" s="276" t="s">
        <v>279</v>
      </c>
      <c r="C247" s="46">
        <v>77.653800000000004</v>
      </c>
      <c r="D247" s="46">
        <v>77653.8</v>
      </c>
      <c r="E247" s="28">
        <v>15319</v>
      </c>
      <c r="F247" s="48">
        <v>4116</v>
      </c>
      <c r="G247" s="45"/>
      <c r="I247" s="390"/>
      <c r="J247" s="387"/>
      <c r="K247" s="391"/>
    </row>
    <row r="248" spans="1:11" x14ac:dyDescent="0.25">
      <c r="A248" s="43">
        <v>42272</v>
      </c>
      <c r="B248" s="276" t="s">
        <v>425</v>
      </c>
      <c r="C248" s="46">
        <v>931.58199999999999</v>
      </c>
      <c r="D248" s="46">
        <v>931582</v>
      </c>
      <c r="E248" s="28">
        <v>15065</v>
      </c>
      <c r="F248" s="48">
        <v>4116</v>
      </c>
      <c r="G248" s="45"/>
      <c r="I248" s="390"/>
      <c r="J248" s="387"/>
      <c r="K248" s="391"/>
    </row>
    <row r="249" spans="1:11" x14ac:dyDescent="0.25">
      <c r="A249" s="43"/>
      <c r="B249" s="44" t="s">
        <v>498</v>
      </c>
      <c r="C249" s="179">
        <v>0</v>
      </c>
      <c r="D249" s="179">
        <v>3333.55</v>
      </c>
      <c r="E249" s="28">
        <v>15319</v>
      </c>
      <c r="F249" s="48">
        <v>4116</v>
      </c>
      <c r="G249" s="45"/>
      <c r="I249" s="390"/>
      <c r="J249" s="387">
        <v>3333.55</v>
      </c>
      <c r="K249" s="391"/>
    </row>
    <row r="250" spans="1:11" x14ac:dyDescent="0.25">
      <c r="A250" s="43"/>
      <c r="B250" s="276" t="s">
        <v>168</v>
      </c>
      <c r="C250" s="179">
        <v>26.2395</v>
      </c>
      <c r="D250" s="179">
        <v>26239.5</v>
      </c>
      <c r="E250" s="28">
        <v>15319</v>
      </c>
      <c r="F250" s="48">
        <v>4116</v>
      </c>
      <c r="G250" s="45"/>
      <c r="I250" s="390"/>
      <c r="J250" s="389">
        <v>26239.5</v>
      </c>
      <c r="K250" s="391"/>
    </row>
    <row r="251" spans="1:11" x14ac:dyDescent="0.25">
      <c r="A251" s="43"/>
      <c r="B251" s="273"/>
      <c r="C251" s="26"/>
      <c r="D251" s="26"/>
      <c r="E251" s="28"/>
      <c r="F251" s="22"/>
      <c r="G251" s="45"/>
      <c r="I251" s="390"/>
      <c r="J251" s="387"/>
      <c r="K251" s="391"/>
    </row>
    <row r="252" spans="1:11" x14ac:dyDescent="0.25">
      <c r="A252" s="43"/>
      <c r="B252" s="276"/>
      <c r="C252" s="350"/>
      <c r="D252" s="350"/>
      <c r="E252" s="28"/>
      <c r="F252" s="48"/>
      <c r="G252" s="45"/>
      <c r="I252" s="390"/>
      <c r="J252" s="387"/>
      <c r="K252" s="391"/>
    </row>
    <row r="253" spans="1:11" x14ac:dyDescent="0.25">
      <c r="A253" s="43"/>
      <c r="B253" s="273" t="s">
        <v>48</v>
      </c>
      <c r="C253" s="26">
        <f>SUM(C254:C314)</f>
        <v>113352.30556000001</v>
      </c>
      <c r="D253" s="26">
        <f>SUM(D254:D314)</f>
        <v>113570305.56</v>
      </c>
      <c r="E253" s="28"/>
      <c r="F253" s="22"/>
      <c r="G253" s="45"/>
      <c r="I253" s="390"/>
      <c r="J253" s="387"/>
      <c r="K253" s="391"/>
    </row>
    <row r="254" spans="1:11" x14ac:dyDescent="0.25">
      <c r="A254" s="43">
        <v>42046</v>
      </c>
      <c r="B254" s="276" t="s">
        <v>104</v>
      </c>
      <c r="C254" s="52">
        <v>345.49686000000003</v>
      </c>
      <c r="D254" s="350">
        <v>345496.86</v>
      </c>
      <c r="E254" s="28">
        <v>33030</v>
      </c>
      <c r="F254" s="48" t="s">
        <v>49</v>
      </c>
      <c r="G254" s="45"/>
      <c r="I254" s="390"/>
      <c r="J254" s="387"/>
      <c r="K254" s="391"/>
    </row>
    <row r="255" spans="1:11" x14ac:dyDescent="0.25">
      <c r="A255" s="43">
        <v>42096</v>
      </c>
      <c r="B255" s="276" t="s">
        <v>140</v>
      </c>
      <c r="C255" s="52">
        <v>90.980059999999995</v>
      </c>
      <c r="D255" s="350">
        <v>90980.06</v>
      </c>
      <c r="E255" s="28">
        <v>33030</v>
      </c>
      <c r="F255" s="48" t="s">
        <v>49</v>
      </c>
      <c r="G255" s="45"/>
      <c r="I255" s="390"/>
      <c r="J255" s="387"/>
      <c r="K255" s="391"/>
    </row>
    <row r="256" spans="1:11" x14ac:dyDescent="0.25">
      <c r="A256" s="43">
        <v>42118</v>
      </c>
      <c r="B256" s="276" t="s">
        <v>334</v>
      </c>
      <c r="C256" s="52">
        <v>60346.559999999998</v>
      </c>
      <c r="D256" s="350">
        <v>60346560</v>
      </c>
      <c r="E256" s="28">
        <v>13305</v>
      </c>
      <c r="F256" s="48">
        <v>4122</v>
      </c>
      <c r="G256" s="384" t="s">
        <v>346</v>
      </c>
      <c r="H256" s="384">
        <v>-8464560</v>
      </c>
      <c r="I256" s="394"/>
      <c r="J256" s="387">
        <v>8464560</v>
      </c>
      <c r="K256" s="391"/>
    </row>
    <row r="257" spans="1:11" x14ac:dyDescent="0.25">
      <c r="A257" s="43">
        <v>42122</v>
      </c>
      <c r="B257" s="276" t="s">
        <v>150</v>
      </c>
      <c r="C257" s="350">
        <v>341.41081000000003</v>
      </c>
      <c r="D257" s="350">
        <v>341410.81</v>
      </c>
      <c r="E257" s="28">
        <v>33030</v>
      </c>
      <c r="F257" s="48">
        <v>4122</v>
      </c>
      <c r="G257" s="45"/>
      <c r="I257" s="390"/>
      <c r="J257" s="387"/>
      <c r="K257" s="391"/>
    </row>
    <row r="258" spans="1:11" x14ac:dyDescent="0.25">
      <c r="A258" s="43">
        <v>42138</v>
      </c>
      <c r="B258" s="276" t="s">
        <v>181</v>
      </c>
      <c r="C258" s="350">
        <v>41.08</v>
      </c>
      <c r="D258" s="350">
        <v>41080</v>
      </c>
      <c r="E258" s="28">
        <v>14011</v>
      </c>
      <c r="F258" s="48">
        <v>4122</v>
      </c>
      <c r="G258" s="45"/>
      <c r="I258" s="390"/>
      <c r="J258" s="387"/>
      <c r="K258" s="391"/>
    </row>
    <row r="259" spans="1:11" x14ac:dyDescent="0.25">
      <c r="A259" s="43">
        <v>42145</v>
      </c>
      <c r="B259" s="276" t="s">
        <v>200</v>
      </c>
      <c r="C259" s="52">
        <v>8.3298000000000005</v>
      </c>
      <c r="D259" s="350">
        <f>7080.33+1249.47</f>
        <v>8329.7999999999993</v>
      </c>
      <c r="E259" s="28">
        <v>33030</v>
      </c>
      <c r="F259" s="48">
        <v>4122</v>
      </c>
      <c r="G259" s="45"/>
      <c r="I259" s="390"/>
      <c r="J259" s="387"/>
      <c r="K259" s="391"/>
    </row>
    <row r="260" spans="1:11" x14ac:dyDescent="0.25">
      <c r="A260" s="43">
        <v>42145</v>
      </c>
      <c r="B260" s="276" t="s">
        <v>415</v>
      </c>
      <c r="C260" s="52">
        <v>1476.0851600000001</v>
      </c>
      <c r="D260" s="350">
        <f>1254672.38+221412.78</f>
        <v>1476085.16</v>
      </c>
      <c r="E260" s="28">
        <v>33030</v>
      </c>
      <c r="F260" s="48">
        <v>4122</v>
      </c>
      <c r="G260" s="45"/>
      <c r="I260" s="390"/>
      <c r="J260" s="387"/>
      <c r="K260" s="391"/>
    </row>
    <row r="261" spans="1:11" x14ac:dyDescent="0.25">
      <c r="A261" s="43">
        <v>42145</v>
      </c>
      <c r="B261" s="276" t="s">
        <v>202</v>
      </c>
      <c r="C261" s="52">
        <v>452.84152</v>
      </c>
      <c r="D261" s="350">
        <f>384915.29+67926.23</f>
        <v>452841.51999999996</v>
      </c>
      <c r="E261" s="28">
        <v>33030</v>
      </c>
      <c r="F261" s="48">
        <v>4122</v>
      </c>
      <c r="G261" s="45"/>
      <c r="I261" s="390"/>
      <c r="J261" s="387"/>
      <c r="K261" s="391"/>
    </row>
    <row r="262" spans="1:11" x14ac:dyDescent="0.25">
      <c r="A262" s="43">
        <v>42152</v>
      </c>
      <c r="B262" s="276" t="s">
        <v>181</v>
      </c>
      <c r="C262" s="52">
        <v>29.64</v>
      </c>
      <c r="D262" s="350">
        <v>29640</v>
      </c>
      <c r="E262" s="28">
        <v>14011</v>
      </c>
      <c r="F262" s="48">
        <v>4122</v>
      </c>
      <c r="G262" s="45"/>
      <c r="I262" s="390"/>
      <c r="J262" s="387"/>
      <c r="K262" s="391"/>
    </row>
    <row r="263" spans="1:11" x14ac:dyDescent="0.25">
      <c r="A263" s="43">
        <v>42160</v>
      </c>
      <c r="B263" s="276" t="s">
        <v>239</v>
      </c>
      <c r="C263" s="52">
        <v>100</v>
      </c>
      <c r="D263" s="350">
        <v>100000</v>
      </c>
      <c r="E263" s="28">
        <v>539</v>
      </c>
      <c r="F263" s="48">
        <v>4122</v>
      </c>
      <c r="G263" s="45"/>
      <c r="I263" s="390"/>
      <c r="J263" s="387"/>
      <c r="K263" s="391"/>
    </row>
    <row r="264" spans="1:11" x14ac:dyDescent="0.25">
      <c r="A264" s="43">
        <v>42160</v>
      </c>
      <c r="B264" s="276" t="s">
        <v>240</v>
      </c>
      <c r="C264" s="52">
        <v>98</v>
      </c>
      <c r="D264" s="350">
        <v>98000</v>
      </c>
      <c r="E264" s="28">
        <v>539</v>
      </c>
      <c r="F264" s="48">
        <v>4122</v>
      </c>
      <c r="G264" s="45"/>
      <c r="I264" s="390"/>
      <c r="J264" s="387"/>
      <c r="K264" s="391"/>
    </row>
    <row r="265" spans="1:11" x14ac:dyDescent="0.25">
      <c r="A265" s="43">
        <v>42173</v>
      </c>
      <c r="B265" s="276" t="s">
        <v>236</v>
      </c>
      <c r="C265" s="52">
        <v>100</v>
      </c>
      <c r="D265" s="350">
        <v>100000</v>
      </c>
      <c r="E265" s="28">
        <v>539</v>
      </c>
      <c r="F265" s="48">
        <v>4122</v>
      </c>
      <c r="G265" s="45"/>
      <c r="I265" s="390"/>
      <c r="J265" s="387"/>
      <c r="K265" s="391"/>
    </row>
    <row r="266" spans="1:11" x14ac:dyDescent="0.25">
      <c r="A266" s="43">
        <v>42178</v>
      </c>
      <c r="B266" s="276" t="s">
        <v>243</v>
      </c>
      <c r="C266" s="52">
        <v>81.797319999999999</v>
      </c>
      <c r="D266" s="350">
        <f>69527.72+12269.6</f>
        <v>81797.320000000007</v>
      </c>
      <c r="E266" s="28">
        <v>33030</v>
      </c>
      <c r="F266" s="48">
        <v>4122</v>
      </c>
      <c r="G266" s="45"/>
      <c r="I266" s="390"/>
      <c r="J266" s="387"/>
      <c r="K266" s="391"/>
    </row>
    <row r="267" spans="1:11" x14ac:dyDescent="0.25">
      <c r="A267" s="43">
        <v>42181</v>
      </c>
      <c r="B267" s="276" t="s">
        <v>250</v>
      </c>
      <c r="C267" s="52">
        <v>200</v>
      </c>
      <c r="D267" s="350">
        <v>200000</v>
      </c>
      <c r="E267" s="28">
        <v>539</v>
      </c>
      <c r="F267" s="48">
        <v>4122</v>
      </c>
      <c r="G267" s="45"/>
      <c r="I267" s="390"/>
      <c r="J267" s="387"/>
      <c r="K267" s="391"/>
    </row>
    <row r="268" spans="1:11" x14ac:dyDescent="0.25">
      <c r="A268" s="43">
        <v>42181</v>
      </c>
      <c r="B268" s="276" t="s">
        <v>252</v>
      </c>
      <c r="C268" s="52">
        <v>701.62408000000005</v>
      </c>
      <c r="D268" s="350">
        <v>701624.08</v>
      </c>
      <c r="E268" s="28">
        <v>33030</v>
      </c>
      <c r="F268" s="48">
        <v>4122</v>
      </c>
      <c r="G268" s="45"/>
      <c r="I268" s="390"/>
      <c r="J268" s="387"/>
      <c r="K268" s="391"/>
    </row>
    <row r="269" spans="1:11" x14ac:dyDescent="0.25">
      <c r="A269" s="43">
        <v>42181</v>
      </c>
      <c r="B269" s="276" t="s">
        <v>251</v>
      </c>
      <c r="C269" s="52">
        <v>93.395690000000002</v>
      </c>
      <c r="D269" s="350">
        <v>93395.69</v>
      </c>
      <c r="E269" s="28">
        <v>33030</v>
      </c>
      <c r="F269" s="48">
        <v>4122</v>
      </c>
      <c r="G269" s="45"/>
      <c r="I269" s="390"/>
      <c r="J269" s="387"/>
      <c r="K269" s="391"/>
    </row>
    <row r="270" spans="1:11" x14ac:dyDescent="0.25">
      <c r="A270" s="43">
        <v>42181</v>
      </c>
      <c r="B270" s="276" t="s">
        <v>253</v>
      </c>
      <c r="C270" s="52">
        <v>137.19474</v>
      </c>
      <c r="D270" s="350">
        <v>137194.74</v>
      </c>
      <c r="E270" s="28">
        <v>33030</v>
      </c>
      <c r="F270" s="48">
        <v>4122</v>
      </c>
      <c r="G270" s="45"/>
      <c r="I270" s="390"/>
      <c r="J270" s="387"/>
      <c r="K270" s="391"/>
    </row>
    <row r="271" spans="1:11" x14ac:dyDescent="0.25">
      <c r="A271" s="43">
        <v>42184</v>
      </c>
      <c r="B271" s="276" t="s">
        <v>254</v>
      </c>
      <c r="C271" s="52">
        <v>276.28805999999997</v>
      </c>
      <c r="D271" s="350">
        <v>276288.06</v>
      </c>
      <c r="E271" s="28">
        <v>33030</v>
      </c>
      <c r="F271" s="48">
        <v>4122</v>
      </c>
      <c r="G271" s="45"/>
      <c r="I271" s="390"/>
      <c r="J271" s="387"/>
      <c r="K271" s="391"/>
    </row>
    <row r="272" spans="1:11" x14ac:dyDescent="0.25">
      <c r="A272" s="43">
        <v>42184</v>
      </c>
      <c r="B272" s="276" t="s">
        <v>150</v>
      </c>
      <c r="C272" s="52">
        <v>371.08757000000003</v>
      </c>
      <c r="D272" s="350">
        <v>371087.57</v>
      </c>
      <c r="E272" s="28">
        <v>33030</v>
      </c>
      <c r="F272" s="48">
        <v>4122</v>
      </c>
      <c r="G272" s="45"/>
      <c r="I272" s="390"/>
      <c r="J272" s="387"/>
      <c r="K272" s="391"/>
    </row>
    <row r="273" spans="1:11" x14ac:dyDescent="0.25">
      <c r="A273" s="43">
        <v>42184</v>
      </c>
      <c r="B273" s="276" t="s">
        <v>256</v>
      </c>
      <c r="C273" s="52">
        <v>120</v>
      </c>
      <c r="D273" s="350">
        <v>120000</v>
      </c>
      <c r="E273" s="28">
        <v>311</v>
      </c>
      <c r="F273" s="48">
        <v>4122</v>
      </c>
      <c r="G273" s="45"/>
      <c r="I273" s="390"/>
      <c r="J273" s="387"/>
      <c r="K273" s="391"/>
    </row>
    <row r="274" spans="1:11" x14ac:dyDescent="0.25">
      <c r="A274" s="43">
        <v>42184</v>
      </c>
      <c r="B274" s="276" t="s">
        <v>255</v>
      </c>
      <c r="C274" s="52">
        <v>60</v>
      </c>
      <c r="D274" s="350">
        <v>60000</v>
      </c>
      <c r="E274" s="28">
        <v>311</v>
      </c>
      <c r="F274" s="48">
        <v>4122</v>
      </c>
      <c r="G274" s="45"/>
      <c r="I274" s="390"/>
      <c r="J274" s="387"/>
      <c r="K274" s="391"/>
    </row>
    <row r="275" spans="1:11" x14ac:dyDescent="0.25">
      <c r="A275" s="43">
        <v>42187</v>
      </c>
      <c r="B275" s="276" t="s">
        <v>281</v>
      </c>
      <c r="C275" s="52">
        <v>50</v>
      </c>
      <c r="D275" s="350">
        <v>50000</v>
      </c>
      <c r="E275" s="28">
        <v>311</v>
      </c>
      <c r="F275" s="48">
        <v>4122</v>
      </c>
      <c r="G275" s="45"/>
      <c r="I275" s="390"/>
      <c r="J275" s="387"/>
      <c r="K275" s="391"/>
    </row>
    <row r="276" spans="1:11" x14ac:dyDescent="0.25">
      <c r="A276" s="43">
        <v>42187</v>
      </c>
      <c r="B276" s="276" t="s">
        <v>282</v>
      </c>
      <c r="C276" s="52">
        <v>50</v>
      </c>
      <c r="D276" s="350">
        <v>50000</v>
      </c>
      <c r="E276" s="28">
        <v>311</v>
      </c>
      <c r="F276" s="48">
        <v>4122</v>
      </c>
      <c r="G276" s="45"/>
      <c r="I276" s="390"/>
      <c r="J276" s="387"/>
      <c r="K276" s="391"/>
    </row>
    <row r="277" spans="1:11" x14ac:dyDescent="0.25">
      <c r="A277" s="43">
        <v>42192</v>
      </c>
      <c r="B277" s="276" t="s">
        <v>285</v>
      </c>
      <c r="C277" s="52">
        <v>100</v>
      </c>
      <c r="D277" s="350">
        <v>100000</v>
      </c>
      <c r="E277" s="28">
        <v>331</v>
      </c>
      <c r="F277" s="48">
        <v>4122</v>
      </c>
      <c r="G277" s="45"/>
      <c r="I277" s="390"/>
      <c r="J277" s="387"/>
      <c r="K277" s="391"/>
    </row>
    <row r="278" spans="1:11" x14ac:dyDescent="0.25">
      <c r="A278" s="43">
        <v>42192</v>
      </c>
      <c r="B278" s="276" t="s">
        <v>286</v>
      </c>
      <c r="C278" s="52">
        <v>100</v>
      </c>
      <c r="D278" s="350">
        <v>100000</v>
      </c>
      <c r="E278" s="28">
        <v>331</v>
      </c>
      <c r="F278" s="48">
        <v>4122</v>
      </c>
      <c r="G278" s="45"/>
      <c r="I278" s="390"/>
      <c r="J278" s="387"/>
      <c r="K278" s="391"/>
    </row>
    <row r="279" spans="1:11" x14ac:dyDescent="0.25">
      <c r="A279" s="43">
        <v>42192</v>
      </c>
      <c r="B279" s="276" t="s">
        <v>287</v>
      </c>
      <c r="C279" s="52">
        <v>200</v>
      </c>
      <c r="D279" s="350">
        <v>200000</v>
      </c>
      <c r="E279" s="28">
        <v>331</v>
      </c>
      <c r="F279" s="48">
        <v>4122</v>
      </c>
      <c r="G279" s="45"/>
      <c r="I279" s="390"/>
      <c r="J279" s="387"/>
      <c r="K279" s="391"/>
    </row>
    <row r="280" spans="1:11" x14ac:dyDescent="0.25">
      <c r="A280" s="43">
        <v>42192</v>
      </c>
      <c r="B280" s="276" t="s">
        <v>288</v>
      </c>
      <c r="C280" s="52">
        <v>600</v>
      </c>
      <c r="D280" s="350">
        <v>600000</v>
      </c>
      <c r="E280" s="28">
        <v>331</v>
      </c>
      <c r="F280" s="48">
        <v>4122</v>
      </c>
      <c r="G280" s="45"/>
      <c r="I280" s="390"/>
      <c r="J280" s="387"/>
      <c r="K280" s="391"/>
    </row>
    <row r="281" spans="1:11" x14ac:dyDescent="0.25">
      <c r="A281" s="43">
        <v>42192</v>
      </c>
      <c r="B281" s="276" t="s">
        <v>414</v>
      </c>
      <c r="C281" s="52">
        <v>400</v>
      </c>
      <c r="D281" s="350">
        <v>400000</v>
      </c>
      <c r="E281" s="28">
        <v>331</v>
      </c>
      <c r="F281" s="48">
        <v>4122</v>
      </c>
      <c r="G281" s="45"/>
      <c r="I281" s="390"/>
      <c r="J281" s="387"/>
      <c r="K281" s="391"/>
    </row>
    <row r="282" spans="1:11" x14ac:dyDescent="0.25">
      <c r="A282" s="43">
        <v>42192</v>
      </c>
      <c r="B282" s="276" t="s">
        <v>290</v>
      </c>
      <c r="C282" s="52">
        <v>600</v>
      </c>
      <c r="D282" s="350">
        <v>600000</v>
      </c>
      <c r="E282" s="28">
        <v>331</v>
      </c>
      <c r="F282" s="48">
        <v>4122</v>
      </c>
      <c r="G282" s="45"/>
      <c r="I282" s="390"/>
      <c r="J282" s="387"/>
      <c r="K282" s="391"/>
    </row>
    <row r="283" spans="1:11" x14ac:dyDescent="0.25">
      <c r="A283" s="43">
        <v>42192</v>
      </c>
      <c r="B283" s="276" t="s">
        <v>291</v>
      </c>
      <c r="C283" s="52">
        <v>600</v>
      </c>
      <c r="D283" s="350">
        <v>600000</v>
      </c>
      <c r="E283" s="28">
        <v>331</v>
      </c>
      <c r="F283" s="48">
        <v>4122</v>
      </c>
      <c r="G283" s="45"/>
      <c r="I283" s="390"/>
      <c r="J283" s="387"/>
      <c r="K283" s="391"/>
    </row>
    <row r="284" spans="1:11" x14ac:dyDescent="0.25">
      <c r="A284" s="43">
        <v>42192</v>
      </c>
      <c r="B284" s="276" t="s">
        <v>292</v>
      </c>
      <c r="C284" s="52">
        <v>600</v>
      </c>
      <c r="D284" s="350">
        <v>600000</v>
      </c>
      <c r="E284" s="28">
        <v>331</v>
      </c>
      <c r="F284" s="48">
        <v>4122</v>
      </c>
      <c r="G284" s="45"/>
      <c r="I284" s="390"/>
      <c r="J284" s="387"/>
      <c r="K284" s="391"/>
    </row>
    <row r="285" spans="1:11" x14ac:dyDescent="0.25">
      <c r="A285" s="43">
        <v>42192</v>
      </c>
      <c r="B285" s="276" t="s">
        <v>293</v>
      </c>
      <c r="C285" s="52">
        <v>600</v>
      </c>
      <c r="D285" s="350">
        <v>600000</v>
      </c>
      <c r="E285" s="28">
        <v>331</v>
      </c>
      <c r="F285" s="48">
        <v>4122</v>
      </c>
      <c r="G285" s="45"/>
      <c r="I285" s="390"/>
      <c r="J285" s="387"/>
      <c r="K285" s="391"/>
    </row>
    <row r="286" spans="1:11" x14ac:dyDescent="0.25">
      <c r="A286" s="43">
        <v>42213</v>
      </c>
      <c r="B286" s="276" t="s">
        <v>333</v>
      </c>
      <c r="C286" s="52">
        <v>40231.040000000001</v>
      </c>
      <c r="D286" s="350">
        <v>40231040</v>
      </c>
      <c r="E286" s="28">
        <v>13305</v>
      </c>
      <c r="F286" s="48">
        <v>4122</v>
      </c>
      <c r="G286" s="384" t="s">
        <v>346</v>
      </c>
      <c r="H286" s="384">
        <f>-3646440-1996600</f>
        <v>-5643040</v>
      </c>
      <c r="I286" s="394"/>
      <c r="J286" s="387">
        <v>5643040</v>
      </c>
      <c r="K286" s="391"/>
    </row>
    <row r="287" spans="1:11" x14ac:dyDescent="0.25">
      <c r="A287" s="43">
        <v>42254</v>
      </c>
      <c r="B287" s="276" t="s">
        <v>432</v>
      </c>
      <c r="C287" s="350">
        <v>15</v>
      </c>
      <c r="D287" s="350">
        <v>15000</v>
      </c>
      <c r="E287" s="28">
        <v>359</v>
      </c>
      <c r="F287" s="48">
        <v>4122</v>
      </c>
      <c r="G287" s="45"/>
      <c r="I287" s="390"/>
      <c r="J287" s="387"/>
      <c r="K287" s="391"/>
    </row>
    <row r="288" spans="1:11" x14ac:dyDescent="0.25">
      <c r="A288" s="43">
        <v>42256</v>
      </c>
      <c r="B288" s="276" t="s">
        <v>420</v>
      </c>
      <c r="C288" s="52">
        <v>60</v>
      </c>
      <c r="D288" s="350">
        <v>60000</v>
      </c>
      <c r="E288" s="28">
        <v>214</v>
      </c>
      <c r="F288" s="48">
        <v>4122</v>
      </c>
      <c r="G288" s="45"/>
      <c r="I288" s="390"/>
      <c r="J288" s="387"/>
      <c r="K288" s="391"/>
    </row>
    <row r="289" spans="1:11" x14ac:dyDescent="0.25">
      <c r="A289" s="43">
        <v>42291</v>
      </c>
      <c r="B289" s="276" t="s">
        <v>532</v>
      </c>
      <c r="C289" s="52">
        <v>0</v>
      </c>
      <c r="D289" s="350">
        <v>37000</v>
      </c>
      <c r="E289" s="28">
        <v>331</v>
      </c>
      <c r="F289" s="48">
        <v>4122</v>
      </c>
      <c r="G289" s="45"/>
      <c r="I289" s="390"/>
      <c r="J289" s="387"/>
      <c r="K289" s="391"/>
    </row>
    <row r="290" spans="1:11" x14ac:dyDescent="0.25">
      <c r="A290" s="43">
        <v>42291</v>
      </c>
      <c r="B290" s="276" t="s">
        <v>533</v>
      </c>
      <c r="C290" s="52">
        <v>0</v>
      </c>
      <c r="D290" s="350">
        <v>61000</v>
      </c>
      <c r="E290" s="28">
        <v>331</v>
      </c>
      <c r="F290" s="48">
        <v>4122</v>
      </c>
      <c r="G290" s="45"/>
      <c r="I290" s="390"/>
      <c r="J290" s="387"/>
      <c r="K290" s="391"/>
    </row>
    <row r="291" spans="1:11" x14ac:dyDescent="0.25">
      <c r="A291" s="43">
        <v>42291</v>
      </c>
      <c r="B291" s="276" t="s">
        <v>534</v>
      </c>
      <c r="C291" s="52">
        <v>0</v>
      </c>
      <c r="D291" s="350">
        <v>40000</v>
      </c>
      <c r="E291" s="28">
        <v>331</v>
      </c>
      <c r="F291" s="48">
        <v>4122</v>
      </c>
      <c r="G291" s="45"/>
      <c r="I291" s="390"/>
      <c r="J291" s="387"/>
      <c r="K291" s="391"/>
    </row>
    <row r="292" spans="1:11" x14ac:dyDescent="0.25">
      <c r="A292" s="43">
        <v>42291</v>
      </c>
      <c r="B292" s="276" t="s">
        <v>535</v>
      </c>
      <c r="C292" s="52">
        <v>0</v>
      </c>
      <c r="D292" s="350">
        <v>30000</v>
      </c>
      <c r="E292" s="28">
        <v>331</v>
      </c>
      <c r="F292" s="48">
        <v>4122</v>
      </c>
      <c r="G292" s="45"/>
      <c r="I292" s="390"/>
      <c r="J292" s="387"/>
      <c r="K292" s="391"/>
    </row>
    <row r="293" spans="1:11" x14ac:dyDescent="0.25">
      <c r="A293" s="43"/>
      <c r="B293" s="276" t="s">
        <v>309</v>
      </c>
      <c r="C293" s="175">
        <v>50</v>
      </c>
      <c r="D293" s="423">
        <v>50000</v>
      </c>
      <c r="E293" s="28">
        <v>551</v>
      </c>
      <c r="F293" s="48">
        <v>4122</v>
      </c>
      <c r="G293" s="384"/>
      <c r="H293" s="384"/>
      <c r="I293" s="390"/>
      <c r="J293" s="387">
        <v>50000</v>
      </c>
      <c r="K293" s="395"/>
    </row>
    <row r="294" spans="1:11" x14ac:dyDescent="0.25">
      <c r="A294" s="43"/>
      <c r="B294" s="276" t="s">
        <v>311</v>
      </c>
      <c r="C294" s="175">
        <v>130</v>
      </c>
      <c r="D294" s="423">
        <v>130000</v>
      </c>
      <c r="E294" s="28">
        <v>551</v>
      </c>
      <c r="F294" s="48">
        <v>4122</v>
      </c>
      <c r="G294" s="384"/>
      <c r="H294" s="384"/>
      <c r="I294" s="390"/>
      <c r="J294" s="387">
        <v>130000</v>
      </c>
      <c r="K294" s="395"/>
    </row>
    <row r="295" spans="1:11" x14ac:dyDescent="0.25">
      <c r="A295" s="43"/>
      <c r="B295" s="276" t="s">
        <v>249</v>
      </c>
      <c r="C295" s="175">
        <v>60</v>
      </c>
      <c r="D295" s="423">
        <v>60000</v>
      </c>
      <c r="E295" s="28">
        <v>539</v>
      </c>
      <c r="F295" s="48">
        <v>4122</v>
      </c>
      <c r="G295" s="45"/>
      <c r="I295" s="390"/>
      <c r="J295" s="387">
        <v>60000</v>
      </c>
      <c r="K295" s="391"/>
    </row>
    <row r="296" spans="1:11" x14ac:dyDescent="0.25">
      <c r="A296" s="43"/>
      <c r="B296" s="276" t="s">
        <v>69</v>
      </c>
      <c r="C296" s="175">
        <f>674.88547+191.22315+33.74527</f>
        <v>899.85389000000009</v>
      </c>
      <c r="D296" s="423">
        <f>674885.47+224968.42</f>
        <v>899853.89</v>
      </c>
      <c r="E296" s="22">
        <v>33030</v>
      </c>
      <c r="F296" s="48">
        <v>4122</v>
      </c>
      <c r="G296" s="45"/>
      <c r="I296" s="390"/>
      <c r="J296" s="387">
        <f>674885.47+224968.42</f>
        <v>899853.89</v>
      </c>
      <c r="K296" s="391"/>
    </row>
    <row r="297" spans="1:11" x14ac:dyDescent="0.25">
      <c r="A297" s="43"/>
      <c r="B297" s="276" t="s">
        <v>259</v>
      </c>
      <c r="C297" s="175">
        <v>35</v>
      </c>
      <c r="D297" s="423">
        <v>35000</v>
      </c>
      <c r="E297" s="22">
        <v>539</v>
      </c>
      <c r="F297" s="48">
        <v>4122</v>
      </c>
      <c r="G297" s="45"/>
      <c r="I297" s="390"/>
      <c r="J297" s="387">
        <v>35000</v>
      </c>
      <c r="K297" s="391"/>
    </row>
    <row r="298" spans="1:11" x14ac:dyDescent="0.25">
      <c r="A298" s="43"/>
      <c r="B298" s="276" t="s">
        <v>139</v>
      </c>
      <c r="C298" s="175">
        <f>669.36+446.24</f>
        <v>1115.5999999999999</v>
      </c>
      <c r="D298" s="423">
        <f>669360+446240</f>
        <v>1115600</v>
      </c>
      <c r="E298" s="22">
        <v>13305</v>
      </c>
      <c r="F298" s="48">
        <v>4122</v>
      </c>
      <c r="G298" s="45"/>
      <c r="I298" s="390"/>
      <c r="J298" s="387">
        <f>669360+446240</f>
        <v>1115600</v>
      </c>
      <c r="K298" s="391"/>
    </row>
    <row r="299" spans="1:11" x14ac:dyDescent="0.25">
      <c r="A299" s="43"/>
      <c r="B299" s="276" t="s">
        <v>151</v>
      </c>
      <c r="C299" s="175">
        <v>964</v>
      </c>
      <c r="D299" s="423">
        <f>578400+385600</f>
        <v>964000</v>
      </c>
      <c r="E299" s="22">
        <v>13305</v>
      </c>
      <c r="F299" s="48">
        <v>4122</v>
      </c>
      <c r="G299" s="45"/>
      <c r="I299" s="390"/>
      <c r="J299" s="387">
        <f>578400+385600</f>
        <v>964000</v>
      </c>
      <c r="K299" s="391"/>
    </row>
    <row r="300" spans="1:11" x14ac:dyDescent="0.25">
      <c r="A300" s="43"/>
      <c r="B300" s="276" t="s">
        <v>332</v>
      </c>
      <c r="C300" s="175">
        <v>80</v>
      </c>
      <c r="D300" s="423">
        <v>80000</v>
      </c>
      <c r="E300" s="22">
        <v>551</v>
      </c>
      <c r="F300" s="48">
        <v>4122</v>
      </c>
      <c r="G300" s="384"/>
      <c r="H300" s="384"/>
      <c r="I300" s="390"/>
      <c r="J300" s="387">
        <v>80000</v>
      </c>
      <c r="K300" s="391"/>
    </row>
    <row r="301" spans="1:11" x14ac:dyDescent="0.25">
      <c r="A301" s="43"/>
      <c r="B301" s="276" t="s">
        <v>421</v>
      </c>
      <c r="C301" s="175">
        <v>70</v>
      </c>
      <c r="D301" s="423">
        <v>70000</v>
      </c>
      <c r="E301" s="22">
        <v>551</v>
      </c>
      <c r="F301" s="48">
        <v>4122</v>
      </c>
      <c r="G301" s="384"/>
      <c r="H301" s="384"/>
      <c r="I301" s="390"/>
      <c r="J301" s="387">
        <v>70000</v>
      </c>
      <c r="K301" s="391"/>
    </row>
    <row r="302" spans="1:11" x14ac:dyDescent="0.25">
      <c r="A302" s="43"/>
      <c r="B302" s="276" t="s">
        <v>304</v>
      </c>
      <c r="C302" s="175">
        <v>55</v>
      </c>
      <c r="D302" s="423">
        <v>55000</v>
      </c>
      <c r="E302" s="22">
        <v>551</v>
      </c>
      <c r="F302" s="48">
        <v>4122</v>
      </c>
      <c r="G302" s="384"/>
      <c r="H302" s="384"/>
      <c r="I302" s="390"/>
      <c r="J302" s="387">
        <v>55000</v>
      </c>
      <c r="K302" s="391"/>
    </row>
    <row r="303" spans="1:11" x14ac:dyDescent="0.25">
      <c r="A303" s="43"/>
      <c r="B303" s="276" t="s">
        <v>426</v>
      </c>
      <c r="C303" s="175">
        <v>70</v>
      </c>
      <c r="D303" s="423">
        <v>70000</v>
      </c>
      <c r="E303" s="22">
        <v>101</v>
      </c>
      <c r="F303" s="48">
        <v>4122</v>
      </c>
      <c r="G303" s="384"/>
      <c r="H303" s="384"/>
      <c r="I303" s="390"/>
      <c r="J303" s="387">
        <v>70000</v>
      </c>
      <c r="K303" s="391"/>
    </row>
    <row r="304" spans="1:11" x14ac:dyDescent="0.25">
      <c r="A304" s="43"/>
      <c r="B304" s="276" t="s">
        <v>561</v>
      </c>
      <c r="C304" s="175">
        <v>0</v>
      </c>
      <c r="D304" s="423">
        <v>50000</v>
      </c>
      <c r="E304" s="22">
        <v>439</v>
      </c>
      <c r="F304" s="48">
        <v>4122</v>
      </c>
      <c r="G304" s="384" t="s">
        <v>64</v>
      </c>
      <c r="H304" s="384"/>
      <c r="I304" s="390">
        <v>50000</v>
      </c>
      <c r="J304" s="387"/>
      <c r="K304" s="391"/>
    </row>
    <row r="305" spans="1:11" x14ac:dyDescent="0.25">
      <c r="A305" s="43"/>
      <c r="B305" s="276" t="s">
        <v>331</v>
      </c>
      <c r="C305" s="175">
        <v>90</v>
      </c>
      <c r="D305" s="423">
        <v>90000</v>
      </c>
      <c r="E305" s="22">
        <v>551</v>
      </c>
      <c r="F305" s="48">
        <v>4122</v>
      </c>
      <c r="G305" s="384"/>
      <c r="H305" s="384"/>
      <c r="I305" s="390"/>
      <c r="J305" s="387">
        <v>90000</v>
      </c>
      <c r="K305" s="391"/>
    </row>
    <row r="306" spans="1:11" x14ac:dyDescent="0.25">
      <c r="A306" s="43"/>
      <c r="B306" s="276" t="s">
        <v>310</v>
      </c>
      <c r="C306" s="175">
        <v>55</v>
      </c>
      <c r="D306" s="423">
        <v>55000</v>
      </c>
      <c r="E306" s="22">
        <v>551</v>
      </c>
      <c r="F306" s="48">
        <v>4122</v>
      </c>
      <c r="G306" s="384"/>
      <c r="H306" s="384"/>
      <c r="I306" s="390"/>
      <c r="J306" s="387">
        <v>55000</v>
      </c>
      <c r="K306" s="391"/>
    </row>
    <row r="307" spans="1:11" x14ac:dyDescent="0.25">
      <c r="A307" s="43"/>
      <c r="B307" s="276"/>
      <c r="C307" s="350"/>
      <c r="D307" s="350"/>
      <c r="E307" s="28"/>
      <c r="F307" s="48">
        <v>4122</v>
      </c>
      <c r="G307" s="45"/>
      <c r="H307" s="269"/>
      <c r="I307" s="390"/>
      <c r="J307" s="387"/>
      <c r="K307" s="391"/>
    </row>
    <row r="308" spans="1:11" x14ac:dyDescent="0.25">
      <c r="A308" s="43"/>
      <c r="B308" s="276"/>
      <c r="C308" s="350"/>
      <c r="D308" s="350"/>
      <c r="E308" s="28"/>
      <c r="F308" s="48">
        <v>4122</v>
      </c>
      <c r="G308" s="45"/>
      <c r="H308" s="269"/>
      <c r="I308" s="390"/>
      <c r="J308" s="387"/>
      <c r="K308" s="391"/>
    </row>
    <row r="309" spans="1:11" x14ac:dyDescent="0.25">
      <c r="A309" s="43"/>
      <c r="B309" s="276"/>
      <c r="C309" s="350"/>
      <c r="D309" s="350"/>
      <c r="E309" s="28"/>
      <c r="F309" s="48">
        <v>4122</v>
      </c>
      <c r="G309" s="45"/>
      <c r="H309" s="269"/>
      <c r="I309" s="390"/>
      <c r="J309" s="387"/>
      <c r="K309" s="391"/>
    </row>
    <row r="310" spans="1:11" x14ac:dyDescent="0.25">
      <c r="A310" s="43"/>
      <c r="B310" s="276"/>
      <c r="C310" s="350"/>
      <c r="D310" s="350"/>
      <c r="E310" s="28"/>
      <c r="F310" s="48">
        <v>4122</v>
      </c>
      <c r="G310" s="45"/>
      <c r="H310" s="269"/>
      <c r="I310" s="390"/>
      <c r="J310" s="387"/>
      <c r="K310" s="391"/>
    </row>
    <row r="311" spans="1:11" x14ac:dyDescent="0.25">
      <c r="A311" s="43"/>
      <c r="B311" s="276"/>
      <c r="C311" s="350"/>
      <c r="D311" s="350"/>
      <c r="E311" s="28"/>
      <c r="F311" s="48">
        <v>4122</v>
      </c>
      <c r="G311" s="45"/>
      <c r="I311" s="390"/>
      <c r="J311" s="387"/>
      <c r="K311" s="391"/>
    </row>
    <row r="312" spans="1:11" x14ac:dyDescent="0.25">
      <c r="A312" s="43"/>
      <c r="B312" s="276"/>
      <c r="C312" s="350"/>
      <c r="D312" s="350"/>
      <c r="E312" s="28"/>
      <c r="F312" s="48">
        <v>4122</v>
      </c>
      <c r="G312" s="45"/>
      <c r="I312" s="390"/>
      <c r="J312" s="387"/>
      <c r="K312" s="391"/>
    </row>
    <row r="313" spans="1:11" x14ac:dyDescent="0.25">
      <c r="A313" s="43"/>
      <c r="B313" s="276"/>
      <c r="C313" s="350"/>
      <c r="D313" s="350"/>
      <c r="E313" s="28"/>
      <c r="F313" s="48">
        <v>4122</v>
      </c>
      <c r="G313" s="45"/>
      <c r="I313" s="390"/>
      <c r="J313" s="387"/>
      <c r="K313" s="391"/>
    </row>
    <row r="314" spans="1:11" x14ac:dyDescent="0.25">
      <c r="A314" s="43"/>
      <c r="B314" s="276"/>
      <c r="C314" s="350"/>
      <c r="D314" s="350"/>
      <c r="E314" s="28"/>
      <c r="F314" s="29"/>
      <c r="G314" s="45"/>
      <c r="I314" s="390"/>
      <c r="J314" s="387"/>
      <c r="K314" s="391"/>
    </row>
    <row r="315" spans="1:11" x14ac:dyDescent="0.25">
      <c r="A315" s="43"/>
      <c r="B315" s="31" t="s">
        <v>50</v>
      </c>
      <c r="C315" s="26">
        <f>SUM(C316:C318)</f>
        <v>1808.6522100000002</v>
      </c>
      <c r="D315" s="26">
        <f>+SUM(D316:D318)</f>
        <v>1808652.21</v>
      </c>
      <c r="E315" s="28"/>
      <c r="F315" s="29"/>
      <c r="G315" s="45"/>
      <c r="I315" s="390"/>
      <c r="J315" s="387"/>
      <c r="K315" s="391"/>
    </row>
    <row r="316" spans="1:11" x14ac:dyDescent="0.25">
      <c r="A316" s="272">
        <v>42101</v>
      </c>
      <c r="B316" s="276" t="s">
        <v>138</v>
      </c>
      <c r="C316" s="52">
        <v>131.06369000000001</v>
      </c>
      <c r="D316" s="350">
        <v>131063.69</v>
      </c>
      <c r="E316" s="22">
        <v>86005</v>
      </c>
      <c r="F316" s="48">
        <v>4123</v>
      </c>
      <c r="G316" s="45"/>
      <c r="I316" s="390"/>
      <c r="J316" s="387"/>
      <c r="K316" s="391"/>
    </row>
    <row r="317" spans="1:11" x14ac:dyDescent="0.25">
      <c r="A317" s="287">
        <v>42131</v>
      </c>
      <c r="B317" s="276" t="s">
        <v>417</v>
      </c>
      <c r="C317" s="52">
        <v>853.73328000000004</v>
      </c>
      <c r="D317" s="350">
        <v>853733.28</v>
      </c>
      <c r="E317" s="62">
        <v>86005</v>
      </c>
      <c r="F317" s="48">
        <v>4123</v>
      </c>
      <c r="G317" s="45"/>
      <c r="I317" s="390"/>
      <c r="J317" s="387"/>
      <c r="K317" s="391"/>
    </row>
    <row r="318" spans="1:11" x14ac:dyDescent="0.25">
      <c r="A318" s="287">
        <v>42178</v>
      </c>
      <c r="B318" s="276" t="s">
        <v>245</v>
      </c>
      <c r="C318" s="52">
        <v>823.85523999999998</v>
      </c>
      <c r="D318" s="350">
        <v>823855.24</v>
      </c>
      <c r="E318" s="62">
        <v>86005</v>
      </c>
      <c r="F318" s="48">
        <v>4123</v>
      </c>
      <c r="G318" s="45"/>
      <c r="I318" s="390"/>
      <c r="J318" s="387"/>
      <c r="K318" s="391"/>
    </row>
    <row r="319" spans="1:11" x14ac:dyDescent="0.25">
      <c r="A319" s="43"/>
      <c r="B319" s="44"/>
      <c r="C319" s="46"/>
      <c r="D319" s="46"/>
      <c r="E319" s="28"/>
      <c r="F319" s="48"/>
      <c r="G319" s="45"/>
      <c r="I319" s="390"/>
      <c r="J319" s="387"/>
      <c r="K319" s="391"/>
    </row>
    <row r="320" spans="1:11" x14ac:dyDescent="0.25">
      <c r="A320" s="43"/>
      <c r="B320" s="293" t="s">
        <v>52</v>
      </c>
      <c r="C320" s="30">
        <f>+SUM(C321:C324)</f>
        <v>2377</v>
      </c>
      <c r="D320" s="30">
        <f>+SUM(D321:D324)</f>
        <v>2400018.1000000006</v>
      </c>
      <c r="E320" s="28"/>
      <c r="F320" s="48"/>
      <c r="G320" s="45"/>
      <c r="I320" s="390"/>
      <c r="J320" s="387"/>
      <c r="K320" s="391"/>
    </row>
    <row r="321" spans="1:11" x14ac:dyDescent="0.25">
      <c r="A321" s="43">
        <v>42075</v>
      </c>
      <c r="B321" s="276" t="s">
        <v>124</v>
      </c>
      <c r="C321" s="52">
        <v>582</v>
      </c>
      <c r="D321" s="350">
        <v>581714.24</v>
      </c>
      <c r="E321" s="28"/>
      <c r="F321" s="48">
        <v>4152</v>
      </c>
      <c r="G321" s="45"/>
      <c r="I321" s="390"/>
      <c r="J321" s="387"/>
      <c r="K321" s="391"/>
    </row>
    <row r="322" spans="1:11" x14ac:dyDescent="0.25">
      <c r="A322" s="43">
        <v>42174</v>
      </c>
      <c r="B322" s="276" t="s">
        <v>244</v>
      </c>
      <c r="C322" s="52">
        <v>1795</v>
      </c>
      <c r="D322" s="350">
        <v>1794728.87</v>
      </c>
      <c r="E322" s="28"/>
      <c r="F322" s="48">
        <v>4152</v>
      </c>
      <c r="G322" s="45"/>
      <c r="I322" s="390"/>
      <c r="J322" s="387"/>
      <c r="K322" s="391"/>
    </row>
    <row r="323" spans="1:11" x14ac:dyDescent="0.25">
      <c r="A323" s="43">
        <v>42233</v>
      </c>
      <c r="B323" s="276" t="s">
        <v>402</v>
      </c>
      <c r="C323" s="52">
        <v>0</v>
      </c>
      <c r="D323" s="350">
        <v>23574.99</v>
      </c>
      <c r="E323" s="28"/>
      <c r="F323" s="48">
        <v>4152</v>
      </c>
      <c r="G323" s="45"/>
      <c r="I323" s="390"/>
      <c r="J323" s="387"/>
      <c r="K323" s="391"/>
    </row>
    <row r="324" spans="1:11" x14ac:dyDescent="0.25">
      <c r="A324" s="43"/>
      <c r="B324" s="276"/>
      <c r="C324" s="52"/>
      <c r="D324" s="350"/>
      <c r="E324" s="28"/>
      <c r="F324" s="48">
        <v>4152</v>
      </c>
      <c r="G324" s="45"/>
      <c r="I324" s="390"/>
      <c r="J324" s="387"/>
      <c r="K324" s="391"/>
    </row>
    <row r="325" spans="1:11" x14ac:dyDescent="0.25">
      <c r="A325" s="43"/>
      <c r="B325" s="276"/>
      <c r="C325" s="46"/>
      <c r="D325" s="350"/>
      <c r="E325" s="28"/>
      <c r="F325" s="48"/>
      <c r="G325" s="45"/>
      <c r="I325" s="390"/>
      <c r="J325" s="387"/>
      <c r="K325" s="391"/>
    </row>
    <row r="326" spans="1:11" x14ac:dyDescent="0.25">
      <c r="A326" s="43"/>
      <c r="B326" s="294" t="s">
        <v>53</v>
      </c>
      <c r="C326" s="26">
        <f>+C320+C315+C253+C245+C239+C225+C205+C202+C195+C187+C103+C64+C60+C30+C26+C13+C7</f>
        <v>288576.67979999993</v>
      </c>
      <c r="D326" s="26">
        <f>+D320+D315+D253+D245+D239+D225+D205+D202+D195+D187+D103+D64+D60+D30+D26+D13+D7</f>
        <v>289016853.90000004</v>
      </c>
      <c r="E326" s="71"/>
      <c r="F326" s="22"/>
      <c r="G326" s="45"/>
      <c r="I326" s="390"/>
      <c r="J326" s="387"/>
      <c r="K326" s="391"/>
    </row>
    <row r="327" spans="1:11" ht="16.5" thickBot="1" x14ac:dyDescent="0.3">
      <c r="A327" s="296"/>
      <c r="B327" s="297"/>
      <c r="C327" s="74"/>
      <c r="D327" s="74"/>
      <c r="E327" s="76"/>
      <c r="F327" s="77"/>
      <c r="G327" s="45"/>
      <c r="I327" s="390"/>
      <c r="J327" s="387"/>
      <c r="K327" s="391"/>
    </row>
    <row r="328" spans="1:11" x14ac:dyDescent="0.25">
      <c r="A328" s="300"/>
      <c r="B328" s="79"/>
      <c r="C328" s="7"/>
      <c r="D328" s="7"/>
      <c r="E328" s="80"/>
      <c r="F328" s="80"/>
      <c r="G328" s="45"/>
      <c r="I328" s="390"/>
      <c r="J328" s="387"/>
      <c r="K328" s="391"/>
    </row>
    <row r="329" spans="1:11" ht="16.5" thickBot="1" x14ac:dyDescent="0.3">
      <c r="A329" s="300"/>
      <c r="B329" s="79"/>
      <c r="C329" s="7"/>
      <c r="D329" s="7"/>
      <c r="E329" s="80"/>
      <c r="F329" s="80"/>
      <c r="G329" s="45"/>
      <c r="I329" s="390"/>
      <c r="J329" s="387"/>
      <c r="K329" s="391"/>
    </row>
    <row r="330" spans="1:11" x14ac:dyDescent="0.25">
      <c r="A330" s="690" t="s">
        <v>141</v>
      </c>
      <c r="B330" s="5"/>
      <c r="C330" s="4"/>
      <c r="D330" s="4"/>
      <c r="E330" s="81"/>
      <c r="F330" s="81"/>
      <c r="G330" s="45"/>
      <c r="I330" s="390"/>
      <c r="J330" s="387"/>
      <c r="K330" s="391"/>
    </row>
    <row r="331" spans="1:11" ht="16.5" thickBot="1" x14ac:dyDescent="0.3">
      <c r="A331" s="691"/>
      <c r="B331" s="10" t="s">
        <v>54</v>
      </c>
      <c r="C331" s="9" t="s">
        <v>3</v>
      </c>
      <c r="D331" s="9" t="s">
        <v>4</v>
      </c>
      <c r="E331" s="82" t="s">
        <v>5</v>
      </c>
      <c r="F331" s="82" t="s">
        <v>6</v>
      </c>
      <c r="G331" s="45"/>
      <c r="I331" s="390"/>
      <c r="J331" s="387"/>
      <c r="K331" s="391"/>
    </row>
    <row r="332" spans="1:11" x14ac:dyDescent="0.25">
      <c r="A332" s="43"/>
      <c r="B332" s="273" t="s">
        <v>14</v>
      </c>
      <c r="C332" s="39">
        <f>+SUM(C333:C360)</f>
        <v>1756.2596699999999</v>
      </c>
      <c r="D332" s="39">
        <f>+SUM(D333:D360)</f>
        <v>2124975.7900000005</v>
      </c>
      <c r="E332" s="48"/>
      <c r="F332" s="48"/>
      <c r="G332" s="45"/>
      <c r="I332" s="390"/>
      <c r="J332" s="387"/>
      <c r="K332" s="391"/>
    </row>
    <row r="333" spans="1:11" x14ac:dyDescent="0.25">
      <c r="A333" s="43">
        <v>42069</v>
      </c>
      <c r="B333" s="44" t="s">
        <v>114</v>
      </c>
      <c r="C333" s="52">
        <v>141.55572000000001</v>
      </c>
      <c r="D333" s="20">
        <v>141555.72</v>
      </c>
      <c r="E333" s="48">
        <v>90877</v>
      </c>
      <c r="F333" s="48">
        <v>4213</v>
      </c>
      <c r="G333" s="45"/>
      <c r="I333" s="390"/>
      <c r="J333" s="387"/>
      <c r="K333" s="391"/>
    </row>
    <row r="334" spans="1:11" x14ac:dyDescent="0.25">
      <c r="A334" s="43">
        <v>42114</v>
      </c>
      <c r="B334" s="44" t="s">
        <v>156</v>
      </c>
      <c r="C334" s="52">
        <v>47.117789999999999</v>
      </c>
      <c r="D334" s="20">
        <v>47117.79</v>
      </c>
      <c r="E334" s="48">
        <v>90877</v>
      </c>
      <c r="F334" s="48">
        <v>4213</v>
      </c>
      <c r="G334" s="45"/>
      <c r="I334" s="390"/>
      <c r="J334" s="387"/>
      <c r="K334" s="391"/>
    </row>
    <row r="335" spans="1:11" x14ac:dyDescent="0.25">
      <c r="A335" s="43">
        <v>42142</v>
      </c>
      <c r="B335" s="44" t="s">
        <v>169</v>
      </c>
      <c r="C335" s="52">
        <v>21.145890000000001</v>
      </c>
      <c r="D335" s="20">
        <v>21145.89</v>
      </c>
      <c r="E335" s="48">
        <v>90877</v>
      </c>
      <c r="F335" s="48">
        <v>4213</v>
      </c>
      <c r="G335" s="45"/>
      <c r="I335" s="390"/>
      <c r="J335" s="387"/>
      <c r="K335" s="391"/>
    </row>
    <row r="336" spans="1:11" x14ac:dyDescent="0.25">
      <c r="A336" s="43">
        <v>42150</v>
      </c>
      <c r="B336" s="44" t="s">
        <v>218</v>
      </c>
      <c r="C336" s="52">
        <v>32.193080000000002</v>
      </c>
      <c r="D336" s="20">
        <v>32193.08</v>
      </c>
      <c r="E336" s="48">
        <v>90877</v>
      </c>
      <c r="F336" s="48">
        <v>4213</v>
      </c>
      <c r="G336" s="45"/>
      <c r="I336" s="390"/>
      <c r="J336" s="387"/>
      <c r="K336" s="391"/>
    </row>
    <row r="337" spans="1:11" x14ac:dyDescent="0.25">
      <c r="A337" s="43">
        <v>42150</v>
      </c>
      <c r="B337" s="44" t="s">
        <v>219</v>
      </c>
      <c r="C337" s="52">
        <v>21.296060000000001</v>
      </c>
      <c r="D337" s="20">
        <v>21296.06</v>
      </c>
      <c r="E337" s="48">
        <v>90877</v>
      </c>
      <c r="F337" s="48">
        <v>4213</v>
      </c>
      <c r="G337" s="45"/>
      <c r="I337" s="390"/>
      <c r="J337" s="387"/>
      <c r="K337" s="391"/>
    </row>
    <row r="338" spans="1:11" x14ac:dyDescent="0.25">
      <c r="A338" s="43">
        <v>42167</v>
      </c>
      <c r="B338" s="44" t="s">
        <v>232</v>
      </c>
      <c r="C338" s="52">
        <v>28.64677</v>
      </c>
      <c r="D338" s="20">
        <v>28646.77</v>
      </c>
      <c r="E338" s="48">
        <v>90877</v>
      </c>
      <c r="F338" s="48">
        <v>4213</v>
      </c>
      <c r="G338" s="45"/>
      <c r="I338" s="390"/>
      <c r="J338" s="387"/>
      <c r="K338" s="391"/>
    </row>
    <row r="339" spans="1:11" x14ac:dyDescent="0.25">
      <c r="A339" s="43">
        <v>42199</v>
      </c>
      <c r="B339" s="44" t="s">
        <v>280</v>
      </c>
      <c r="C339" s="52">
        <v>120.05096</v>
      </c>
      <c r="D339" s="20">
        <v>120050.96</v>
      </c>
      <c r="E339" s="48">
        <v>90877</v>
      </c>
      <c r="F339" s="48">
        <v>4213</v>
      </c>
      <c r="G339" s="45"/>
      <c r="I339" s="390"/>
      <c r="J339" s="387"/>
      <c r="K339" s="391"/>
    </row>
    <row r="340" spans="1:11" x14ac:dyDescent="0.25">
      <c r="A340" s="43">
        <v>42195</v>
      </c>
      <c r="B340" s="44" t="s">
        <v>294</v>
      </c>
      <c r="C340" s="52">
        <v>20.106369999999998</v>
      </c>
      <c r="D340" s="20">
        <v>20106.37</v>
      </c>
      <c r="E340" s="48">
        <v>90877</v>
      </c>
      <c r="F340" s="48">
        <v>4213</v>
      </c>
      <c r="G340" s="45"/>
      <c r="I340" s="390"/>
      <c r="J340" s="387"/>
      <c r="K340" s="391"/>
    </row>
    <row r="341" spans="1:11" x14ac:dyDescent="0.25">
      <c r="A341" s="43">
        <v>42205</v>
      </c>
      <c r="B341" s="44" t="s">
        <v>303</v>
      </c>
      <c r="C341" s="52">
        <v>19.5185</v>
      </c>
      <c r="D341" s="20">
        <v>19518.5</v>
      </c>
      <c r="E341" s="48">
        <v>90877</v>
      </c>
      <c r="F341" s="48">
        <v>4213</v>
      </c>
      <c r="G341" s="45"/>
      <c r="I341" s="390"/>
      <c r="J341" s="387"/>
      <c r="K341" s="391"/>
    </row>
    <row r="342" spans="1:11" x14ac:dyDescent="0.25">
      <c r="A342" s="43">
        <v>42209</v>
      </c>
      <c r="B342" s="44" t="s">
        <v>330</v>
      </c>
      <c r="C342" s="52">
        <v>20.354620000000001</v>
      </c>
      <c r="D342" s="20">
        <v>20354.62</v>
      </c>
      <c r="E342" s="48">
        <v>90877</v>
      </c>
      <c r="F342" s="48">
        <v>4213</v>
      </c>
      <c r="G342" s="45"/>
      <c r="I342" s="390"/>
      <c r="J342" s="387"/>
      <c r="K342" s="391"/>
    </row>
    <row r="343" spans="1:11" x14ac:dyDescent="0.25">
      <c r="A343" s="43">
        <v>42220</v>
      </c>
      <c r="B343" s="44" t="s">
        <v>343</v>
      </c>
      <c r="C343" s="52">
        <v>72.443290000000005</v>
      </c>
      <c r="D343" s="20">
        <v>72443.289999999994</v>
      </c>
      <c r="E343" s="48">
        <v>90877</v>
      </c>
      <c r="F343" s="48">
        <v>4213</v>
      </c>
      <c r="G343" s="45"/>
      <c r="I343" s="390"/>
      <c r="J343" s="387"/>
      <c r="K343" s="391"/>
    </row>
    <row r="344" spans="1:11" x14ac:dyDescent="0.25">
      <c r="A344" s="43">
        <v>42222</v>
      </c>
      <c r="B344" s="44" t="s">
        <v>368</v>
      </c>
      <c r="C344" s="52">
        <v>214.12066999999999</v>
      </c>
      <c r="D344" s="20">
        <v>214120.67</v>
      </c>
      <c r="E344" s="48">
        <v>90877</v>
      </c>
      <c r="F344" s="48">
        <v>4213</v>
      </c>
      <c r="G344" s="45"/>
      <c r="I344" s="390"/>
      <c r="J344" s="387"/>
      <c r="K344" s="391"/>
    </row>
    <row r="345" spans="1:11" x14ac:dyDescent="0.25">
      <c r="A345" s="43">
        <v>42226</v>
      </c>
      <c r="B345" s="44" t="s">
        <v>218</v>
      </c>
      <c r="C345" s="52">
        <v>7.7073600000000004</v>
      </c>
      <c r="D345" s="20">
        <v>7707.36</v>
      </c>
      <c r="E345" s="48">
        <v>90877</v>
      </c>
      <c r="F345" s="48">
        <v>4213</v>
      </c>
      <c r="G345" s="45"/>
      <c r="I345" s="390"/>
      <c r="J345" s="387"/>
      <c r="K345" s="391"/>
    </row>
    <row r="346" spans="1:11" x14ac:dyDescent="0.25">
      <c r="A346" s="43">
        <v>42251</v>
      </c>
      <c r="B346" s="44" t="s">
        <v>330</v>
      </c>
      <c r="C346" s="20">
        <v>0.30249999999999999</v>
      </c>
      <c r="D346" s="20">
        <v>302.5</v>
      </c>
      <c r="E346" s="48">
        <v>90877</v>
      </c>
      <c r="F346" s="48">
        <v>4213</v>
      </c>
      <c r="G346" s="45"/>
      <c r="I346" s="390"/>
      <c r="J346" s="387"/>
      <c r="K346" s="391"/>
    </row>
    <row r="347" spans="1:11" x14ac:dyDescent="0.25">
      <c r="A347" s="43">
        <v>42283</v>
      </c>
      <c r="B347" s="44" t="s">
        <v>232</v>
      </c>
      <c r="C347" s="20">
        <v>0.30249999999999999</v>
      </c>
      <c r="D347" s="20">
        <v>302.5</v>
      </c>
      <c r="E347" s="48">
        <v>90877</v>
      </c>
      <c r="F347" s="48">
        <v>4213</v>
      </c>
      <c r="G347" s="45"/>
      <c r="I347" s="390"/>
      <c r="J347" s="387"/>
      <c r="K347" s="391"/>
    </row>
    <row r="348" spans="1:11" x14ac:dyDescent="0.25">
      <c r="A348" s="43">
        <v>42283</v>
      </c>
      <c r="B348" s="44" t="s">
        <v>536</v>
      </c>
      <c r="C348" s="20">
        <v>10.69867</v>
      </c>
      <c r="D348" s="20">
        <v>10698.67</v>
      </c>
      <c r="E348" s="48">
        <v>90877</v>
      </c>
      <c r="F348" s="48">
        <v>4213</v>
      </c>
      <c r="G348" s="45"/>
      <c r="I348" s="390"/>
      <c r="J348" s="387"/>
      <c r="K348" s="391"/>
    </row>
    <row r="349" spans="1:11" x14ac:dyDescent="0.25">
      <c r="A349" s="43"/>
      <c r="B349" s="44" t="s">
        <v>380</v>
      </c>
      <c r="C349" s="174">
        <v>105.33132000000001</v>
      </c>
      <c r="D349" s="174">
        <f>105331.32+20017.55</f>
        <v>125348.87000000001</v>
      </c>
      <c r="E349" s="48">
        <v>90877</v>
      </c>
      <c r="F349" s="48">
        <v>4213</v>
      </c>
      <c r="G349" s="384" t="s">
        <v>64</v>
      </c>
      <c r="I349" s="390">
        <f>105331.32+20017.55</f>
        <v>125348.87000000001</v>
      </c>
      <c r="J349" s="389"/>
      <c r="K349" s="391"/>
    </row>
    <row r="350" spans="1:11" x14ac:dyDescent="0.25">
      <c r="A350" s="43"/>
      <c r="B350" s="44" t="s">
        <v>121</v>
      </c>
      <c r="C350" s="174">
        <v>0.97499999999999998</v>
      </c>
      <c r="D350" s="174">
        <v>975</v>
      </c>
      <c r="E350" s="48">
        <v>90877</v>
      </c>
      <c r="F350" s="48">
        <v>4213</v>
      </c>
      <c r="G350" s="45"/>
      <c r="I350" s="390"/>
      <c r="J350" s="389">
        <v>975</v>
      </c>
      <c r="K350" s="391"/>
    </row>
    <row r="351" spans="1:11" x14ac:dyDescent="0.25">
      <c r="A351" s="43"/>
      <c r="B351" s="44" t="s">
        <v>301</v>
      </c>
      <c r="C351" s="174">
        <v>1.42302</v>
      </c>
      <c r="D351" s="174">
        <v>1423.02</v>
      </c>
      <c r="E351" s="48">
        <v>90877</v>
      </c>
      <c r="F351" s="48">
        <v>4213</v>
      </c>
      <c r="G351" s="45"/>
      <c r="I351" s="404"/>
      <c r="J351" s="389">
        <v>1423.02</v>
      </c>
      <c r="K351" s="391"/>
    </row>
    <row r="352" spans="1:11" x14ac:dyDescent="0.25">
      <c r="A352" s="43"/>
      <c r="B352" s="44" t="s">
        <v>418</v>
      </c>
      <c r="C352" s="174">
        <v>54.137300000000003</v>
      </c>
      <c r="D352" s="174">
        <f>54137.3+24182.55</f>
        <v>78319.850000000006</v>
      </c>
      <c r="E352" s="48">
        <v>90877</v>
      </c>
      <c r="F352" s="48">
        <v>4213</v>
      </c>
      <c r="G352" s="45"/>
      <c r="I352" s="404"/>
      <c r="J352" s="389">
        <v>54137.3</v>
      </c>
      <c r="K352" s="391">
        <v>24182.55</v>
      </c>
    </row>
    <row r="353" spans="1:11" x14ac:dyDescent="0.25">
      <c r="A353" s="43"/>
      <c r="B353" s="44" t="s">
        <v>110</v>
      </c>
      <c r="C353" s="174">
        <v>392.03399999999999</v>
      </c>
      <c r="D353" s="174">
        <v>392034</v>
      </c>
      <c r="E353" s="48">
        <v>90909</v>
      </c>
      <c r="F353" s="48">
        <v>4213</v>
      </c>
      <c r="G353" s="384" t="s">
        <v>64</v>
      </c>
      <c r="I353" s="404">
        <v>392034</v>
      </c>
      <c r="J353" s="387"/>
      <c r="K353" s="391"/>
    </row>
    <row r="354" spans="1:11" x14ac:dyDescent="0.25">
      <c r="A354" s="43"/>
      <c r="B354" s="44" t="s">
        <v>538</v>
      </c>
      <c r="C354" s="174">
        <v>53.892980000000001</v>
      </c>
      <c r="D354" s="174">
        <v>53892.98</v>
      </c>
      <c r="E354" s="48">
        <v>90877</v>
      </c>
      <c r="F354" s="48">
        <v>4213</v>
      </c>
      <c r="G354" s="45"/>
      <c r="I354" s="404"/>
      <c r="J354" s="387">
        <v>53892.98</v>
      </c>
      <c r="K354" s="391"/>
    </row>
    <row r="355" spans="1:11" x14ac:dyDescent="0.25">
      <c r="A355" s="43"/>
      <c r="B355" s="44" t="s">
        <v>283</v>
      </c>
      <c r="C355" s="174">
        <v>277.85216000000003</v>
      </c>
      <c r="D355" s="174">
        <f>217082.01+60770.15+324516.02</f>
        <v>602368.18000000005</v>
      </c>
      <c r="E355" s="48">
        <v>90877</v>
      </c>
      <c r="F355" s="48">
        <v>4213</v>
      </c>
      <c r="G355" s="45"/>
      <c r="I355" s="390"/>
      <c r="J355" s="389">
        <f>217082.01+60770.15</f>
        <v>277852.16000000003</v>
      </c>
      <c r="K355" s="391">
        <v>324516.02</v>
      </c>
    </row>
    <row r="356" spans="1:11" x14ac:dyDescent="0.25">
      <c r="A356" s="43"/>
      <c r="B356" s="44" t="s">
        <v>499</v>
      </c>
      <c r="C356" s="174">
        <v>0.30249999999999999</v>
      </c>
      <c r="D356" s="174">
        <v>302.5</v>
      </c>
      <c r="E356" s="48">
        <v>90877</v>
      </c>
      <c r="F356" s="48">
        <v>4213</v>
      </c>
      <c r="G356" s="45"/>
      <c r="I356" s="390"/>
      <c r="J356" s="45">
        <v>302.5</v>
      </c>
      <c r="K356" s="391"/>
    </row>
    <row r="357" spans="1:11" x14ac:dyDescent="0.25">
      <c r="A357" s="43"/>
      <c r="B357" s="44" t="s">
        <v>360</v>
      </c>
      <c r="C357" s="174">
        <v>9.3895999999999997</v>
      </c>
      <c r="D357" s="174">
        <v>9389.6</v>
      </c>
      <c r="E357" s="48">
        <v>90877</v>
      </c>
      <c r="F357" s="48">
        <v>4213</v>
      </c>
      <c r="G357" s="45"/>
      <c r="I357" s="390"/>
      <c r="J357" s="402">
        <v>9389.6</v>
      </c>
      <c r="K357" s="391"/>
    </row>
    <row r="358" spans="1:11" x14ac:dyDescent="0.25">
      <c r="A358" s="43"/>
      <c r="B358" s="44" t="s">
        <v>228</v>
      </c>
      <c r="C358" s="174">
        <v>2.125</v>
      </c>
      <c r="D358" s="174">
        <v>2125</v>
      </c>
      <c r="E358" s="48">
        <v>90877</v>
      </c>
      <c r="F358" s="48">
        <v>4213</v>
      </c>
      <c r="G358" s="45"/>
      <c r="I358" s="390"/>
      <c r="J358" s="389">
        <v>2125</v>
      </c>
      <c r="K358" s="391"/>
    </row>
    <row r="359" spans="1:11" x14ac:dyDescent="0.25">
      <c r="A359" s="43"/>
      <c r="B359" s="44" t="s">
        <v>230</v>
      </c>
      <c r="C359" s="174">
        <v>3.4999799999999999</v>
      </c>
      <c r="D359" s="174">
        <v>3499.98</v>
      </c>
      <c r="E359" s="48">
        <v>90877</v>
      </c>
      <c r="F359" s="48">
        <v>4213</v>
      </c>
      <c r="G359" s="45"/>
      <c r="I359" s="390"/>
      <c r="J359" s="389">
        <v>3499.98</v>
      </c>
      <c r="K359" s="391"/>
    </row>
    <row r="360" spans="1:11" x14ac:dyDescent="0.25">
      <c r="A360" s="43"/>
      <c r="B360" s="44" t="s">
        <v>396</v>
      </c>
      <c r="C360" s="174">
        <v>77.736059999999995</v>
      </c>
      <c r="D360" s="174">
        <v>77736.06</v>
      </c>
      <c r="E360" s="48">
        <v>90877</v>
      </c>
      <c r="F360" s="48">
        <v>4213</v>
      </c>
      <c r="G360" s="384"/>
      <c r="I360" s="390"/>
      <c r="J360" s="387">
        <v>77736.06</v>
      </c>
      <c r="K360" s="391"/>
    </row>
    <row r="361" spans="1:11" x14ac:dyDescent="0.25">
      <c r="A361" s="43"/>
      <c r="B361" s="44"/>
      <c r="C361" s="20"/>
      <c r="D361" s="20"/>
      <c r="E361" s="48"/>
      <c r="F361" s="48"/>
      <c r="G361" s="45"/>
      <c r="I361" s="390"/>
      <c r="J361" s="387"/>
      <c r="K361" s="391"/>
    </row>
    <row r="362" spans="1:11" x14ac:dyDescent="0.25">
      <c r="A362" s="43"/>
      <c r="B362" s="285" t="s">
        <v>33</v>
      </c>
      <c r="C362" s="39">
        <f>+C363</f>
        <v>100</v>
      </c>
      <c r="D362" s="39">
        <f>+D363</f>
        <v>100000</v>
      </c>
      <c r="E362" s="48"/>
      <c r="F362" s="48"/>
      <c r="G362" s="45"/>
      <c r="I362" s="390"/>
      <c r="J362" s="387"/>
      <c r="K362" s="391"/>
    </row>
    <row r="363" spans="1:11" x14ac:dyDescent="0.25">
      <c r="A363" s="43">
        <v>42244</v>
      </c>
      <c r="B363" s="44" t="s">
        <v>322</v>
      </c>
      <c r="C363" s="20">
        <v>100</v>
      </c>
      <c r="D363" s="20">
        <v>100000</v>
      </c>
      <c r="E363" s="48">
        <v>34941</v>
      </c>
      <c r="F363" s="48">
        <v>4216</v>
      </c>
      <c r="G363" s="45"/>
      <c r="I363" s="390"/>
      <c r="J363" s="387"/>
      <c r="K363" s="391"/>
    </row>
    <row r="364" spans="1:11" x14ac:dyDescent="0.25">
      <c r="A364" s="43"/>
      <c r="B364" s="44"/>
      <c r="C364" s="20"/>
      <c r="D364" s="39"/>
      <c r="E364" s="48"/>
      <c r="F364" s="48"/>
      <c r="G364" s="45"/>
      <c r="I364" s="390"/>
      <c r="J364" s="387"/>
      <c r="K364" s="391"/>
    </row>
    <row r="365" spans="1:11" x14ac:dyDescent="0.25">
      <c r="A365" s="43"/>
      <c r="B365" s="273" t="s">
        <v>45</v>
      </c>
      <c r="C365" s="39">
        <f>+SUM(C366:C395)</f>
        <v>20677.604930000001</v>
      </c>
      <c r="D365" s="39">
        <f>+SUM(D366:D395)</f>
        <v>33809344.93</v>
      </c>
      <c r="E365" s="48"/>
      <c r="F365" s="48"/>
      <c r="G365" s="45"/>
      <c r="I365" s="390"/>
      <c r="J365" s="387"/>
      <c r="K365" s="391"/>
    </row>
    <row r="366" spans="1:11" x14ac:dyDescent="0.25">
      <c r="A366" s="43">
        <v>42114</v>
      </c>
      <c r="B366" s="44" t="s">
        <v>156</v>
      </c>
      <c r="C366" s="52">
        <v>801.00243</v>
      </c>
      <c r="D366" s="20">
        <v>801002.43</v>
      </c>
      <c r="E366" s="48">
        <v>15827</v>
      </c>
      <c r="F366" s="48">
        <v>4216</v>
      </c>
      <c r="G366" s="45"/>
      <c r="I366" s="390"/>
      <c r="J366" s="387"/>
      <c r="K366" s="391"/>
    </row>
    <row r="367" spans="1:11" x14ac:dyDescent="0.25">
      <c r="A367" s="43">
        <v>42139</v>
      </c>
      <c r="B367" s="44" t="s">
        <v>169</v>
      </c>
      <c r="C367" s="52">
        <v>359.48018999999999</v>
      </c>
      <c r="D367" s="20">
        <v>359480.19</v>
      </c>
      <c r="E367" s="48">
        <v>15835</v>
      </c>
      <c r="F367" s="48">
        <v>4216</v>
      </c>
      <c r="G367" s="45"/>
      <c r="I367" s="390"/>
      <c r="J367" s="387"/>
      <c r="K367" s="391"/>
    </row>
    <row r="368" spans="1:11" x14ac:dyDescent="0.25">
      <c r="A368" s="43">
        <v>42150</v>
      </c>
      <c r="B368" s="44" t="s">
        <v>218</v>
      </c>
      <c r="C368" s="52">
        <v>547.28240000000005</v>
      </c>
      <c r="D368" s="20">
        <v>547282.4</v>
      </c>
      <c r="E368" s="48">
        <v>15835</v>
      </c>
      <c r="F368" s="48">
        <v>4216</v>
      </c>
      <c r="G368" s="439"/>
      <c r="I368" s="390"/>
      <c r="J368" s="387"/>
      <c r="K368" s="391"/>
    </row>
    <row r="369" spans="1:11" x14ac:dyDescent="0.25">
      <c r="A369" s="43">
        <v>42150</v>
      </c>
      <c r="B369" s="44" t="s">
        <v>219</v>
      </c>
      <c r="C369" s="52">
        <v>362.03313000000003</v>
      </c>
      <c r="D369" s="20">
        <v>362033.13</v>
      </c>
      <c r="E369" s="48">
        <v>15835</v>
      </c>
      <c r="F369" s="48">
        <v>4216</v>
      </c>
      <c r="G369" s="439"/>
      <c r="I369" s="390"/>
      <c r="J369" s="387"/>
      <c r="K369" s="391"/>
    </row>
    <row r="370" spans="1:11" x14ac:dyDescent="0.25">
      <c r="A370" s="43">
        <v>42167</v>
      </c>
      <c r="B370" s="44" t="s">
        <v>232</v>
      </c>
      <c r="C370" s="52">
        <v>486.99520000000001</v>
      </c>
      <c r="D370" s="20">
        <v>486995.20000000001</v>
      </c>
      <c r="E370" s="48">
        <v>15835</v>
      </c>
      <c r="F370" s="48">
        <v>4216</v>
      </c>
      <c r="G370" s="439"/>
      <c r="I370" s="390"/>
      <c r="J370" s="387"/>
      <c r="K370" s="391"/>
    </row>
    <row r="371" spans="1:11" x14ac:dyDescent="0.25">
      <c r="A371" s="43">
        <v>42198</v>
      </c>
      <c r="B371" s="44" t="s">
        <v>280</v>
      </c>
      <c r="C371" s="52">
        <v>2040.8663899999999</v>
      </c>
      <c r="D371" s="115">
        <v>2040866.39</v>
      </c>
      <c r="E371" s="48">
        <v>15835</v>
      </c>
      <c r="F371" s="48">
        <v>4216</v>
      </c>
      <c r="G371" s="439"/>
      <c r="I371" s="390"/>
      <c r="J371" s="387"/>
      <c r="K371" s="391"/>
    </row>
    <row r="372" spans="1:11" x14ac:dyDescent="0.25">
      <c r="A372" s="43">
        <v>42194</v>
      </c>
      <c r="B372" s="44" t="s">
        <v>294</v>
      </c>
      <c r="C372" s="52">
        <v>341.80831999999998</v>
      </c>
      <c r="D372" s="115">
        <v>341808.32</v>
      </c>
      <c r="E372" s="48">
        <v>15835</v>
      </c>
      <c r="F372" s="48">
        <v>4216</v>
      </c>
      <c r="G372" s="439"/>
      <c r="I372" s="390"/>
      <c r="J372" s="387"/>
      <c r="K372" s="391"/>
    </row>
    <row r="373" spans="1:11" x14ac:dyDescent="0.25">
      <c r="A373" s="43">
        <v>42205</v>
      </c>
      <c r="B373" s="44" t="s">
        <v>303</v>
      </c>
      <c r="C373" s="52">
        <v>331.81452999999999</v>
      </c>
      <c r="D373" s="115">
        <v>331814.53000000003</v>
      </c>
      <c r="E373" s="48">
        <v>15835</v>
      </c>
      <c r="F373" s="48">
        <v>4216</v>
      </c>
      <c r="G373" s="45"/>
      <c r="I373" s="390"/>
      <c r="J373" s="387"/>
      <c r="K373" s="391"/>
    </row>
    <row r="374" spans="1:11" x14ac:dyDescent="0.25">
      <c r="A374" s="43">
        <v>42209</v>
      </c>
      <c r="B374" s="44" t="s">
        <v>329</v>
      </c>
      <c r="C374" s="52">
        <v>346.02866999999998</v>
      </c>
      <c r="D374" s="115">
        <v>346028.67</v>
      </c>
      <c r="E374" s="48">
        <v>15835</v>
      </c>
      <c r="F374" s="48">
        <v>4216</v>
      </c>
      <c r="G374" s="45"/>
      <c r="I374" s="390"/>
      <c r="J374" s="387"/>
      <c r="K374" s="391"/>
    </row>
    <row r="375" spans="1:11" x14ac:dyDescent="0.25">
      <c r="A375" s="43">
        <v>42220</v>
      </c>
      <c r="B375" s="44" t="s">
        <v>343</v>
      </c>
      <c r="C375" s="52">
        <v>1231.53595</v>
      </c>
      <c r="D375" s="115">
        <v>1231535.95</v>
      </c>
      <c r="E375" s="48">
        <v>15835</v>
      </c>
      <c r="F375" s="48">
        <v>4216</v>
      </c>
      <c r="G375" s="45"/>
      <c r="I375" s="390"/>
      <c r="J375" s="387"/>
      <c r="K375" s="391"/>
    </row>
    <row r="376" spans="1:11" x14ac:dyDescent="0.25">
      <c r="A376" s="43">
        <v>42222</v>
      </c>
      <c r="B376" s="44" t="s">
        <v>368</v>
      </c>
      <c r="C376" s="52">
        <v>3640.0515500000001</v>
      </c>
      <c r="D376" s="115">
        <v>3640051.55</v>
      </c>
      <c r="E376" s="48">
        <v>15835</v>
      </c>
      <c r="F376" s="48">
        <v>4216</v>
      </c>
      <c r="G376" s="45"/>
      <c r="I376" s="390"/>
      <c r="J376" s="387"/>
      <c r="K376" s="391"/>
    </row>
    <row r="377" spans="1:11" x14ac:dyDescent="0.25">
      <c r="A377" s="43">
        <v>42223</v>
      </c>
      <c r="B377" s="44" t="s">
        <v>218</v>
      </c>
      <c r="C377" s="52">
        <v>131.02522999999999</v>
      </c>
      <c r="D377" s="115">
        <v>131025.23</v>
      </c>
      <c r="E377" s="48">
        <v>15835</v>
      </c>
      <c r="F377" s="48">
        <v>4216</v>
      </c>
      <c r="G377" s="45"/>
      <c r="I377" s="390"/>
      <c r="J377" s="387"/>
      <c r="K377" s="391"/>
    </row>
    <row r="378" spans="1:11" x14ac:dyDescent="0.25">
      <c r="A378" s="43">
        <v>42251</v>
      </c>
      <c r="B378" s="44" t="s">
        <v>329</v>
      </c>
      <c r="C378" s="52">
        <v>5.1425000000000001</v>
      </c>
      <c r="D378" s="115">
        <v>5142.5</v>
      </c>
      <c r="E378" s="48">
        <v>15835</v>
      </c>
      <c r="F378" s="48">
        <v>4216</v>
      </c>
      <c r="G378" s="45"/>
      <c r="I378" s="390"/>
      <c r="J378" s="387"/>
      <c r="K378" s="391"/>
    </row>
    <row r="379" spans="1:11" x14ac:dyDescent="0.25">
      <c r="A379" s="43">
        <v>42279</v>
      </c>
      <c r="B379" s="44" t="s">
        <v>232</v>
      </c>
      <c r="C379" s="52">
        <v>5.1425000000000001</v>
      </c>
      <c r="D379" s="115">
        <v>5142.5</v>
      </c>
      <c r="E379" s="48">
        <v>15835</v>
      </c>
      <c r="F379" s="48">
        <v>4216</v>
      </c>
      <c r="G379" s="45"/>
      <c r="I379" s="390"/>
      <c r="J379" s="387"/>
      <c r="K379" s="391"/>
    </row>
    <row r="380" spans="1:11" x14ac:dyDescent="0.25">
      <c r="A380" s="43">
        <v>42279</v>
      </c>
      <c r="B380" s="44" t="s">
        <v>536</v>
      </c>
      <c r="C380" s="52">
        <v>181.87738999999999</v>
      </c>
      <c r="D380" s="115">
        <v>181877.39</v>
      </c>
      <c r="E380" s="48">
        <v>15835</v>
      </c>
      <c r="F380" s="48">
        <v>4216</v>
      </c>
      <c r="G380" s="45"/>
      <c r="I380" s="390"/>
      <c r="J380" s="387"/>
      <c r="K380" s="391"/>
    </row>
    <row r="381" spans="1:11" x14ac:dyDescent="0.25">
      <c r="A381" s="43">
        <v>42285</v>
      </c>
      <c r="B381" s="44" t="s">
        <v>537</v>
      </c>
      <c r="C381" s="52">
        <v>0</v>
      </c>
      <c r="D381" s="115">
        <v>381309.2</v>
      </c>
      <c r="E381" s="48">
        <v>15828</v>
      </c>
      <c r="F381" s="48">
        <v>4216</v>
      </c>
      <c r="G381" s="45"/>
      <c r="I381" s="390"/>
      <c r="J381" s="387"/>
      <c r="K381" s="391"/>
    </row>
    <row r="382" spans="1:11" x14ac:dyDescent="0.25">
      <c r="A382" s="43">
        <v>42285</v>
      </c>
      <c r="B382" s="44" t="s">
        <v>537</v>
      </c>
      <c r="C382" s="52">
        <v>0</v>
      </c>
      <c r="D382" s="115">
        <v>6482256.5700000003</v>
      </c>
      <c r="E382" s="48">
        <v>15829</v>
      </c>
      <c r="F382" s="48">
        <v>4216</v>
      </c>
      <c r="G382" s="45"/>
      <c r="I382" s="390"/>
      <c r="J382" s="387"/>
      <c r="K382" s="391"/>
    </row>
    <row r="383" spans="1:11" x14ac:dyDescent="0.25">
      <c r="A383" s="43"/>
      <c r="B383" s="44" t="s">
        <v>380</v>
      </c>
      <c r="C383" s="174">
        <v>1790.63256</v>
      </c>
      <c r="D383" s="348">
        <f>1790632.56+340298.43</f>
        <v>2130930.9900000002</v>
      </c>
      <c r="E383" s="48">
        <v>15835</v>
      </c>
      <c r="F383" s="48">
        <v>4216</v>
      </c>
      <c r="G383" s="384" t="s">
        <v>64</v>
      </c>
      <c r="I383" s="390">
        <f>1790632.56+340298.43</f>
        <v>2130930.9900000002</v>
      </c>
      <c r="J383" s="387"/>
      <c r="K383" s="391"/>
    </row>
    <row r="384" spans="1:11" x14ac:dyDescent="0.25">
      <c r="A384" s="43"/>
      <c r="B384" s="44" t="s">
        <v>121</v>
      </c>
      <c r="C384" s="174">
        <v>16.574999999999999</v>
      </c>
      <c r="D384" s="174">
        <v>16575</v>
      </c>
      <c r="E384" s="48">
        <v>15835</v>
      </c>
      <c r="F384" s="48">
        <v>4216</v>
      </c>
      <c r="G384" s="45"/>
      <c r="I384" s="390"/>
      <c r="J384" s="402">
        <v>16575</v>
      </c>
      <c r="K384" s="391"/>
    </row>
    <row r="385" spans="1:11" x14ac:dyDescent="0.25">
      <c r="A385" s="43"/>
      <c r="B385" s="44" t="s">
        <v>502</v>
      </c>
      <c r="C385" s="174">
        <v>24.19134</v>
      </c>
      <c r="D385" s="174">
        <v>24191.34</v>
      </c>
      <c r="E385" s="48">
        <v>15835</v>
      </c>
      <c r="F385" s="48">
        <v>4216</v>
      </c>
      <c r="G385" s="45"/>
      <c r="I385" s="390"/>
      <c r="J385" s="402">
        <v>24191.34</v>
      </c>
      <c r="K385" s="391"/>
    </row>
    <row r="386" spans="1:11" x14ac:dyDescent="0.25">
      <c r="A386" s="43"/>
      <c r="B386" s="44" t="s">
        <v>503</v>
      </c>
      <c r="C386" s="174">
        <v>920.33410000000003</v>
      </c>
      <c r="D386" s="348">
        <f>920334.1+411103.35</f>
        <v>1331437.45</v>
      </c>
      <c r="E386" s="48">
        <v>15835</v>
      </c>
      <c r="F386" s="48">
        <v>4216</v>
      </c>
      <c r="G386" s="45"/>
      <c r="I386" s="390"/>
      <c r="J386" s="402">
        <v>920334.1</v>
      </c>
      <c r="K386" s="391">
        <v>411103.35</v>
      </c>
    </row>
    <row r="387" spans="1:11" x14ac:dyDescent="0.25">
      <c r="A387" s="43"/>
      <c r="B387" s="44" t="s">
        <v>538</v>
      </c>
      <c r="C387" s="174">
        <v>808.39481999999998</v>
      </c>
      <c r="D387" s="348">
        <v>808394.82</v>
      </c>
      <c r="E387" s="48">
        <v>15827</v>
      </c>
      <c r="F387" s="48">
        <v>4216</v>
      </c>
      <c r="G387" s="45"/>
      <c r="I387" s="390"/>
      <c r="J387" s="402">
        <v>808394.82</v>
      </c>
      <c r="K387" s="402"/>
    </row>
    <row r="388" spans="1:11" x14ac:dyDescent="0.25">
      <c r="A388" s="43"/>
      <c r="B388" s="44" t="s">
        <v>284</v>
      </c>
      <c r="C388" s="174">
        <v>4723.4869399999998</v>
      </c>
      <c r="D388" s="348">
        <f>3690394.27+1033092.67+5516772.45</f>
        <v>10240259.390000001</v>
      </c>
      <c r="E388" s="48">
        <v>15835</v>
      </c>
      <c r="F388" s="48">
        <v>4216</v>
      </c>
      <c r="G388" s="384"/>
      <c r="I388" s="390"/>
      <c r="J388" s="402">
        <f>3690394.27+1033092.67</f>
        <v>4723486.9400000004</v>
      </c>
      <c r="K388" s="391">
        <v>5516772.4500000002</v>
      </c>
    </row>
    <row r="389" spans="1:11" x14ac:dyDescent="0.25">
      <c r="A389" s="43"/>
      <c r="B389" s="44" t="s">
        <v>499</v>
      </c>
      <c r="C389" s="174">
        <v>5.1425000000000001</v>
      </c>
      <c r="D389" s="348">
        <v>5142.5</v>
      </c>
      <c r="E389" s="48">
        <v>15835</v>
      </c>
      <c r="F389" s="48">
        <v>4216</v>
      </c>
      <c r="G389" s="384"/>
      <c r="I389" s="390"/>
      <c r="J389" s="402">
        <v>5142.5</v>
      </c>
      <c r="K389" s="391"/>
    </row>
    <row r="390" spans="1:11" x14ac:dyDescent="0.25">
      <c r="A390" s="43"/>
      <c r="B390" s="44" t="s">
        <v>360</v>
      </c>
      <c r="C390" s="174">
        <v>159.6232</v>
      </c>
      <c r="D390" s="348">
        <v>159623.20000000001</v>
      </c>
      <c r="E390" s="48">
        <v>15835</v>
      </c>
      <c r="F390" s="48">
        <v>4216</v>
      </c>
      <c r="G390" s="45"/>
      <c r="I390" s="390"/>
      <c r="J390" s="45">
        <v>159623.20000000001</v>
      </c>
      <c r="K390" s="391"/>
    </row>
    <row r="391" spans="1:11" x14ac:dyDescent="0.25">
      <c r="A391" s="43"/>
      <c r="B391" s="44" t="s">
        <v>228</v>
      </c>
      <c r="C391" s="174">
        <v>36.125</v>
      </c>
      <c r="D391" s="174">
        <v>36125</v>
      </c>
      <c r="E391" s="48">
        <v>15835</v>
      </c>
      <c r="F391" s="48">
        <v>4216</v>
      </c>
      <c r="G391" s="45"/>
      <c r="I391" s="390"/>
      <c r="J391" s="402">
        <v>36125</v>
      </c>
      <c r="K391" s="391"/>
    </row>
    <row r="392" spans="1:11" x14ac:dyDescent="0.25">
      <c r="A392" s="43"/>
      <c r="B392" s="44" t="s">
        <v>230</v>
      </c>
      <c r="C392" s="174">
        <v>59.499980000000001</v>
      </c>
      <c r="D392" s="174">
        <v>59499.98</v>
      </c>
      <c r="E392" s="48">
        <v>15835</v>
      </c>
      <c r="F392" s="48">
        <v>4216</v>
      </c>
      <c r="G392" s="45"/>
      <c r="I392" s="390"/>
      <c r="J392" s="402">
        <v>59499.98</v>
      </c>
      <c r="K392" s="391"/>
    </row>
    <row r="393" spans="1:11" x14ac:dyDescent="0.25">
      <c r="A393" s="43"/>
      <c r="B393" s="44" t="s">
        <v>396</v>
      </c>
      <c r="C393" s="174">
        <v>1321.5131100000001</v>
      </c>
      <c r="D393" s="348">
        <v>1321513.1100000001</v>
      </c>
      <c r="E393" s="48">
        <v>15835</v>
      </c>
      <c r="F393" s="48">
        <v>4216</v>
      </c>
      <c r="G393" s="384"/>
      <c r="I393" s="390"/>
      <c r="J393" s="387">
        <v>1321513.1100000001</v>
      </c>
      <c r="K393" s="391"/>
    </row>
    <row r="394" spans="1:11" x14ac:dyDescent="0.25">
      <c r="A394" s="43"/>
      <c r="B394" s="276"/>
      <c r="C394" s="52"/>
      <c r="D394" s="20"/>
      <c r="E394" s="48"/>
      <c r="F394" s="48"/>
      <c r="G394" s="45"/>
      <c r="I394" s="390"/>
      <c r="J394" s="387"/>
      <c r="K394" s="391"/>
    </row>
    <row r="395" spans="1:11" x14ac:dyDescent="0.25">
      <c r="A395" s="43"/>
      <c r="B395" s="276"/>
      <c r="C395" s="52"/>
      <c r="D395" s="20"/>
      <c r="E395" s="48"/>
      <c r="F395" s="48"/>
      <c r="G395" s="45"/>
      <c r="I395" s="390"/>
      <c r="J395" s="387"/>
      <c r="K395" s="391"/>
    </row>
    <row r="396" spans="1:11" x14ac:dyDescent="0.25">
      <c r="A396" s="43"/>
      <c r="B396" s="276"/>
      <c r="C396" s="20"/>
      <c r="D396" s="20"/>
      <c r="E396" s="48"/>
      <c r="F396" s="48"/>
      <c r="G396" s="45"/>
      <c r="I396" s="390"/>
      <c r="J396" s="387"/>
      <c r="K396" s="391"/>
    </row>
    <row r="397" spans="1:11" x14ac:dyDescent="0.25">
      <c r="A397" s="43"/>
      <c r="B397" s="285" t="s">
        <v>91</v>
      </c>
      <c r="C397" s="39">
        <f>+SUM(C398:C403)</f>
        <v>35636.295599999998</v>
      </c>
      <c r="D397" s="39">
        <f>+SUM(D398:D403)</f>
        <v>38835163.599999994</v>
      </c>
      <c r="E397" s="48"/>
      <c r="F397" s="48"/>
      <c r="G397" s="45"/>
      <c r="I397" s="390"/>
      <c r="J397" s="387"/>
      <c r="K397" s="391"/>
    </row>
    <row r="398" spans="1:11" x14ac:dyDescent="0.25">
      <c r="A398" s="43">
        <v>42034</v>
      </c>
      <c r="B398" s="276" t="s">
        <v>103</v>
      </c>
      <c r="C398" s="20">
        <v>4395.5924400000004</v>
      </c>
      <c r="D398" s="20">
        <v>4395592.4400000004</v>
      </c>
      <c r="E398" s="48">
        <v>17871</v>
      </c>
      <c r="F398" s="48">
        <v>4216</v>
      </c>
      <c r="G398" s="45"/>
      <c r="I398" s="390"/>
      <c r="J398" s="387"/>
      <c r="K398" s="391"/>
    </row>
    <row r="399" spans="1:11" x14ac:dyDescent="0.25">
      <c r="A399" s="43">
        <v>42034</v>
      </c>
      <c r="B399" s="276" t="s">
        <v>103</v>
      </c>
      <c r="C399" s="20">
        <v>775.69277999999997</v>
      </c>
      <c r="D399" s="20">
        <v>775692.78</v>
      </c>
      <c r="E399" s="48">
        <v>17870</v>
      </c>
      <c r="F399" s="48">
        <v>4216</v>
      </c>
      <c r="G399" s="45"/>
      <c r="I399" s="390"/>
      <c r="J399" s="387"/>
      <c r="K399" s="391"/>
    </row>
    <row r="400" spans="1:11" x14ac:dyDescent="0.25">
      <c r="A400" s="43">
        <v>42151</v>
      </c>
      <c r="B400" s="276" t="s">
        <v>220</v>
      </c>
      <c r="C400" s="20">
        <v>22777.845359999999</v>
      </c>
      <c r="D400" s="20">
        <v>22777845.359999999</v>
      </c>
      <c r="E400" s="48">
        <v>17871</v>
      </c>
      <c r="F400" s="48">
        <v>4216</v>
      </c>
      <c r="G400" s="45"/>
      <c r="I400" s="390"/>
      <c r="J400" s="387"/>
      <c r="K400" s="391"/>
    </row>
    <row r="401" spans="1:11" x14ac:dyDescent="0.25">
      <c r="A401" s="43">
        <v>42250</v>
      </c>
      <c r="B401" s="276" t="s">
        <v>419</v>
      </c>
      <c r="C401" s="20">
        <v>1153.07475</v>
      </c>
      <c r="D401" s="20">
        <v>1153074.75</v>
      </c>
      <c r="E401" s="48">
        <v>17870</v>
      </c>
      <c r="F401" s="48">
        <v>4216</v>
      </c>
      <c r="G401" s="45"/>
      <c r="I401" s="390"/>
      <c r="J401" s="387"/>
      <c r="K401" s="391"/>
    </row>
    <row r="402" spans="1:11" x14ac:dyDescent="0.25">
      <c r="A402" s="43">
        <v>42250</v>
      </c>
      <c r="B402" s="276" t="s">
        <v>419</v>
      </c>
      <c r="C402" s="20">
        <v>6534.0902699999997</v>
      </c>
      <c r="D402" s="20">
        <v>6534090.2699999996</v>
      </c>
      <c r="E402" s="48">
        <v>17871</v>
      </c>
      <c r="F402" s="48">
        <v>4216</v>
      </c>
      <c r="G402" s="45"/>
      <c r="I402" s="390"/>
      <c r="J402" s="387"/>
      <c r="K402" s="391"/>
    </row>
    <row r="403" spans="1:11" x14ac:dyDescent="0.25">
      <c r="A403" s="43"/>
      <c r="B403" s="276" t="s">
        <v>541</v>
      </c>
      <c r="C403" s="20">
        <v>0</v>
      </c>
      <c r="D403" s="20">
        <v>3198868</v>
      </c>
      <c r="E403" s="48">
        <v>17880</v>
      </c>
      <c r="F403" s="48">
        <v>4216</v>
      </c>
      <c r="G403" s="384" t="s">
        <v>564</v>
      </c>
      <c r="I403" s="390"/>
      <c r="J403" s="387"/>
      <c r="K403" s="391">
        <v>3198868</v>
      </c>
    </row>
    <row r="404" spans="1:11" x14ac:dyDescent="0.25">
      <c r="A404" s="43"/>
      <c r="B404" s="276"/>
      <c r="C404" s="20"/>
      <c r="D404" s="20"/>
      <c r="E404" s="48"/>
      <c r="F404" s="48"/>
      <c r="G404" s="45"/>
      <c r="I404" s="390"/>
      <c r="J404" s="387"/>
      <c r="K404" s="391"/>
    </row>
    <row r="405" spans="1:11" x14ac:dyDescent="0.25">
      <c r="A405" s="43"/>
      <c r="B405" s="31" t="s">
        <v>149</v>
      </c>
      <c r="C405" s="39">
        <f>+C406</f>
        <v>450</v>
      </c>
      <c r="D405" s="39">
        <f>+D406</f>
        <v>450000</v>
      </c>
      <c r="E405" s="48"/>
      <c r="F405" s="48"/>
      <c r="G405" s="45"/>
      <c r="I405" s="390"/>
      <c r="J405" s="387"/>
      <c r="K405" s="391"/>
    </row>
    <row r="406" spans="1:11" x14ac:dyDescent="0.25">
      <c r="A406" s="43">
        <v>42121</v>
      </c>
      <c r="B406" s="276" t="s">
        <v>155</v>
      </c>
      <c r="C406" s="20">
        <v>450</v>
      </c>
      <c r="D406" s="20">
        <v>450000</v>
      </c>
      <c r="E406" s="48">
        <v>35674</v>
      </c>
      <c r="F406" s="48">
        <v>4216</v>
      </c>
      <c r="G406" s="45"/>
      <c r="I406" s="390"/>
      <c r="J406" s="387"/>
      <c r="K406" s="391"/>
    </row>
    <row r="407" spans="1:11" x14ac:dyDescent="0.25">
      <c r="A407" s="43"/>
      <c r="B407" s="273"/>
      <c r="C407" s="39"/>
      <c r="D407" s="39"/>
      <c r="E407" s="48"/>
      <c r="F407" s="48"/>
      <c r="G407" s="45"/>
      <c r="I407" s="390"/>
      <c r="J407" s="387"/>
      <c r="K407" s="391"/>
    </row>
    <row r="408" spans="1:11" x14ac:dyDescent="0.25">
      <c r="A408" s="43"/>
      <c r="B408" s="273" t="s">
        <v>48</v>
      </c>
      <c r="C408" s="39">
        <f>SUM(C409:C417)</f>
        <v>2720</v>
      </c>
      <c r="D408" s="39">
        <f>SUM(D409:D417)</f>
        <v>3070000</v>
      </c>
      <c r="E408" s="48"/>
      <c r="F408" s="48"/>
      <c r="G408" s="45"/>
      <c r="I408" s="390"/>
      <c r="J408" s="387"/>
      <c r="K408" s="391"/>
    </row>
    <row r="409" spans="1:11" x14ac:dyDescent="0.25">
      <c r="A409" s="43"/>
      <c r="B409" s="44" t="s">
        <v>308</v>
      </c>
      <c r="C409" s="174">
        <v>200</v>
      </c>
      <c r="D409" s="423">
        <v>200000</v>
      </c>
      <c r="E409" s="48">
        <v>551</v>
      </c>
      <c r="F409" s="48">
        <v>4222</v>
      </c>
      <c r="G409" s="45"/>
      <c r="I409" s="390"/>
      <c r="J409" s="387">
        <v>200000</v>
      </c>
      <c r="K409" s="395"/>
    </row>
    <row r="410" spans="1:11" x14ac:dyDescent="0.25">
      <c r="A410" s="43"/>
      <c r="B410" s="44" t="s">
        <v>305</v>
      </c>
      <c r="C410" s="174">
        <v>500</v>
      </c>
      <c r="D410" s="423">
        <v>500000</v>
      </c>
      <c r="E410" s="48">
        <v>551</v>
      </c>
      <c r="F410" s="48">
        <v>4222</v>
      </c>
      <c r="G410" s="45"/>
      <c r="I410" s="390"/>
      <c r="J410" s="387">
        <v>500000</v>
      </c>
      <c r="K410" s="395"/>
    </row>
    <row r="411" spans="1:11" x14ac:dyDescent="0.25">
      <c r="A411" s="43"/>
      <c r="B411" s="44" t="s">
        <v>312</v>
      </c>
      <c r="C411" s="174">
        <v>90</v>
      </c>
      <c r="D411" s="423">
        <v>90000</v>
      </c>
      <c r="E411" s="48">
        <v>551</v>
      </c>
      <c r="F411" s="48">
        <v>4222</v>
      </c>
      <c r="G411" s="45"/>
      <c r="I411" s="390"/>
      <c r="J411" s="387">
        <v>90000</v>
      </c>
      <c r="K411" s="395"/>
    </row>
    <row r="412" spans="1:11" x14ac:dyDescent="0.25">
      <c r="A412" s="43"/>
      <c r="B412" s="44" t="s">
        <v>345</v>
      </c>
      <c r="C412" s="174">
        <v>500</v>
      </c>
      <c r="D412" s="423">
        <v>500000</v>
      </c>
      <c r="E412" s="48">
        <v>551</v>
      </c>
      <c r="F412" s="48">
        <v>4222</v>
      </c>
      <c r="G412" s="45"/>
      <c r="I412" s="390"/>
      <c r="J412" s="387">
        <v>500000</v>
      </c>
      <c r="K412" s="395"/>
    </row>
    <row r="413" spans="1:11" x14ac:dyDescent="0.25">
      <c r="A413" s="43"/>
      <c r="B413" s="44" t="s">
        <v>306</v>
      </c>
      <c r="C413" s="174">
        <v>300</v>
      </c>
      <c r="D413" s="423">
        <v>300000</v>
      </c>
      <c r="E413" s="48">
        <v>551</v>
      </c>
      <c r="F413" s="48">
        <v>4222</v>
      </c>
      <c r="G413" s="45"/>
      <c r="I413" s="390"/>
      <c r="J413" s="387">
        <v>300000</v>
      </c>
      <c r="K413" s="395"/>
    </row>
    <row r="414" spans="1:11" x14ac:dyDescent="0.25">
      <c r="A414" s="43"/>
      <c r="B414" s="44" t="s">
        <v>313</v>
      </c>
      <c r="C414" s="174">
        <v>700</v>
      </c>
      <c r="D414" s="423">
        <v>700000</v>
      </c>
      <c r="E414" s="48">
        <v>551</v>
      </c>
      <c r="F414" s="48">
        <v>4222</v>
      </c>
      <c r="G414" s="45"/>
      <c r="I414" s="390"/>
      <c r="J414" s="387">
        <v>700000</v>
      </c>
      <c r="K414" s="395"/>
    </row>
    <row r="415" spans="1:11" x14ac:dyDescent="0.25">
      <c r="A415" s="43"/>
      <c r="B415" s="44" t="s">
        <v>302</v>
      </c>
      <c r="C415" s="179">
        <v>30</v>
      </c>
      <c r="D415" s="423">
        <v>30000</v>
      </c>
      <c r="E415" s="48">
        <v>433</v>
      </c>
      <c r="F415" s="48">
        <v>4222</v>
      </c>
      <c r="G415" s="45"/>
      <c r="I415" s="390"/>
      <c r="J415" s="387">
        <v>30000</v>
      </c>
      <c r="K415" s="391"/>
    </row>
    <row r="416" spans="1:11" x14ac:dyDescent="0.25">
      <c r="A416" s="43"/>
      <c r="B416" s="44" t="s">
        <v>561</v>
      </c>
      <c r="C416" s="174">
        <v>0</v>
      </c>
      <c r="D416" s="423">
        <v>350000</v>
      </c>
      <c r="E416" s="48">
        <v>439</v>
      </c>
      <c r="F416" s="48">
        <v>4222</v>
      </c>
      <c r="G416" s="160" t="s">
        <v>64</v>
      </c>
      <c r="I416" s="390">
        <v>350000</v>
      </c>
      <c r="J416" s="387"/>
      <c r="K416" s="391"/>
    </row>
    <row r="417" spans="1:11" x14ac:dyDescent="0.25">
      <c r="A417" s="43"/>
      <c r="B417" s="44" t="s">
        <v>307</v>
      </c>
      <c r="C417" s="174">
        <v>400</v>
      </c>
      <c r="D417" s="423">
        <v>400000</v>
      </c>
      <c r="E417" s="48">
        <v>551</v>
      </c>
      <c r="F417" s="48">
        <v>4222</v>
      </c>
      <c r="G417" s="45"/>
      <c r="I417" s="390"/>
      <c r="J417" s="387">
        <v>400000</v>
      </c>
      <c r="K417" s="395"/>
    </row>
    <row r="418" spans="1:11" x14ac:dyDescent="0.25">
      <c r="A418" s="43"/>
      <c r="B418" s="304"/>
      <c r="C418" s="52"/>
      <c r="D418" s="350"/>
      <c r="E418" s="22"/>
      <c r="F418" s="48"/>
      <c r="G418" s="45"/>
      <c r="I418" s="390"/>
      <c r="J418" s="387"/>
      <c r="K418" s="391"/>
    </row>
    <row r="419" spans="1:11" x14ac:dyDescent="0.25">
      <c r="A419" s="43"/>
      <c r="B419" s="31" t="s">
        <v>50</v>
      </c>
      <c r="C419" s="30">
        <f>+SUM(C420:C431)</f>
        <v>101266.29089999999</v>
      </c>
      <c r="D419" s="30">
        <f>+SUM(D420:D431)</f>
        <v>109690373.88</v>
      </c>
      <c r="E419" s="48"/>
      <c r="F419" s="48"/>
      <c r="G419" s="45"/>
      <c r="I419" s="390"/>
      <c r="J419" s="387"/>
      <c r="K419" s="391"/>
    </row>
    <row r="420" spans="1:11" x14ac:dyDescent="0.25">
      <c r="A420" s="43">
        <v>42073</v>
      </c>
      <c r="B420" s="276" t="s">
        <v>112</v>
      </c>
      <c r="C420" s="20">
        <v>24568.326000000001</v>
      </c>
      <c r="D420" s="20">
        <v>24568326</v>
      </c>
      <c r="E420" s="48">
        <v>86505</v>
      </c>
      <c r="F420" s="48">
        <v>4223</v>
      </c>
      <c r="G420" s="45"/>
      <c r="I420" s="390"/>
      <c r="J420" s="387"/>
      <c r="K420" s="391"/>
    </row>
    <row r="421" spans="1:11" x14ac:dyDescent="0.25">
      <c r="A421" s="43">
        <v>42073</v>
      </c>
      <c r="B421" s="276" t="s">
        <v>112</v>
      </c>
      <c r="C421" s="20">
        <v>2167.7934799999998</v>
      </c>
      <c r="D421" s="20">
        <v>2167793.48</v>
      </c>
      <c r="E421" s="48">
        <v>86501</v>
      </c>
      <c r="F421" s="48">
        <v>4223</v>
      </c>
      <c r="G421" s="45"/>
      <c r="I421" s="390"/>
      <c r="J421" s="387"/>
      <c r="K421" s="391"/>
    </row>
    <row r="422" spans="1:11" x14ac:dyDescent="0.25">
      <c r="A422" s="43">
        <v>42087</v>
      </c>
      <c r="B422" s="44" t="s">
        <v>123</v>
      </c>
      <c r="C422" s="46">
        <v>17507.565600000002</v>
      </c>
      <c r="D422" s="46">
        <v>17507565.600000001</v>
      </c>
      <c r="E422" s="22">
        <v>86505</v>
      </c>
      <c r="F422" s="48">
        <v>4223</v>
      </c>
      <c r="G422" s="45"/>
      <c r="I422" s="390"/>
      <c r="J422" s="387"/>
      <c r="K422" s="391"/>
    </row>
    <row r="423" spans="1:11" x14ac:dyDescent="0.25">
      <c r="A423" s="43">
        <v>42101</v>
      </c>
      <c r="B423" s="44" t="s">
        <v>138</v>
      </c>
      <c r="C423" s="46">
        <v>3893.92481</v>
      </c>
      <c r="D423" s="46">
        <v>3893924.81</v>
      </c>
      <c r="E423" s="22">
        <v>86505</v>
      </c>
      <c r="F423" s="48">
        <v>4223</v>
      </c>
      <c r="G423" s="45"/>
      <c r="I423" s="390"/>
      <c r="J423" s="387"/>
      <c r="K423" s="391"/>
    </row>
    <row r="424" spans="1:11" x14ac:dyDescent="0.25">
      <c r="A424" s="43">
        <v>42122</v>
      </c>
      <c r="B424" s="44" t="s">
        <v>152</v>
      </c>
      <c r="C424" s="46">
        <v>4191.1944100000001</v>
      </c>
      <c r="D424" s="46">
        <v>4191194.41</v>
      </c>
      <c r="E424" s="22">
        <v>86505</v>
      </c>
      <c r="F424" s="48">
        <v>4223</v>
      </c>
      <c r="G424" s="45"/>
      <c r="I424" s="390"/>
      <c r="J424" s="387"/>
      <c r="K424" s="391"/>
    </row>
    <row r="425" spans="1:11" x14ac:dyDescent="0.25">
      <c r="A425" s="43">
        <v>42143</v>
      </c>
      <c r="B425" s="44" t="s">
        <v>171</v>
      </c>
      <c r="C425" s="46">
        <v>18985.09273</v>
      </c>
      <c r="D425" s="20">
        <v>18985092.73</v>
      </c>
      <c r="E425" s="22">
        <v>86505</v>
      </c>
      <c r="F425" s="48">
        <v>4223</v>
      </c>
      <c r="G425" s="45"/>
      <c r="I425" s="390"/>
      <c r="J425" s="387"/>
      <c r="K425" s="391"/>
    </row>
    <row r="426" spans="1:11" x14ac:dyDescent="0.25">
      <c r="A426" s="43">
        <v>42178</v>
      </c>
      <c r="B426" s="44" t="s">
        <v>246</v>
      </c>
      <c r="C426" s="46">
        <v>10777.64892</v>
      </c>
      <c r="D426" s="20">
        <v>10777648.92</v>
      </c>
      <c r="E426" s="22">
        <v>86505</v>
      </c>
      <c r="F426" s="48">
        <v>4223</v>
      </c>
      <c r="G426" s="45"/>
      <c r="I426" s="390"/>
      <c r="J426" s="387"/>
      <c r="K426" s="391"/>
    </row>
    <row r="427" spans="1:11" x14ac:dyDescent="0.25">
      <c r="A427" s="43">
        <v>42242</v>
      </c>
      <c r="B427" s="44" t="s">
        <v>393</v>
      </c>
      <c r="C427" s="46">
        <v>9577.3184600000004</v>
      </c>
      <c r="D427" s="20">
        <v>9577318.4600000009</v>
      </c>
      <c r="E427" s="22">
        <v>86505</v>
      </c>
      <c r="F427" s="48">
        <v>4223</v>
      </c>
      <c r="G427" s="45"/>
      <c r="I427" s="390"/>
      <c r="J427" s="387"/>
      <c r="K427" s="391"/>
    </row>
    <row r="428" spans="1:11" x14ac:dyDescent="0.25">
      <c r="A428" s="43">
        <v>42290</v>
      </c>
      <c r="B428" s="44" t="s">
        <v>539</v>
      </c>
      <c r="C428" s="46">
        <v>0</v>
      </c>
      <c r="D428" s="20">
        <v>8424082.9800000004</v>
      </c>
      <c r="E428" s="22">
        <v>86505</v>
      </c>
      <c r="F428" s="48">
        <v>4223</v>
      </c>
      <c r="G428" s="45"/>
      <c r="I428" s="390"/>
      <c r="J428" s="387"/>
      <c r="K428" s="391"/>
    </row>
    <row r="429" spans="1:11" x14ac:dyDescent="0.25">
      <c r="A429" s="43"/>
      <c r="B429" s="44" t="s">
        <v>437</v>
      </c>
      <c r="C429" s="179">
        <v>3985.4986899999999</v>
      </c>
      <c r="D429" s="174">
        <v>3985498.69</v>
      </c>
      <c r="E429" s="22">
        <v>86505</v>
      </c>
      <c r="F429" s="48">
        <v>4223</v>
      </c>
      <c r="G429" s="384" t="s">
        <v>351</v>
      </c>
      <c r="I429" s="390">
        <v>3985498.69</v>
      </c>
      <c r="J429" s="387"/>
      <c r="K429" s="391"/>
    </row>
    <row r="430" spans="1:11" x14ac:dyDescent="0.25">
      <c r="A430" s="43"/>
      <c r="B430" s="44" t="s">
        <v>262</v>
      </c>
      <c r="C430" s="179">
        <v>5611.9278000000004</v>
      </c>
      <c r="D430" s="174">
        <v>5611927.7999999998</v>
      </c>
      <c r="E430" s="22">
        <v>86505</v>
      </c>
      <c r="F430" s="48">
        <v>4223</v>
      </c>
      <c r="G430" s="384" t="s">
        <v>351</v>
      </c>
      <c r="I430" s="404">
        <v>5611927.7999999998</v>
      </c>
      <c r="J430" s="387"/>
      <c r="K430" s="391"/>
    </row>
    <row r="431" spans="1:11" x14ac:dyDescent="0.25">
      <c r="A431" s="43"/>
      <c r="B431" s="44"/>
      <c r="C431" s="46"/>
      <c r="D431" s="20"/>
      <c r="E431" s="22"/>
      <c r="F431" s="48"/>
      <c r="G431" s="45"/>
      <c r="I431" s="390"/>
      <c r="J431" s="387"/>
      <c r="K431" s="391"/>
    </row>
    <row r="432" spans="1:11" x14ac:dyDescent="0.25">
      <c r="A432" s="43"/>
      <c r="B432" s="293" t="s">
        <v>52</v>
      </c>
      <c r="C432" s="30">
        <f>+C433</f>
        <v>877</v>
      </c>
      <c r="D432" s="39">
        <f>+D433</f>
        <v>876199.86</v>
      </c>
      <c r="E432" s="22"/>
      <c r="F432" s="48"/>
      <c r="G432" s="45"/>
      <c r="I432" s="390"/>
      <c r="J432" s="387"/>
      <c r="K432" s="391"/>
    </row>
    <row r="433" spans="1:11" x14ac:dyDescent="0.25">
      <c r="A433" s="43">
        <v>42174</v>
      </c>
      <c r="B433" s="44" t="s">
        <v>244</v>
      </c>
      <c r="C433" s="46">
        <v>877</v>
      </c>
      <c r="D433" s="20">
        <v>876199.86</v>
      </c>
      <c r="E433" s="22"/>
      <c r="F433" s="48">
        <v>4232</v>
      </c>
      <c r="G433" s="45"/>
      <c r="I433" s="390"/>
      <c r="J433" s="387"/>
      <c r="K433" s="391"/>
    </row>
    <row r="434" spans="1:11" x14ac:dyDescent="0.25">
      <c r="A434" s="43"/>
      <c r="B434" s="276"/>
      <c r="C434" s="46"/>
      <c r="D434" s="424"/>
      <c r="E434" s="48"/>
      <c r="F434" s="48"/>
      <c r="I434" s="390"/>
      <c r="J434" s="387"/>
      <c r="K434" s="391"/>
    </row>
    <row r="435" spans="1:11" x14ac:dyDescent="0.25">
      <c r="A435" s="43"/>
      <c r="B435" s="294" t="s">
        <v>55</v>
      </c>
      <c r="C435" s="26">
        <f>+C432+C419+C408+C405+C397+C365+C362+C332</f>
        <v>163483.45109999998</v>
      </c>
      <c r="D435" s="26">
        <f>+D432+D419+D408+D405+D397+D365+D362+D332</f>
        <v>188956058.05999997</v>
      </c>
      <c r="E435" s="71"/>
      <c r="F435" s="28"/>
      <c r="I435" s="390"/>
      <c r="J435" s="387"/>
      <c r="K435" s="391"/>
    </row>
    <row r="436" spans="1:11" ht="16.5" thickBot="1" x14ac:dyDescent="0.3">
      <c r="A436" s="296"/>
      <c r="B436" s="297"/>
      <c r="C436" s="74"/>
      <c r="D436" s="74"/>
      <c r="E436" s="76"/>
      <c r="F436" s="76"/>
      <c r="I436" s="390"/>
      <c r="J436" s="387"/>
      <c r="K436" s="391"/>
    </row>
    <row r="437" spans="1:11" ht="16.5" thickBot="1" x14ac:dyDescent="0.3">
      <c r="I437" s="405"/>
      <c r="J437" s="406"/>
      <c r="K437" s="407"/>
    </row>
    <row r="438" spans="1:11" ht="16.5" thickBot="1" x14ac:dyDescent="0.3">
      <c r="A438" s="307"/>
      <c r="B438" s="91"/>
      <c r="C438" s="90"/>
      <c r="D438" s="90"/>
      <c r="E438" s="92"/>
      <c r="F438" s="92"/>
      <c r="I438" s="408">
        <f>SUM(I7:I436)</f>
        <v>25864915.350000001</v>
      </c>
      <c r="J438" s="409">
        <f>SUM(J7:J436)</f>
        <v>77763212.399999991</v>
      </c>
      <c r="K438" s="401">
        <f>SUM(K7:K436)</f>
        <v>10276574.370000001</v>
      </c>
    </row>
    <row r="439" spans="1:11" x14ac:dyDescent="0.25">
      <c r="A439" s="309"/>
      <c r="B439" s="310"/>
      <c r="C439" s="94"/>
      <c r="D439" s="4"/>
      <c r="E439" s="95"/>
      <c r="F439" s="165"/>
      <c r="G439" s="306"/>
      <c r="H439" s="269"/>
    </row>
    <row r="440" spans="1:11" ht="16.5" thickBot="1" x14ac:dyDescent="0.3">
      <c r="A440" s="309"/>
      <c r="B440" s="10" t="s">
        <v>56</v>
      </c>
      <c r="C440" s="9" t="s">
        <v>3</v>
      </c>
      <c r="D440" s="9" t="s">
        <v>4</v>
      </c>
      <c r="E440" s="95"/>
      <c r="F440" s="165"/>
      <c r="G440" s="306"/>
      <c r="H440" s="269"/>
    </row>
    <row r="441" spans="1:11" x14ac:dyDescent="0.25">
      <c r="A441" s="309"/>
      <c r="B441" s="313"/>
      <c r="C441" s="96"/>
      <c r="D441" s="361"/>
      <c r="E441" s="95"/>
      <c r="F441" s="165"/>
      <c r="G441" s="306"/>
      <c r="H441" s="269"/>
    </row>
    <row r="442" spans="1:11" x14ac:dyDescent="0.25">
      <c r="A442" s="314"/>
      <c r="B442" s="122" t="s">
        <v>57</v>
      </c>
      <c r="C442" s="99">
        <f>+C326</f>
        <v>288576.67979999993</v>
      </c>
      <c r="D442" s="358">
        <f>+D326</f>
        <v>289016853.90000004</v>
      </c>
      <c r="E442" s="95"/>
      <c r="F442" s="165"/>
      <c r="G442" s="306" t="s">
        <v>61</v>
      </c>
      <c r="H442" s="269">
        <f>'[1]Vstupni Seznam'!$M$1</f>
        <v>951693271.66000009</v>
      </c>
      <c r="I442" s="319"/>
    </row>
    <row r="443" spans="1:11" x14ac:dyDescent="0.25">
      <c r="A443" s="314"/>
      <c r="B443" s="122" t="s">
        <v>58</v>
      </c>
      <c r="C443" s="99">
        <f>+C435</f>
        <v>163483.45109999998</v>
      </c>
      <c r="D443" s="99">
        <f>+D435</f>
        <v>188956058.05999997</v>
      </c>
      <c r="E443" s="95"/>
      <c r="F443" s="165"/>
      <c r="G443" s="306" t="s">
        <v>62</v>
      </c>
      <c r="H443" s="269">
        <f>27388800*11</f>
        <v>301276800</v>
      </c>
      <c r="I443" s="45">
        <f>+H444-I438</f>
        <v>0</v>
      </c>
    </row>
    <row r="444" spans="1:11" x14ac:dyDescent="0.25">
      <c r="A444" s="314"/>
      <c r="B444" s="122"/>
      <c r="C444" s="99"/>
      <c r="D444" s="358"/>
      <c r="E444" s="95"/>
      <c r="F444" s="165"/>
      <c r="G444" s="306" t="s">
        <v>64</v>
      </c>
      <c r="H444" s="269">
        <f>+D41+D42+D45+D44+D46+D47+D48+D49+D50+D51+D52+D53+D54+D55+D56+D57+D58+D43+D430+D353+D383+D349+D39+D429+D40+D416+D304</f>
        <v>25864915.350000001</v>
      </c>
    </row>
    <row r="445" spans="1:11" x14ac:dyDescent="0.25">
      <c r="A445" s="314"/>
      <c r="B445" s="317" t="s">
        <v>59</v>
      </c>
      <c r="C445" s="102">
        <f>+C442+C443</f>
        <v>452060.13089999987</v>
      </c>
      <c r="D445" s="26">
        <f>SUM(D442:D443)</f>
        <v>477972911.96000004</v>
      </c>
      <c r="E445" s="95"/>
      <c r="F445" s="165"/>
      <c r="G445" s="45" t="s">
        <v>63</v>
      </c>
      <c r="H445" s="269">
        <f>+H442-H443+H444-H441</f>
        <v>676281387.01000011</v>
      </c>
    </row>
    <row r="446" spans="1:11" ht="16.5" thickBot="1" x14ac:dyDescent="0.3">
      <c r="A446" s="314"/>
      <c r="B446" s="318"/>
      <c r="C446" s="103"/>
      <c r="D446" s="103"/>
      <c r="E446" s="100"/>
      <c r="F446" s="80"/>
      <c r="G446" s="45"/>
      <c r="H446" s="269">
        <f>+D445-H445</f>
        <v>-198308475.05000007</v>
      </c>
      <c r="I446" s="319"/>
      <c r="K446" s="367"/>
    </row>
    <row r="447" spans="1:11" x14ac:dyDescent="0.25">
      <c r="B447" s="45">
        <f>5142.5+302.5</f>
        <v>5445</v>
      </c>
      <c r="C447" s="38"/>
      <c r="D447" s="362"/>
      <c r="E447" s="1"/>
      <c r="F447" s="2"/>
      <c r="H447" s="269">
        <v>0</v>
      </c>
      <c r="I447" s="320"/>
    </row>
    <row r="448" spans="1:11" ht="16.5" thickBot="1" x14ac:dyDescent="0.3">
      <c r="B448" s="321">
        <f>36912917.42-36907772.42</f>
        <v>5145</v>
      </c>
      <c r="C448" s="131"/>
      <c r="D448" s="131"/>
      <c r="E448" s="87"/>
      <c r="F448" s="87"/>
      <c r="H448" s="269">
        <f>+H446-H447</f>
        <v>-198308475.05000007</v>
      </c>
      <c r="I448" s="45" t="s">
        <v>565</v>
      </c>
    </row>
    <row r="449" spans="1:14" ht="16.5" thickBot="1" x14ac:dyDescent="0.3">
      <c r="B449" s="322" t="s">
        <v>79</v>
      </c>
      <c r="C449" s="140" t="s">
        <v>80</v>
      </c>
      <c r="D449" s="140" t="s">
        <v>80</v>
      </c>
      <c r="E449" s="140" t="s">
        <v>82</v>
      </c>
      <c r="F449" s="140" t="s">
        <v>81</v>
      </c>
      <c r="G449" s="323" t="s">
        <v>83</v>
      </c>
      <c r="H449" s="324" t="s">
        <v>84</v>
      </c>
      <c r="I449" s="45" t="s">
        <v>562</v>
      </c>
    </row>
    <row r="450" spans="1:14" s="329" customFormat="1" x14ac:dyDescent="0.25">
      <c r="A450" s="325"/>
      <c r="B450" s="412">
        <v>4111</v>
      </c>
      <c r="C450" s="425"/>
      <c r="D450" s="411"/>
      <c r="E450" s="141">
        <f t="shared" ref="E450:E462" si="1">SUMIF($F$7:$F$498,B450,$C$7:$C$498)</f>
        <v>0</v>
      </c>
      <c r="F450" s="141">
        <f t="shared" ref="F450:F462" si="2">SUMIF($F$7:$F$448,B450,$D$7:$D$448)</f>
        <v>0</v>
      </c>
      <c r="G450" s="328">
        <f>C450-E450*1000</f>
        <v>0</v>
      </c>
      <c r="H450" s="328">
        <f>+D450-F450</f>
        <v>0</v>
      </c>
      <c r="I450" s="185">
        <v>299160</v>
      </c>
      <c r="J450" s="419">
        <v>33058</v>
      </c>
      <c r="K450" s="419"/>
      <c r="L450" s="45"/>
      <c r="M450" s="45"/>
    </row>
    <row r="451" spans="1:14" x14ac:dyDescent="0.25">
      <c r="B451" s="412">
        <v>4113</v>
      </c>
      <c r="C451" s="425">
        <v>5949827.7599999998</v>
      </c>
      <c r="D451" s="411">
        <v>4580472.21</v>
      </c>
      <c r="E451" s="142">
        <f t="shared" si="1"/>
        <v>5949.827760000001</v>
      </c>
      <c r="F451" s="141">
        <f t="shared" si="2"/>
        <v>4580472.2100000009</v>
      </c>
      <c r="G451" s="328">
        <f t="shared" ref="G451:G462" si="3">C451-E451*1000</f>
        <v>0</v>
      </c>
      <c r="H451" s="328">
        <f t="shared" ref="H451:H462" si="4">+D451-F451</f>
        <v>0</v>
      </c>
      <c r="I451" s="185">
        <v>220850</v>
      </c>
      <c r="J451" s="419">
        <v>33058</v>
      </c>
      <c r="K451" s="419"/>
      <c r="N451" s="329"/>
    </row>
    <row r="452" spans="1:14" x14ac:dyDescent="0.25">
      <c r="B452" s="412">
        <v>4116</v>
      </c>
      <c r="C452" s="425">
        <v>165088894.27000001</v>
      </c>
      <c r="D452" s="411">
        <v>166657405.81999999</v>
      </c>
      <c r="E452" s="142">
        <f t="shared" si="1"/>
        <v>165088.89426999999</v>
      </c>
      <c r="F452" s="141">
        <f t="shared" si="2"/>
        <v>166657405.82000002</v>
      </c>
      <c r="G452" s="328">
        <f t="shared" si="3"/>
        <v>0</v>
      </c>
      <c r="H452" s="328">
        <f t="shared" si="4"/>
        <v>0</v>
      </c>
      <c r="I452" s="185">
        <v>212481</v>
      </c>
      <c r="J452" s="419">
        <v>33058</v>
      </c>
      <c r="K452" s="419"/>
      <c r="N452" s="329"/>
    </row>
    <row r="453" spans="1:14" x14ac:dyDescent="0.25">
      <c r="B453" s="412">
        <v>4119</v>
      </c>
      <c r="C453" s="425">
        <v>0</v>
      </c>
      <c r="D453" s="411">
        <v>0</v>
      </c>
      <c r="E453" s="142">
        <f t="shared" si="1"/>
        <v>0</v>
      </c>
      <c r="F453" s="141">
        <f t="shared" si="2"/>
        <v>0</v>
      </c>
      <c r="G453" s="328">
        <f>C453-E453*1000</f>
        <v>0</v>
      </c>
      <c r="H453" s="328">
        <f t="shared" si="4"/>
        <v>0</v>
      </c>
      <c r="I453" s="185">
        <v>220850</v>
      </c>
      <c r="J453" s="419">
        <v>33058</v>
      </c>
      <c r="K453" s="419"/>
      <c r="N453" s="329"/>
    </row>
    <row r="454" spans="1:14" x14ac:dyDescent="0.25">
      <c r="B454" s="412">
        <v>4122</v>
      </c>
      <c r="C454" s="425">
        <v>113352305.56</v>
      </c>
      <c r="D454" s="411">
        <v>113570305.56</v>
      </c>
      <c r="E454" s="142">
        <f t="shared" si="1"/>
        <v>113352.30556000001</v>
      </c>
      <c r="F454" s="141">
        <f t="shared" si="2"/>
        <v>113570305.56</v>
      </c>
      <c r="G454" s="328">
        <f t="shared" si="3"/>
        <v>0</v>
      </c>
      <c r="H454" s="328">
        <f t="shared" si="4"/>
        <v>0</v>
      </c>
      <c r="I454" s="185">
        <v>220850</v>
      </c>
      <c r="J454" s="419">
        <v>33058</v>
      </c>
      <c r="K454" s="419"/>
      <c r="N454" s="329"/>
    </row>
    <row r="455" spans="1:14" x14ac:dyDescent="0.25">
      <c r="B455" s="412">
        <v>4123</v>
      </c>
      <c r="C455" s="425">
        <v>1808652.21</v>
      </c>
      <c r="D455" s="411">
        <v>1808652.21</v>
      </c>
      <c r="E455" s="142">
        <f t="shared" si="1"/>
        <v>1808.6522100000002</v>
      </c>
      <c r="F455" s="141">
        <f t="shared" si="2"/>
        <v>1808652.21</v>
      </c>
      <c r="G455" s="328">
        <f t="shared" si="3"/>
        <v>0</v>
      </c>
      <c r="H455" s="328">
        <f t="shared" si="4"/>
        <v>0</v>
      </c>
      <c r="I455" s="185">
        <v>225569</v>
      </c>
      <c r="J455" s="419">
        <v>33058</v>
      </c>
      <c r="K455" s="419"/>
      <c r="N455" s="329"/>
    </row>
    <row r="456" spans="1:14" x14ac:dyDescent="0.25">
      <c r="B456" s="412">
        <v>4151</v>
      </c>
      <c r="C456" s="425">
        <v>0</v>
      </c>
      <c r="D456" s="411">
        <v>0</v>
      </c>
      <c r="E456" s="142">
        <f t="shared" si="1"/>
        <v>0</v>
      </c>
      <c r="F456" s="141">
        <f t="shared" si="2"/>
        <v>0</v>
      </c>
      <c r="G456" s="328">
        <f t="shared" si="3"/>
        <v>0</v>
      </c>
      <c r="H456" s="328">
        <f t="shared" si="4"/>
        <v>0</v>
      </c>
      <c r="I456" s="185">
        <v>204112</v>
      </c>
      <c r="J456" s="419">
        <v>33058</v>
      </c>
      <c r="K456" s="419"/>
      <c r="N456" s="329"/>
    </row>
    <row r="457" spans="1:14" x14ac:dyDescent="0.25">
      <c r="B457" s="412">
        <v>4152</v>
      </c>
      <c r="C457" s="425">
        <v>2377000</v>
      </c>
      <c r="D457" s="411">
        <v>2400018.1</v>
      </c>
      <c r="E457" s="142">
        <f t="shared" si="1"/>
        <v>2377</v>
      </c>
      <c r="F457" s="141">
        <f t="shared" si="2"/>
        <v>2400018.1000000006</v>
      </c>
      <c r="G457" s="328">
        <f t="shared" si="3"/>
        <v>0</v>
      </c>
      <c r="H457" s="328">
        <f t="shared" si="4"/>
        <v>0</v>
      </c>
      <c r="I457" s="185">
        <v>204112</v>
      </c>
      <c r="J457" s="419">
        <v>33058</v>
      </c>
      <c r="K457" s="419"/>
      <c r="N457" s="329"/>
    </row>
    <row r="458" spans="1:14" x14ac:dyDescent="0.25">
      <c r="B458" s="412">
        <v>4213</v>
      </c>
      <c r="C458" s="425">
        <v>1756259.67</v>
      </c>
      <c r="D458" s="411">
        <v>2124975.79</v>
      </c>
      <c r="E458" s="142">
        <f t="shared" si="1"/>
        <v>1756.2596699999999</v>
      </c>
      <c r="F458" s="141">
        <f t="shared" si="2"/>
        <v>2124975.7900000005</v>
      </c>
      <c r="G458" s="328">
        <f t="shared" si="3"/>
        <v>0</v>
      </c>
      <c r="H458" s="328">
        <f t="shared" si="4"/>
        <v>0</v>
      </c>
      <c r="I458" s="185">
        <v>212481</v>
      </c>
      <c r="J458" s="419">
        <v>33058</v>
      </c>
      <c r="K458" s="419"/>
      <c r="N458" s="329"/>
    </row>
    <row r="459" spans="1:14" x14ac:dyDescent="0.25">
      <c r="B459" s="412">
        <v>4216</v>
      </c>
      <c r="C459" s="425">
        <v>56863900.530000001</v>
      </c>
      <c r="D459" s="411">
        <v>73194508.530000001</v>
      </c>
      <c r="E459" s="142">
        <f t="shared" si="1"/>
        <v>56863.900529999999</v>
      </c>
      <c r="F459" s="141">
        <f t="shared" si="2"/>
        <v>73194508.530000001</v>
      </c>
      <c r="G459" s="328">
        <f t="shared" si="3"/>
        <v>0</v>
      </c>
      <c r="H459" s="328">
        <f t="shared" si="4"/>
        <v>0</v>
      </c>
      <c r="I459" s="185">
        <v>338016</v>
      </c>
      <c r="J459" s="419">
        <v>33058</v>
      </c>
      <c r="K459" s="419"/>
      <c r="N459" s="329"/>
    </row>
    <row r="460" spans="1:14" x14ac:dyDescent="0.25">
      <c r="B460" s="412">
        <v>4222</v>
      </c>
      <c r="C460" s="425">
        <v>2720000</v>
      </c>
      <c r="D460" s="411">
        <v>3070000</v>
      </c>
      <c r="E460" s="142">
        <f t="shared" si="1"/>
        <v>2720</v>
      </c>
      <c r="F460" s="141">
        <f t="shared" si="2"/>
        <v>3070000</v>
      </c>
      <c r="G460" s="328">
        <f t="shared" si="3"/>
        <v>0</v>
      </c>
      <c r="H460" s="328">
        <f t="shared" si="4"/>
        <v>0</v>
      </c>
      <c r="I460" s="185">
        <v>204112</v>
      </c>
      <c r="J460" s="419">
        <v>33058</v>
      </c>
      <c r="K460" s="419"/>
      <c r="N460" s="329"/>
    </row>
    <row r="461" spans="1:14" x14ac:dyDescent="0.25">
      <c r="B461" s="412">
        <v>4223</v>
      </c>
      <c r="C461" s="425">
        <v>101266290.90000001</v>
      </c>
      <c r="D461" s="411">
        <v>109690373.88</v>
      </c>
      <c r="E461" s="142">
        <f t="shared" si="1"/>
        <v>101266.29089999999</v>
      </c>
      <c r="F461" s="141">
        <f t="shared" si="2"/>
        <v>109690373.88</v>
      </c>
      <c r="G461" s="328">
        <f t="shared" si="3"/>
        <v>0</v>
      </c>
      <c r="H461" s="328">
        <f t="shared" si="4"/>
        <v>0</v>
      </c>
      <c r="I461" s="185">
        <v>204112</v>
      </c>
      <c r="J461" s="419">
        <v>33058</v>
      </c>
      <c r="K461" s="419"/>
      <c r="N461" s="329"/>
    </row>
    <row r="462" spans="1:14" x14ac:dyDescent="0.25">
      <c r="B462" s="412">
        <v>4232</v>
      </c>
      <c r="C462" s="425">
        <v>877000</v>
      </c>
      <c r="D462" s="411">
        <v>876199.86</v>
      </c>
      <c r="E462" s="142">
        <f t="shared" si="1"/>
        <v>877</v>
      </c>
      <c r="F462" s="141">
        <f t="shared" si="2"/>
        <v>876199.86</v>
      </c>
      <c r="G462" s="328">
        <f t="shared" si="3"/>
        <v>0</v>
      </c>
      <c r="H462" s="328">
        <f t="shared" si="4"/>
        <v>0</v>
      </c>
      <c r="I462" s="185">
        <v>212481</v>
      </c>
      <c r="J462" s="419">
        <v>33058</v>
      </c>
      <c r="K462" s="419"/>
      <c r="N462" s="329"/>
    </row>
    <row r="463" spans="1:14" x14ac:dyDescent="0.25">
      <c r="B463" s="332"/>
      <c r="C463" s="144">
        <f t="shared" ref="C463:H463" si="5">+SUM(C450:C462)</f>
        <v>452060130.89999998</v>
      </c>
      <c r="D463" s="144">
        <f t="shared" si="5"/>
        <v>477972911.96000004</v>
      </c>
      <c r="E463" s="144">
        <f t="shared" si="5"/>
        <v>452060.13089999999</v>
      </c>
      <c r="F463" s="144">
        <f t="shared" si="5"/>
        <v>477972911.96000004</v>
      </c>
      <c r="G463" s="328">
        <f t="shared" si="5"/>
        <v>0</v>
      </c>
      <c r="H463" s="328">
        <f t="shared" si="5"/>
        <v>0</v>
      </c>
      <c r="I463" s="185">
        <v>212481</v>
      </c>
      <c r="J463" s="419">
        <v>33058</v>
      </c>
      <c r="K463" s="419"/>
      <c r="N463" s="329"/>
    </row>
    <row r="464" spans="1:14" ht="16.5" thickBot="1" x14ac:dyDescent="0.3">
      <c r="B464" s="333"/>
      <c r="C464" s="145">
        <f>+C445*1000-C463</f>
        <v>0</v>
      </c>
      <c r="D464" s="145">
        <f>+D445-D463</f>
        <v>0</v>
      </c>
      <c r="E464" s="426"/>
      <c r="F464" s="426">
        <f>+H445-F463</f>
        <v>198308475.05000007</v>
      </c>
      <c r="G464" s="335"/>
      <c r="H464" s="336"/>
      <c r="I464" s="185">
        <v>477408</v>
      </c>
      <c r="J464" s="419">
        <v>33058</v>
      </c>
      <c r="K464" s="419"/>
      <c r="N464" s="329"/>
    </row>
    <row r="465" spans="2:14" x14ac:dyDescent="0.25">
      <c r="I465" s="185">
        <v>50000</v>
      </c>
      <c r="J465" s="419">
        <v>331</v>
      </c>
      <c r="K465" s="419"/>
      <c r="N465" s="329"/>
    </row>
    <row r="466" spans="2:14" x14ac:dyDescent="0.25">
      <c r="B466" s="337"/>
      <c r="C466" s="365" t="s">
        <v>543</v>
      </c>
      <c r="D466" s="364"/>
      <c r="E466" s="364"/>
      <c r="F466" s="364"/>
      <c r="G466" s="338"/>
      <c r="H466" s="337"/>
      <c r="I466" s="185">
        <v>98822.38</v>
      </c>
      <c r="J466" s="419" t="s">
        <v>567</v>
      </c>
      <c r="K466" s="419"/>
      <c r="N466" s="329"/>
    </row>
    <row r="467" spans="2:14" x14ac:dyDescent="0.25">
      <c r="B467" s="337"/>
      <c r="C467" s="198"/>
      <c r="D467" s="364" t="s">
        <v>542</v>
      </c>
      <c r="E467" s="364"/>
      <c r="F467" s="364"/>
      <c r="G467" s="337"/>
      <c r="H467" s="338"/>
      <c r="I467" s="185">
        <v>1679980.46</v>
      </c>
      <c r="J467" s="419" t="s">
        <v>567</v>
      </c>
      <c r="K467" s="419"/>
      <c r="N467" s="329"/>
    </row>
    <row r="468" spans="2:14" x14ac:dyDescent="0.25">
      <c r="B468" s="337"/>
      <c r="D468" s="364"/>
      <c r="E468" s="364"/>
      <c r="F468" s="364"/>
      <c r="G468" s="338"/>
      <c r="I468" s="185">
        <v>100000</v>
      </c>
      <c r="J468" s="419">
        <v>35015</v>
      </c>
      <c r="K468" s="419"/>
      <c r="N468" s="329"/>
    </row>
    <row r="469" spans="2:14" x14ac:dyDescent="0.25">
      <c r="B469" s="337"/>
      <c r="C469" s="365"/>
      <c r="D469" s="364"/>
      <c r="E469" s="364"/>
      <c r="F469" s="364"/>
      <c r="G469" s="338"/>
      <c r="I469" s="185">
        <v>1290646.7</v>
      </c>
      <c r="J469" s="419" t="s">
        <v>409</v>
      </c>
      <c r="K469" s="419"/>
      <c r="N469" s="329"/>
    </row>
    <row r="470" spans="2:14" x14ac:dyDescent="0.25">
      <c r="B470" s="337"/>
      <c r="C470" s="365"/>
      <c r="D470" s="364"/>
      <c r="E470" s="364"/>
      <c r="F470" s="364"/>
      <c r="G470" s="338"/>
      <c r="H470" s="337"/>
      <c r="I470" s="185">
        <f>20000+16000</f>
        <v>36000</v>
      </c>
      <c r="J470" s="419" t="s">
        <v>563</v>
      </c>
      <c r="K470" s="419"/>
      <c r="N470" s="329"/>
    </row>
    <row r="471" spans="2:14" x14ac:dyDescent="0.25">
      <c r="B471" s="337"/>
      <c r="C471" s="365"/>
      <c r="D471" s="364"/>
      <c r="E471" s="364"/>
      <c r="F471" s="364"/>
      <c r="G471" s="338"/>
      <c r="H471" s="337"/>
      <c r="I471" s="185">
        <v>250000</v>
      </c>
      <c r="J471" s="419">
        <v>34070</v>
      </c>
      <c r="K471" s="419"/>
      <c r="N471" s="329"/>
    </row>
    <row r="472" spans="2:14" x14ac:dyDescent="0.25">
      <c r="B472" s="337"/>
      <c r="C472" s="365"/>
      <c r="D472" s="364"/>
      <c r="E472" s="364"/>
      <c r="F472" s="364"/>
      <c r="G472" s="337"/>
      <c r="H472" s="337"/>
      <c r="I472" s="185">
        <v>9406739.1999999993</v>
      </c>
      <c r="J472" s="419" t="s">
        <v>566</v>
      </c>
      <c r="K472" s="419"/>
      <c r="N472" s="329"/>
    </row>
    <row r="473" spans="2:14" x14ac:dyDescent="0.25">
      <c r="B473" s="337"/>
      <c r="C473" s="365"/>
      <c r="D473" s="364"/>
      <c r="E473" s="364"/>
      <c r="F473" s="364"/>
      <c r="G473" s="338"/>
      <c r="H473" s="337"/>
      <c r="I473" s="185">
        <v>92189.05</v>
      </c>
      <c r="J473" s="419" t="s">
        <v>409</v>
      </c>
      <c r="K473" s="419"/>
      <c r="N473" s="329"/>
    </row>
    <row r="474" spans="2:14" x14ac:dyDescent="0.25">
      <c r="B474" s="337"/>
      <c r="C474" s="365"/>
      <c r="D474" s="364"/>
      <c r="E474" s="438"/>
      <c r="F474" s="364"/>
      <c r="G474" s="338"/>
      <c r="H474" s="337"/>
      <c r="I474" s="185">
        <v>571246</v>
      </c>
      <c r="J474" s="419">
        <v>33058</v>
      </c>
      <c r="K474" s="419"/>
      <c r="N474" s="329"/>
    </row>
    <row r="475" spans="2:14" x14ac:dyDescent="0.25">
      <c r="B475" s="337"/>
      <c r="C475" s="365"/>
      <c r="D475" s="364"/>
      <c r="E475" s="438"/>
      <c r="F475" s="364"/>
      <c r="G475" s="338"/>
      <c r="H475" s="337"/>
      <c r="I475" s="185">
        <v>40000</v>
      </c>
      <c r="J475" s="419">
        <v>34070</v>
      </c>
      <c r="K475" s="419"/>
      <c r="N475" s="329"/>
    </row>
    <row r="476" spans="2:14" x14ac:dyDescent="0.25">
      <c r="B476" s="337"/>
      <c r="C476" s="365"/>
      <c r="D476" s="365"/>
      <c r="E476" s="438"/>
      <c r="F476" s="364"/>
      <c r="G476" s="338"/>
      <c r="H476" s="337"/>
      <c r="I476" s="185">
        <f>60000+75000</f>
        <v>135000</v>
      </c>
      <c r="J476" s="419">
        <v>331</v>
      </c>
      <c r="K476" s="419"/>
      <c r="N476" s="329"/>
    </row>
    <row r="477" spans="2:14" x14ac:dyDescent="0.25">
      <c r="B477" s="337"/>
      <c r="C477" s="365"/>
      <c r="D477" s="365"/>
      <c r="E477" s="438"/>
      <c r="F477" s="364"/>
      <c r="G477" s="338"/>
      <c r="H477" s="337"/>
      <c r="I477" s="185">
        <v>138200</v>
      </c>
      <c r="J477" s="419" t="s">
        <v>569</v>
      </c>
      <c r="K477" s="419"/>
      <c r="N477" s="329"/>
    </row>
    <row r="478" spans="2:14" x14ac:dyDescent="0.25">
      <c r="B478" s="337"/>
      <c r="C478" s="365"/>
      <c r="D478" s="365"/>
      <c r="E478" s="438"/>
      <c r="F478" s="364"/>
      <c r="G478" s="338"/>
      <c r="H478" s="337"/>
      <c r="I478" s="185">
        <v>1405875.6</v>
      </c>
      <c r="J478" s="419" t="s">
        <v>567</v>
      </c>
      <c r="K478" s="419"/>
      <c r="N478" s="329"/>
    </row>
    <row r="479" spans="2:14" x14ac:dyDescent="0.25">
      <c r="B479" s="337"/>
      <c r="C479" s="365"/>
      <c r="D479" s="365"/>
      <c r="E479" s="438"/>
      <c r="F479" s="364"/>
      <c r="G479" s="338"/>
      <c r="H479" s="337"/>
      <c r="I479" s="185">
        <v>67688</v>
      </c>
      <c r="J479" s="419">
        <v>14023</v>
      </c>
      <c r="K479" s="419"/>
      <c r="N479" s="329"/>
    </row>
    <row r="480" spans="2:14" x14ac:dyDescent="0.25">
      <c r="B480" s="337"/>
      <c r="C480" s="365"/>
      <c r="D480" s="365"/>
      <c r="E480" s="438"/>
      <c r="F480" s="364"/>
      <c r="G480" s="338"/>
      <c r="H480" s="337"/>
      <c r="I480" s="185">
        <v>12064.57</v>
      </c>
      <c r="J480" s="419" t="s">
        <v>570</v>
      </c>
      <c r="K480" s="419"/>
      <c r="N480" s="329"/>
    </row>
    <row r="481" spans="2:14" x14ac:dyDescent="0.25">
      <c r="B481" s="337"/>
      <c r="C481" s="365"/>
      <c r="D481" s="365"/>
      <c r="E481" s="438"/>
      <c r="F481" s="365"/>
      <c r="G481" s="338"/>
      <c r="H481" s="337"/>
      <c r="I481" s="185">
        <f>SUM(I450:I480)</f>
        <v>19043526.960000001</v>
      </c>
      <c r="J481" s="419"/>
      <c r="K481" s="419"/>
      <c r="N481" s="329"/>
    </row>
    <row r="482" spans="2:14" x14ac:dyDescent="0.25">
      <c r="B482" s="337"/>
      <c r="C482" s="365"/>
      <c r="D482" s="365"/>
      <c r="E482" s="438"/>
      <c r="F482" s="364"/>
      <c r="G482" s="338"/>
      <c r="H482" s="337"/>
      <c r="I482" s="185">
        <f>+H448+I481</f>
        <v>-179264948.09000006</v>
      </c>
      <c r="J482" s="419"/>
      <c r="K482" s="419"/>
      <c r="N482" s="329"/>
    </row>
    <row r="483" spans="2:14" x14ac:dyDescent="0.25">
      <c r="B483" s="337"/>
      <c r="C483" s="365"/>
      <c r="D483" s="365"/>
      <c r="E483" s="438"/>
      <c r="F483" s="364"/>
      <c r="G483" s="338"/>
      <c r="H483" s="337"/>
      <c r="I483" s="2"/>
      <c r="J483" s="419"/>
      <c r="K483" s="419"/>
    </row>
    <row r="484" spans="2:14" x14ac:dyDescent="0.25">
      <c r="B484" s="337"/>
      <c r="C484" s="365"/>
      <c r="D484" s="365"/>
      <c r="E484" s="438"/>
      <c r="F484" s="364"/>
      <c r="G484" s="338"/>
      <c r="H484" s="337"/>
      <c r="I484" s="329"/>
      <c r="J484" s="419"/>
      <c r="K484" s="419"/>
    </row>
    <row r="485" spans="2:14" x14ac:dyDescent="0.25">
      <c r="B485" s="337"/>
      <c r="C485" s="365"/>
      <c r="D485" s="365"/>
      <c r="E485" s="438"/>
      <c r="F485" s="365"/>
      <c r="G485" s="337"/>
      <c r="H485" s="337"/>
      <c r="J485" s="419"/>
      <c r="K485" s="419"/>
    </row>
    <row r="486" spans="2:14" x14ac:dyDescent="0.25">
      <c r="B486" s="337"/>
      <c r="C486" s="365"/>
      <c r="D486" s="365"/>
      <c r="E486" s="438"/>
      <c r="F486" s="364"/>
      <c r="G486" s="337"/>
      <c r="H486" s="337"/>
      <c r="J486" s="419"/>
      <c r="K486" s="419"/>
    </row>
    <row r="487" spans="2:14" x14ac:dyDescent="0.25">
      <c r="B487" s="337"/>
      <c r="C487" s="365"/>
      <c r="D487" s="365"/>
      <c r="E487" s="438"/>
      <c r="F487" s="364"/>
      <c r="G487" s="338"/>
      <c r="H487" s="337"/>
      <c r="J487" s="419"/>
      <c r="K487" s="419"/>
    </row>
    <row r="488" spans="2:14" x14ac:dyDescent="0.25">
      <c r="B488" s="337"/>
      <c r="C488" s="365"/>
      <c r="D488" s="365"/>
      <c r="E488" s="438"/>
      <c r="F488" s="364"/>
      <c r="G488" s="338"/>
      <c r="H488" s="337"/>
      <c r="J488" s="419"/>
      <c r="K488" s="419"/>
    </row>
    <row r="489" spans="2:14" x14ac:dyDescent="0.25">
      <c r="B489" s="337"/>
      <c r="C489" s="365"/>
      <c r="D489" s="365"/>
      <c r="E489" s="438"/>
      <c r="F489" s="365"/>
      <c r="G489" s="338"/>
      <c r="H489" s="337"/>
      <c r="J489" s="419"/>
      <c r="K489" s="419"/>
    </row>
    <row r="490" spans="2:14" x14ac:dyDescent="0.25">
      <c r="B490" s="337"/>
      <c r="C490" s="365"/>
      <c r="D490" s="365"/>
      <c r="E490" s="438"/>
      <c r="F490" s="365"/>
      <c r="G490" s="338"/>
      <c r="H490" s="337"/>
      <c r="J490" s="419"/>
      <c r="K490" s="419"/>
    </row>
    <row r="491" spans="2:14" x14ac:dyDescent="0.25">
      <c r="B491" s="337"/>
      <c r="C491" s="365"/>
      <c r="D491" s="365"/>
      <c r="E491" s="364"/>
      <c r="F491" s="364"/>
      <c r="G491" s="338"/>
      <c r="H491" s="337"/>
      <c r="J491" s="419"/>
      <c r="K491" s="419"/>
    </row>
    <row r="492" spans="2:14" x14ac:dyDescent="0.25">
      <c r="B492" s="337"/>
      <c r="C492" s="365"/>
      <c r="D492" s="365"/>
      <c r="E492" s="365"/>
      <c r="F492" s="365"/>
      <c r="G492" s="338"/>
      <c r="H492" s="337"/>
      <c r="J492" s="419"/>
      <c r="K492" s="419"/>
    </row>
    <row r="493" spans="2:14" x14ac:dyDescent="0.25">
      <c r="B493" s="337"/>
      <c r="C493" s="365"/>
      <c r="D493" s="365"/>
      <c r="E493" s="365"/>
      <c r="F493" s="365"/>
      <c r="G493" s="337"/>
      <c r="H493" s="337"/>
      <c r="J493" s="419"/>
      <c r="K493" s="419"/>
    </row>
    <row r="494" spans="2:14" x14ac:dyDescent="0.25">
      <c r="B494" s="337"/>
      <c r="C494" s="365"/>
      <c r="D494" s="365"/>
      <c r="E494" s="365"/>
      <c r="F494" s="365"/>
      <c r="G494" s="337"/>
      <c r="H494" s="337"/>
      <c r="J494" s="419"/>
      <c r="K494" s="419"/>
    </row>
    <row r="495" spans="2:14" x14ac:dyDescent="0.25">
      <c r="B495" s="337"/>
      <c r="C495" s="365"/>
      <c r="D495" s="365"/>
      <c r="E495" s="365"/>
      <c r="F495" s="365"/>
      <c r="G495" s="338"/>
      <c r="H495" s="337"/>
      <c r="J495" s="419"/>
      <c r="K495" s="419"/>
    </row>
    <row r="496" spans="2:14" x14ac:dyDescent="0.25">
      <c r="B496" s="337"/>
      <c r="C496" s="365"/>
      <c r="D496" s="365"/>
      <c r="E496" s="365"/>
      <c r="F496" s="365"/>
      <c r="G496" s="337"/>
      <c r="H496" s="337"/>
      <c r="J496" s="419"/>
      <c r="K496" s="419"/>
    </row>
    <row r="497" spans="2:11" x14ac:dyDescent="0.25">
      <c r="B497" s="337"/>
      <c r="C497" s="365"/>
      <c r="D497" s="365"/>
      <c r="E497" s="365"/>
      <c r="F497" s="365"/>
      <c r="G497" s="337"/>
      <c r="H497" s="337"/>
      <c r="J497" s="419"/>
      <c r="K497" s="419"/>
    </row>
    <row r="498" spans="2:11" x14ac:dyDescent="0.25">
      <c r="J498" s="419"/>
      <c r="K498" s="419"/>
    </row>
    <row r="499" spans="2:11" x14ac:dyDescent="0.25">
      <c r="J499" s="419"/>
      <c r="K499" s="419"/>
    </row>
    <row r="500" spans="2:11" x14ac:dyDescent="0.25">
      <c r="J500" s="419"/>
      <c r="K500" s="419"/>
    </row>
    <row r="501" spans="2:11" x14ac:dyDescent="0.25">
      <c r="J501" s="419"/>
      <c r="K501" s="419"/>
    </row>
    <row r="502" spans="2:11" x14ac:dyDescent="0.25">
      <c r="J502" s="419"/>
      <c r="K502" s="419"/>
    </row>
    <row r="503" spans="2:11" x14ac:dyDescent="0.25">
      <c r="J503" s="419"/>
      <c r="K503" s="419"/>
    </row>
    <row r="504" spans="2:11" x14ac:dyDescent="0.25">
      <c r="J504" s="419"/>
      <c r="K504" s="419"/>
    </row>
    <row r="505" spans="2:11" x14ac:dyDescent="0.25">
      <c r="J505" s="419"/>
      <c r="K505" s="419"/>
    </row>
    <row r="506" spans="2:11" x14ac:dyDescent="0.25">
      <c r="J506" s="419"/>
      <c r="K506" s="419"/>
    </row>
    <row r="507" spans="2:11" x14ac:dyDescent="0.25">
      <c r="J507" s="419"/>
      <c r="K507" s="419"/>
    </row>
    <row r="508" spans="2:11" x14ac:dyDescent="0.25">
      <c r="J508" s="419"/>
      <c r="K508" s="419"/>
    </row>
    <row r="509" spans="2:11" x14ac:dyDescent="0.25">
      <c r="J509" s="419"/>
      <c r="K509" s="419"/>
    </row>
    <row r="510" spans="2:11" x14ac:dyDescent="0.25">
      <c r="J510" s="419"/>
      <c r="K510" s="419"/>
    </row>
    <row r="511" spans="2:11" x14ac:dyDescent="0.25">
      <c r="J511" s="419"/>
      <c r="K511" s="419"/>
    </row>
    <row r="512" spans="2:11" x14ac:dyDescent="0.25">
      <c r="J512" s="419"/>
      <c r="K512" s="419"/>
    </row>
    <row r="513" spans="10:11" x14ac:dyDescent="0.25">
      <c r="J513" s="419"/>
      <c r="K513" s="419"/>
    </row>
    <row r="514" spans="10:11" x14ac:dyDescent="0.25">
      <c r="J514" s="419"/>
      <c r="K514" s="419"/>
    </row>
    <row r="515" spans="10:11" x14ac:dyDescent="0.25">
      <c r="J515" s="419"/>
      <c r="K515" s="419"/>
    </row>
    <row r="516" spans="10:11" x14ac:dyDescent="0.25">
      <c r="J516" s="419"/>
      <c r="K516" s="419"/>
    </row>
    <row r="517" spans="10:11" x14ac:dyDescent="0.25">
      <c r="J517" s="419"/>
      <c r="K517" s="419"/>
    </row>
    <row r="518" spans="10:11" x14ac:dyDescent="0.25">
      <c r="J518" s="419"/>
      <c r="K518" s="419"/>
    </row>
    <row r="519" spans="10:11" x14ac:dyDescent="0.25">
      <c r="J519" s="419"/>
      <c r="K519" s="419"/>
    </row>
    <row r="520" spans="10:11" x14ac:dyDescent="0.25">
      <c r="J520" s="419"/>
      <c r="K520" s="419"/>
    </row>
    <row r="521" spans="10:11" x14ac:dyDescent="0.25">
      <c r="J521" s="419"/>
      <c r="K521" s="419"/>
    </row>
    <row r="522" spans="10:11" x14ac:dyDescent="0.25">
      <c r="J522" s="419"/>
      <c r="K522" s="419"/>
    </row>
    <row r="523" spans="10:11" x14ac:dyDescent="0.25">
      <c r="J523" s="419"/>
      <c r="K523" s="419"/>
    </row>
    <row r="524" spans="10:11" x14ac:dyDescent="0.25">
      <c r="J524" s="419"/>
      <c r="K524" s="419"/>
    </row>
    <row r="525" spans="10:11" x14ac:dyDescent="0.25">
      <c r="J525" s="419"/>
      <c r="K525" s="419"/>
    </row>
    <row r="526" spans="10:11" x14ac:dyDescent="0.25">
      <c r="J526" s="419"/>
      <c r="K526" s="419"/>
    </row>
    <row r="527" spans="10:11" x14ac:dyDescent="0.25">
      <c r="J527" s="419"/>
      <c r="K527" s="419"/>
    </row>
    <row r="528" spans="10:11" x14ac:dyDescent="0.25">
      <c r="J528" s="419"/>
      <c r="K528" s="419"/>
    </row>
    <row r="529" spans="1:11" x14ac:dyDescent="0.25">
      <c r="J529" s="419"/>
      <c r="K529" s="419"/>
    </row>
    <row r="530" spans="1:11" x14ac:dyDescent="0.25">
      <c r="J530" s="419"/>
      <c r="K530" s="419"/>
    </row>
    <row r="531" spans="1:11" x14ac:dyDescent="0.25">
      <c r="J531" s="419"/>
      <c r="K531" s="419"/>
    </row>
    <row r="532" spans="1:11" x14ac:dyDescent="0.25">
      <c r="J532" s="419"/>
      <c r="K532" s="419"/>
    </row>
    <row r="533" spans="1:11" x14ac:dyDescent="0.25">
      <c r="J533" s="419"/>
      <c r="K533" s="419"/>
    </row>
    <row r="534" spans="1:11" x14ac:dyDescent="0.25">
      <c r="A534" s="339"/>
      <c r="B534" s="340"/>
      <c r="C534" s="190"/>
      <c r="D534" s="191"/>
      <c r="E534" s="192"/>
      <c r="F534" s="193"/>
      <c r="G534" s="341"/>
      <c r="H534" s="194"/>
      <c r="J534" s="419"/>
      <c r="K534" s="419"/>
    </row>
    <row r="535" spans="1:11" x14ac:dyDescent="0.25">
      <c r="A535" s="339"/>
      <c r="B535" s="340"/>
      <c r="C535" s="190"/>
      <c r="D535" s="191"/>
      <c r="E535" s="192"/>
      <c r="F535" s="193"/>
      <c r="G535" s="341"/>
      <c r="H535" s="194"/>
      <c r="J535" s="419"/>
      <c r="K535" s="419"/>
    </row>
    <row r="536" spans="1:11" x14ac:dyDescent="0.25">
      <c r="A536" s="339"/>
      <c r="B536" s="340"/>
      <c r="C536" s="190"/>
      <c r="D536" s="191"/>
      <c r="E536" s="192"/>
      <c r="F536" s="193"/>
      <c r="G536" s="341"/>
      <c r="H536" s="194"/>
      <c r="J536" s="419"/>
      <c r="K536" s="419"/>
    </row>
    <row r="537" spans="1:11" x14ac:dyDescent="0.25">
      <c r="A537" s="339"/>
      <c r="B537" s="340"/>
      <c r="C537" s="190"/>
      <c r="D537" s="191"/>
      <c r="E537" s="192"/>
      <c r="F537" s="193"/>
      <c r="G537" s="341"/>
      <c r="H537" s="194"/>
      <c r="J537" s="419"/>
      <c r="K537" s="419"/>
    </row>
    <row r="538" spans="1:11" x14ac:dyDescent="0.25">
      <c r="A538" s="339"/>
      <c r="B538" s="340"/>
      <c r="C538" s="190"/>
      <c r="D538" s="191"/>
      <c r="E538" s="192"/>
      <c r="F538" s="193"/>
      <c r="G538" s="341"/>
      <c r="H538" s="194"/>
      <c r="J538" s="419"/>
      <c r="K538" s="419"/>
    </row>
    <row r="539" spans="1:11" x14ac:dyDescent="0.25">
      <c r="A539" s="339"/>
      <c r="B539" s="340"/>
      <c r="C539" s="190"/>
      <c r="D539" s="191"/>
      <c r="E539" s="192"/>
      <c r="F539" s="193"/>
      <c r="G539" s="341"/>
      <c r="H539" s="194"/>
      <c r="J539" s="419"/>
      <c r="K539" s="419"/>
    </row>
    <row r="540" spans="1:11" x14ac:dyDescent="0.25">
      <c r="A540" s="339"/>
      <c r="B540" s="340"/>
      <c r="C540" s="190"/>
      <c r="D540" s="191"/>
      <c r="E540" s="192"/>
      <c r="F540" s="193"/>
      <c r="G540" s="341"/>
      <c r="H540" s="194"/>
      <c r="J540" s="419"/>
      <c r="K540" s="419"/>
    </row>
    <row r="541" spans="1:11" x14ac:dyDescent="0.25">
      <c r="A541" s="339"/>
      <c r="B541" s="340"/>
      <c r="C541" s="190"/>
      <c r="D541" s="191"/>
      <c r="E541" s="192"/>
      <c r="F541" s="193"/>
      <c r="G541" s="341"/>
      <c r="H541" s="194"/>
      <c r="J541" s="419"/>
      <c r="K541" s="419"/>
    </row>
    <row r="542" spans="1:11" x14ac:dyDescent="0.25">
      <c r="A542" s="339"/>
      <c r="B542" s="340"/>
      <c r="C542" s="190"/>
      <c r="D542" s="191"/>
      <c r="E542" s="192"/>
      <c r="F542" s="193"/>
      <c r="G542" s="341"/>
      <c r="H542" s="194"/>
      <c r="J542" s="419"/>
      <c r="K542" s="419"/>
    </row>
    <row r="543" spans="1:11" x14ac:dyDescent="0.25">
      <c r="A543" s="339"/>
      <c r="B543" s="340"/>
      <c r="C543" s="190"/>
      <c r="D543" s="191"/>
      <c r="E543" s="192"/>
      <c r="F543" s="193"/>
      <c r="G543" s="341"/>
      <c r="H543" s="194"/>
      <c r="J543" s="419"/>
      <c r="K543" s="419"/>
    </row>
    <row r="544" spans="1:11" x14ac:dyDescent="0.25">
      <c r="A544" s="339"/>
      <c r="B544" s="340"/>
      <c r="C544" s="190"/>
      <c r="D544" s="191"/>
      <c r="E544" s="192"/>
      <c r="F544" s="193"/>
      <c r="G544" s="341"/>
      <c r="H544" s="194"/>
      <c r="J544" s="419"/>
      <c r="K544" s="419"/>
    </row>
    <row r="545" spans="1:11" x14ac:dyDescent="0.25">
      <c r="A545" s="339"/>
      <c r="B545" s="340"/>
      <c r="C545" s="190"/>
      <c r="D545" s="191"/>
      <c r="E545" s="192"/>
      <c r="F545" s="193"/>
      <c r="G545" s="341"/>
      <c r="H545" s="194"/>
      <c r="J545" s="419"/>
      <c r="K545" s="419"/>
    </row>
    <row r="546" spans="1:11" x14ac:dyDescent="0.25">
      <c r="A546" s="339"/>
      <c r="B546" s="340"/>
      <c r="C546" s="190"/>
      <c r="D546" s="191"/>
      <c r="E546" s="192"/>
      <c r="F546" s="193"/>
      <c r="G546" s="341"/>
      <c r="H546" s="194"/>
      <c r="J546" s="419"/>
      <c r="K546" s="419"/>
    </row>
    <row r="547" spans="1:11" x14ac:dyDescent="0.25">
      <c r="A547" s="339"/>
      <c r="B547" s="340"/>
      <c r="C547" s="190"/>
      <c r="D547" s="191"/>
      <c r="E547" s="192"/>
      <c r="F547" s="193"/>
      <c r="G547" s="341"/>
      <c r="H547" s="194"/>
      <c r="J547" s="419"/>
      <c r="K547" s="419"/>
    </row>
    <row r="548" spans="1:11" x14ac:dyDescent="0.25">
      <c r="A548" s="339"/>
      <c r="B548" s="340"/>
      <c r="C548" s="190"/>
      <c r="D548" s="191"/>
      <c r="E548" s="192"/>
      <c r="F548" s="193"/>
      <c r="G548" s="341"/>
      <c r="H548" s="194"/>
      <c r="J548" s="419"/>
      <c r="K548" s="419"/>
    </row>
    <row r="549" spans="1:11" x14ac:dyDescent="0.25">
      <c r="A549" s="339"/>
      <c r="B549" s="340"/>
      <c r="C549" s="190"/>
      <c r="D549" s="191"/>
      <c r="E549" s="192"/>
      <c r="F549" s="193"/>
      <c r="G549" s="341"/>
      <c r="H549" s="194"/>
      <c r="J549" s="419"/>
      <c r="K549" s="419"/>
    </row>
    <row r="550" spans="1:11" x14ac:dyDescent="0.25">
      <c r="A550" s="339"/>
      <c r="B550" s="340"/>
      <c r="C550" s="190"/>
      <c r="D550" s="191"/>
      <c r="E550" s="192"/>
      <c r="F550" s="193"/>
      <c r="G550" s="341"/>
      <c r="H550" s="194"/>
      <c r="J550" s="419"/>
      <c r="K550" s="419"/>
    </row>
    <row r="551" spans="1:11" x14ac:dyDescent="0.25">
      <c r="A551" s="339"/>
      <c r="B551" s="340"/>
      <c r="C551" s="190"/>
      <c r="D551" s="191"/>
      <c r="E551" s="192"/>
      <c r="F551" s="193"/>
      <c r="G551" s="341"/>
      <c r="H551" s="194"/>
      <c r="J551" s="419"/>
      <c r="K551" s="419"/>
    </row>
    <row r="552" spans="1:11" x14ac:dyDescent="0.25">
      <c r="A552" s="339"/>
      <c r="B552" s="340"/>
      <c r="C552" s="190"/>
      <c r="D552" s="191"/>
      <c r="E552" s="192"/>
      <c r="F552" s="193"/>
      <c r="G552" s="341"/>
      <c r="H552" s="194"/>
      <c r="J552" s="419"/>
      <c r="K552" s="419"/>
    </row>
    <row r="553" spans="1:11" x14ac:dyDescent="0.25">
      <c r="A553" s="339"/>
      <c r="B553" s="340"/>
      <c r="C553" s="190"/>
      <c r="D553" s="191"/>
      <c r="E553" s="192"/>
      <c r="F553" s="193"/>
      <c r="G553" s="341"/>
      <c r="H553" s="194"/>
      <c r="J553" s="419"/>
      <c r="K553" s="419"/>
    </row>
    <row r="554" spans="1:11" x14ac:dyDescent="0.25">
      <c r="A554" s="339"/>
      <c r="B554" s="340"/>
      <c r="C554" s="190"/>
      <c r="D554" s="191"/>
      <c r="E554" s="192"/>
      <c r="F554" s="193"/>
      <c r="G554" s="341"/>
      <c r="H554" s="194"/>
      <c r="J554" s="419"/>
      <c r="K554" s="419"/>
    </row>
    <row r="555" spans="1:11" x14ac:dyDescent="0.25">
      <c r="A555" s="339"/>
      <c r="B555" s="340"/>
      <c r="C555" s="190"/>
      <c r="D555" s="191"/>
      <c r="E555" s="192"/>
      <c r="F555" s="193"/>
      <c r="G555" s="341"/>
      <c r="H555" s="194"/>
      <c r="J555" s="419"/>
      <c r="K555" s="419"/>
    </row>
    <row r="556" spans="1:11" x14ac:dyDescent="0.25">
      <c r="A556" s="339"/>
      <c r="B556" s="340"/>
      <c r="C556" s="190"/>
      <c r="D556" s="191"/>
      <c r="E556" s="192"/>
      <c r="F556" s="193"/>
      <c r="G556" s="341"/>
      <c r="H556" s="194"/>
      <c r="J556" s="419"/>
      <c r="K556" s="419"/>
    </row>
    <row r="557" spans="1:11" x14ac:dyDescent="0.25">
      <c r="A557" s="339"/>
      <c r="B557" s="340"/>
      <c r="C557" s="190"/>
      <c r="D557" s="191"/>
      <c r="E557" s="192"/>
      <c r="F557" s="193"/>
      <c r="G557" s="341"/>
      <c r="H557" s="194"/>
      <c r="J557" s="419"/>
      <c r="K557" s="419"/>
    </row>
    <row r="558" spans="1:11" x14ac:dyDescent="0.25">
      <c r="A558" s="339"/>
      <c r="B558" s="340"/>
      <c r="C558" s="190"/>
      <c r="D558" s="191"/>
      <c r="E558" s="192"/>
      <c r="F558" s="193"/>
      <c r="G558" s="341"/>
      <c r="H558" s="194"/>
      <c r="J558" s="419"/>
      <c r="K558" s="419"/>
    </row>
    <row r="559" spans="1:11" x14ac:dyDescent="0.25">
      <c r="A559" s="339"/>
      <c r="B559" s="340"/>
      <c r="C559" s="190"/>
      <c r="D559" s="191"/>
      <c r="E559" s="192"/>
      <c r="F559" s="193"/>
      <c r="G559" s="341"/>
      <c r="H559" s="194"/>
      <c r="J559" s="419"/>
      <c r="K559" s="419"/>
    </row>
    <row r="560" spans="1:11" x14ac:dyDescent="0.25">
      <c r="A560" s="339"/>
      <c r="B560" s="340"/>
      <c r="C560" s="190"/>
      <c r="D560" s="191"/>
      <c r="E560" s="192"/>
      <c r="F560" s="193"/>
      <c r="G560" s="341"/>
      <c r="H560" s="194"/>
      <c r="J560" s="419"/>
      <c r="K560" s="419"/>
    </row>
    <row r="561" spans="1:11" x14ac:dyDescent="0.25">
      <c r="A561" s="339"/>
      <c r="B561" s="340"/>
      <c r="C561" s="190"/>
      <c r="D561" s="191"/>
      <c r="E561" s="192"/>
      <c r="F561" s="193"/>
      <c r="G561" s="341"/>
      <c r="H561" s="194"/>
      <c r="J561" s="419"/>
      <c r="K561" s="419"/>
    </row>
    <row r="562" spans="1:11" x14ac:dyDescent="0.25">
      <c r="A562" s="339"/>
      <c r="B562" s="340"/>
      <c r="C562" s="190"/>
      <c r="D562" s="191"/>
      <c r="E562" s="192"/>
      <c r="F562" s="193"/>
      <c r="G562" s="341"/>
      <c r="H562" s="194"/>
      <c r="J562" s="419"/>
      <c r="K562" s="419"/>
    </row>
    <row r="563" spans="1:11" x14ac:dyDescent="0.25">
      <c r="A563" s="339"/>
      <c r="B563" s="340"/>
      <c r="C563" s="190"/>
      <c r="D563" s="191"/>
      <c r="E563" s="192"/>
      <c r="F563" s="193"/>
      <c r="G563" s="341"/>
      <c r="H563" s="194"/>
      <c r="J563" s="419"/>
      <c r="K563" s="419"/>
    </row>
    <row r="564" spans="1:11" x14ac:dyDescent="0.25">
      <c r="A564" s="339"/>
      <c r="B564" s="340"/>
      <c r="C564" s="190"/>
      <c r="D564" s="191"/>
      <c r="E564" s="192"/>
      <c r="F564" s="193"/>
      <c r="G564" s="341"/>
      <c r="H564" s="194"/>
      <c r="J564" s="419"/>
      <c r="K564" s="419"/>
    </row>
    <row r="565" spans="1:11" x14ac:dyDescent="0.25">
      <c r="A565" s="339"/>
      <c r="B565" s="340"/>
      <c r="C565" s="190"/>
      <c r="D565" s="191"/>
      <c r="E565" s="192"/>
      <c r="F565" s="193"/>
      <c r="G565" s="341"/>
      <c r="H565" s="194"/>
      <c r="J565" s="419"/>
      <c r="K565" s="419"/>
    </row>
    <row r="566" spans="1:11" x14ac:dyDescent="0.25">
      <c r="A566" s="339"/>
      <c r="B566" s="340"/>
      <c r="C566" s="190"/>
      <c r="D566" s="191"/>
      <c r="E566" s="192"/>
      <c r="F566" s="193"/>
      <c r="G566" s="341"/>
      <c r="H566" s="194"/>
      <c r="J566" s="419"/>
      <c r="K566" s="419"/>
    </row>
    <row r="567" spans="1:11" x14ac:dyDescent="0.25">
      <c r="A567" s="339"/>
      <c r="B567" s="340"/>
      <c r="C567" s="190"/>
      <c r="D567" s="191"/>
      <c r="E567" s="192"/>
      <c r="F567" s="193"/>
      <c r="G567" s="341"/>
      <c r="H567" s="194"/>
      <c r="J567" s="419"/>
      <c r="K567" s="419"/>
    </row>
    <row r="568" spans="1:11" x14ac:dyDescent="0.25">
      <c r="A568" s="339"/>
      <c r="B568" s="340"/>
      <c r="C568" s="190"/>
      <c r="D568" s="191"/>
      <c r="E568" s="192"/>
      <c r="F568" s="193"/>
      <c r="G568" s="341"/>
      <c r="H568" s="194"/>
      <c r="J568" s="419"/>
      <c r="K568" s="419"/>
    </row>
    <row r="569" spans="1:11" x14ac:dyDescent="0.25">
      <c r="A569" s="339"/>
      <c r="B569" s="340"/>
      <c r="C569" s="190"/>
      <c r="D569" s="191"/>
      <c r="E569" s="192"/>
      <c r="F569" s="193"/>
      <c r="G569" s="341"/>
      <c r="H569" s="194"/>
    </row>
    <row r="570" spans="1:11" x14ac:dyDescent="0.25">
      <c r="A570" s="339"/>
      <c r="B570" s="340"/>
      <c r="C570" s="190"/>
      <c r="D570" s="191"/>
      <c r="E570" s="192"/>
      <c r="F570" s="193"/>
      <c r="G570" s="341"/>
      <c r="H570" s="194"/>
    </row>
    <row r="571" spans="1:11" x14ac:dyDescent="0.25">
      <c r="A571" s="339"/>
      <c r="B571" s="340"/>
      <c r="C571" s="190"/>
      <c r="D571" s="191"/>
      <c r="E571" s="192"/>
      <c r="F571" s="193"/>
      <c r="G571" s="341"/>
      <c r="H571" s="194"/>
    </row>
    <row r="572" spans="1:11" x14ac:dyDescent="0.25">
      <c r="A572" s="339"/>
      <c r="B572" s="340"/>
      <c r="C572" s="190"/>
      <c r="D572" s="191"/>
      <c r="E572" s="192"/>
      <c r="F572" s="193"/>
      <c r="G572" s="341"/>
      <c r="H572" s="194"/>
    </row>
    <row r="573" spans="1:11" x14ac:dyDescent="0.25">
      <c r="A573" s="339"/>
      <c r="B573" s="340"/>
      <c r="C573" s="190"/>
      <c r="D573" s="191"/>
      <c r="E573" s="192"/>
      <c r="F573" s="193"/>
      <c r="G573" s="341"/>
      <c r="H573" s="194"/>
    </row>
    <row r="574" spans="1:11" x14ac:dyDescent="0.25">
      <c r="A574" s="339"/>
      <c r="B574" s="340"/>
      <c r="C574" s="190"/>
      <c r="D574" s="191"/>
      <c r="E574" s="192"/>
      <c r="F574" s="193"/>
      <c r="G574" s="341"/>
      <c r="H574" s="194"/>
    </row>
    <row r="575" spans="1:11" x14ac:dyDescent="0.25">
      <c r="A575" s="339"/>
      <c r="B575" s="340"/>
      <c r="C575" s="190"/>
      <c r="D575" s="191"/>
      <c r="E575" s="192"/>
      <c r="F575" s="193"/>
      <c r="G575" s="341"/>
      <c r="H575" s="194"/>
    </row>
    <row r="576" spans="1:11" x14ac:dyDescent="0.25">
      <c r="A576" s="339"/>
      <c r="B576" s="340"/>
      <c r="C576" s="190"/>
      <c r="D576" s="191"/>
      <c r="E576" s="192"/>
      <c r="F576" s="193"/>
      <c r="G576" s="341"/>
      <c r="H576" s="194"/>
    </row>
    <row r="577" spans="1:8" x14ac:dyDescent="0.25">
      <c r="A577" s="339"/>
      <c r="B577" s="340"/>
      <c r="C577" s="190"/>
      <c r="D577" s="191"/>
      <c r="E577" s="192"/>
      <c r="F577" s="193"/>
      <c r="G577" s="341"/>
      <c r="H577" s="194"/>
    </row>
    <row r="578" spans="1:8" x14ac:dyDescent="0.25">
      <c r="A578" s="339"/>
      <c r="B578" s="340"/>
      <c r="C578" s="190"/>
      <c r="D578" s="191"/>
      <c r="E578" s="192"/>
      <c r="F578" s="193"/>
      <c r="G578" s="341"/>
      <c r="H578" s="194"/>
    </row>
    <row r="579" spans="1:8" x14ac:dyDescent="0.25">
      <c r="A579" s="339"/>
      <c r="B579" s="340"/>
      <c r="C579" s="190"/>
      <c r="D579" s="191"/>
      <c r="E579" s="192"/>
      <c r="F579" s="193"/>
      <c r="G579" s="341"/>
      <c r="H579" s="194"/>
    </row>
    <row r="580" spans="1:8" x14ac:dyDescent="0.25">
      <c r="A580" s="339"/>
      <c r="B580" s="340"/>
      <c r="C580" s="190"/>
      <c r="D580" s="191"/>
      <c r="E580" s="192"/>
      <c r="F580" s="193"/>
      <c r="G580" s="341"/>
      <c r="H580" s="194"/>
    </row>
    <row r="581" spans="1:8" x14ac:dyDescent="0.25">
      <c r="A581" s="339"/>
      <c r="B581" s="340"/>
      <c r="C581" s="190"/>
      <c r="D581" s="191"/>
      <c r="E581" s="192"/>
      <c r="F581" s="193"/>
      <c r="G581" s="341"/>
      <c r="H581" s="194"/>
    </row>
    <row r="582" spans="1:8" x14ac:dyDescent="0.25">
      <c r="A582" s="339"/>
      <c r="B582" s="340"/>
      <c r="C582" s="190"/>
      <c r="D582" s="191"/>
      <c r="E582" s="192"/>
      <c r="F582" s="193"/>
      <c r="G582" s="341"/>
      <c r="H582" s="194"/>
    </row>
    <row r="583" spans="1:8" x14ac:dyDescent="0.25">
      <c r="A583" s="339"/>
      <c r="B583" s="340"/>
      <c r="C583" s="190"/>
      <c r="D583" s="191"/>
      <c r="E583" s="192"/>
      <c r="F583" s="193"/>
      <c r="G583" s="341"/>
      <c r="H583" s="194"/>
    </row>
    <row r="584" spans="1:8" x14ac:dyDescent="0.25">
      <c r="A584" s="339"/>
      <c r="B584" s="340"/>
      <c r="C584" s="190"/>
      <c r="D584" s="191"/>
      <c r="E584" s="192"/>
      <c r="F584" s="193"/>
      <c r="G584" s="341"/>
      <c r="H584" s="194"/>
    </row>
    <row r="585" spans="1:8" x14ac:dyDescent="0.25">
      <c r="A585" s="339"/>
      <c r="B585" s="340"/>
      <c r="C585" s="190"/>
      <c r="D585" s="191"/>
      <c r="E585" s="192"/>
      <c r="F585" s="193"/>
      <c r="G585" s="341"/>
      <c r="H585" s="194"/>
    </row>
    <row r="586" spans="1:8" x14ac:dyDescent="0.25">
      <c r="A586" s="339"/>
      <c r="B586" s="340"/>
      <c r="C586" s="190"/>
      <c r="D586" s="191"/>
      <c r="E586" s="192"/>
      <c r="F586" s="193"/>
      <c r="G586" s="341"/>
      <c r="H586" s="194"/>
    </row>
    <row r="587" spans="1:8" x14ac:dyDescent="0.25">
      <c r="A587" s="339"/>
      <c r="B587" s="340"/>
      <c r="C587" s="190"/>
      <c r="D587" s="191"/>
      <c r="E587" s="192"/>
      <c r="F587" s="193"/>
      <c r="G587" s="341"/>
      <c r="H587" s="194"/>
    </row>
    <row r="588" spans="1:8" x14ac:dyDescent="0.25">
      <c r="A588" s="339"/>
      <c r="B588" s="340"/>
      <c r="C588" s="190"/>
      <c r="D588" s="191"/>
      <c r="E588" s="192"/>
      <c r="F588" s="193"/>
      <c r="G588" s="341"/>
      <c r="H588" s="194"/>
    </row>
    <row r="589" spans="1:8" x14ac:dyDescent="0.25">
      <c r="A589" s="339"/>
      <c r="B589" s="340"/>
      <c r="C589" s="190"/>
      <c r="D589" s="191"/>
      <c r="E589" s="192"/>
      <c r="F589" s="193"/>
      <c r="G589" s="341"/>
      <c r="H589" s="194"/>
    </row>
    <row r="590" spans="1:8" x14ac:dyDescent="0.25">
      <c r="A590" s="339"/>
      <c r="B590" s="340"/>
      <c r="C590" s="190"/>
      <c r="D590" s="191"/>
      <c r="E590" s="192"/>
      <c r="F590" s="193"/>
      <c r="G590" s="341"/>
      <c r="H590" s="194"/>
    </row>
    <row r="591" spans="1:8" x14ac:dyDescent="0.25">
      <c r="A591" s="339"/>
      <c r="B591" s="340"/>
      <c r="C591" s="190"/>
      <c r="D591" s="191"/>
      <c r="E591" s="192"/>
      <c r="F591" s="193"/>
      <c r="G591" s="341"/>
      <c r="H591" s="194"/>
    </row>
    <row r="592" spans="1:8" x14ac:dyDescent="0.25">
      <c r="A592" s="339"/>
      <c r="B592" s="340"/>
      <c r="C592" s="190"/>
      <c r="D592" s="191"/>
      <c r="E592" s="192"/>
      <c r="F592" s="193"/>
      <c r="G592" s="341"/>
      <c r="H592" s="194"/>
    </row>
    <row r="593" spans="1:8" x14ac:dyDescent="0.25">
      <c r="A593" s="339"/>
      <c r="B593" s="340"/>
      <c r="C593" s="190"/>
      <c r="D593" s="191"/>
      <c r="E593" s="192"/>
      <c r="F593" s="193"/>
      <c r="G593" s="341"/>
      <c r="H593" s="194"/>
    </row>
    <row r="594" spans="1:8" x14ac:dyDescent="0.25">
      <c r="A594" s="339"/>
      <c r="B594" s="340"/>
      <c r="C594" s="190"/>
      <c r="D594" s="191"/>
      <c r="E594" s="192"/>
      <c r="F594" s="193"/>
      <c r="G594" s="341"/>
      <c r="H594" s="194"/>
    </row>
    <row r="595" spans="1:8" x14ac:dyDescent="0.25">
      <c r="A595" s="339"/>
      <c r="B595" s="340"/>
      <c r="C595" s="190"/>
      <c r="D595" s="191"/>
      <c r="E595" s="192"/>
      <c r="F595" s="193"/>
      <c r="G595" s="341"/>
      <c r="H595" s="194"/>
    </row>
    <row r="596" spans="1:8" x14ac:dyDescent="0.25">
      <c r="A596" s="339"/>
      <c r="B596" s="340"/>
      <c r="C596" s="190"/>
      <c r="D596" s="191"/>
      <c r="E596" s="192"/>
      <c r="F596" s="193"/>
      <c r="G596" s="341"/>
      <c r="H596" s="194"/>
    </row>
    <row r="597" spans="1:8" x14ac:dyDescent="0.25">
      <c r="A597" s="339"/>
      <c r="B597" s="340"/>
      <c r="C597" s="190"/>
      <c r="D597" s="191"/>
      <c r="E597" s="192"/>
      <c r="F597" s="193"/>
      <c r="G597" s="341"/>
      <c r="H597" s="194"/>
    </row>
    <row r="598" spans="1:8" x14ac:dyDescent="0.25">
      <c r="A598" s="339"/>
      <c r="B598" s="340"/>
      <c r="C598" s="190"/>
      <c r="D598" s="191"/>
      <c r="E598" s="192"/>
      <c r="F598" s="193"/>
      <c r="G598" s="341"/>
      <c r="H598" s="194"/>
    </row>
    <row r="599" spans="1:8" x14ac:dyDescent="0.25">
      <c r="A599" s="339"/>
      <c r="B599" s="340"/>
      <c r="C599" s="190"/>
      <c r="D599" s="191"/>
      <c r="E599" s="192"/>
      <c r="F599" s="193"/>
      <c r="G599" s="341"/>
      <c r="H599" s="194"/>
    </row>
    <row r="600" spans="1:8" x14ac:dyDescent="0.25">
      <c r="A600" s="339"/>
      <c r="B600" s="340"/>
      <c r="C600" s="190"/>
      <c r="D600" s="191"/>
      <c r="E600" s="192"/>
      <c r="F600" s="193"/>
      <c r="G600" s="341"/>
      <c r="H600" s="194"/>
    </row>
    <row r="601" spans="1:8" x14ac:dyDescent="0.25">
      <c r="A601" s="339"/>
      <c r="B601" s="340"/>
      <c r="C601" s="190"/>
      <c r="D601" s="191"/>
      <c r="E601" s="192"/>
      <c r="F601" s="193"/>
      <c r="G601" s="341"/>
      <c r="H601" s="194"/>
    </row>
    <row r="602" spans="1:8" x14ac:dyDescent="0.25">
      <c r="A602" s="339"/>
      <c r="B602" s="340"/>
      <c r="C602" s="190"/>
      <c r="D602" s="191"/>
      <c r="E602" s="192"/>
      <c r="F602" s="193"/>
      <c r="G602" s="341"/>
      <c r="H602" s="194"/>
    </row>
    <row r="603" spans="1:8" x14ac:dyDescent="0.25">
      <c r="A603" s="339"/>
      <c r="B603" s="340"/>
      <c r="C603" s="190"/>
      <c r="D603" s="191"/>
      <c r="E603" s="192"/>
      <c r="F603" s="193"/>
      <c r="G603" s="341"/>
      <c r="H603" s="194"/>
    </row>
    <row r="604" spans="1:8" x14ac:dyDescent="0.25">
      <c r="A604" s="339"/>
      <c r="B604" s="340"/>
      <c r="C604" s="190"/>
      <c r="D604" s="191"/>
      <c r="E604" s="192"/>
      <c r="F604" s="193"/>
      <c r="G604" s="341"/>
      <c r="H604" s="194"/>
    </row>
    <row r="605" spans="1:8" x14ac:dyDescent="0.25">
      <c r="A605" s="339"/>
      <c r="B605" s="340"/>
      <c r="C605" s="190"/>
      <c r="D605" s="191"/>
      <c r="E605" s="192"/>
      <c r="F605" s="193"/>
      <c r="G605" s="341"/>
      <c r="H605" s="194"/>
    </row>
    <row r="606" spans="1:8" x14ac:dyDescent="0.25">
      <c r="A606" s="339"/>
      <c r="B606" s="340"/>
      <c r="C606" s="190"/>
      <c r="D606" s="191"/>
      <c r="E606" s="192"/>
      <c r="F606" s="193"/>
      <c r="G606" s="341"/>
      <c r="H606" s="194"/>
    </row>
    <row r="607" spans="1:8" x14ac:dyDescent="0.25">
      <c r="A607" s="339"/>
      <c r="B607" s="340"/>
      <c r="C607" s="190"/>
      <c r="D607" s="191"/>
      <c r="E607" s="192"/>
      <c r="F607" s="193"/>
      <c r="G607" s="341"/>
      <c r="H607" s="194"/>
    </row>
    <row r="608" spans="1:8" x14ac:dyDescent="0.25">
      <c r="A608" s="339"/>
      <c r="B608" s="340"/>
      <c r="C608" s="190"/>
      <c r="D608" s="191"/>
      <c r="E608" s="192"/>
      <c r="F608" s="193"/>
      <c r="G608" s="341"/>
      <c r="H608" s="194"/>
    </row>
    <row r="609" spans="1:8" x14ac:dyDescent="0.25">
      <c r="A609" s="339"/>
      <c r="B609" s="340"/>
      <c r="C609" s="190"/>
      <c r="D609" s="191"/>
      <c r="E609" s="192"/>
      <c r="F609" s="193"/>
      <c r="G609" s="341"/>
      <c r="H609" s="194"/>
    </row>
    <row r="610" spans="1:8" x14ac:dyDescent="0.25">
      <c r="A610" s="339"/>
      <c r="B610" s="340"/>
      <c r="C610" s="190"/>
      <c r="D610" s="191"/>
      <c r="E610" s="192"/>
      <c r="F610" s="193"/>
      <c r="G610" s="341"/>
      <c r="H610" s="194"/>
    </row>
    <row r="611" spans="1:8" x14ac:dyDescent="0.25">
      <c r="A611" s="339"/>
      <c r="B611" s="340"/>
      <c r="C611" s="190"/>
      <c r="D611" s="191"/>
      <c r="E611" s="192"/>
      <c r="F611" s="193"/>
      <c r="G611" s="341"/>
      <c r="H611" s="194"/>
    </row>
    <row r="612" spans="1:8" x14ac:dyDescent="0.25">
      <c r="A612" s="339"/>
      <c r="B612" s="340"/>
      <c r="C612" s="190"/>
      <c r="D612" s="191"/>
      <c r="E612" s="192"/>
      <c r="F612" s="193"/>
      <c r="G612" s="341"/>
      <c r="H612" s="194"/>
    </row>
    <row r="613" spans="1:8" x14ac:dyDescent="0.25">
      <c r="A613" s="339"/>
      <c r="B613" s="340"/>
      <c r="C613" s="190"/>
      <c r="D613" s="191"/>
      <c r="E613" s="192"/>
      <c r="F613" s="193"/>
      <c r="G613" s="341"/>
      <c r="H613" s="194"/>
    </row>
    <row r="614" spans="1:8" x14ac:dyDescent="0.25">
      <c r="A614" s="339"/>
      <c r="B614" s="340"/>
      <c r="C614" s="190"/>
      <c r="D614" s="191"/>
      <c r="E614" s="192"/>
      <c r="F614" s="193"/>
      <c r="G614" s="341"/>
      <c r="H614" s="194"/>
    </row>
    <row r="615" spans="1:8" x14ac:dyDescent="0.25">
      <c r="A615" s="339"/>
      <c r="B615" s="340"/>
      <c r="C615" s="190"/>
      <c r="D615" s="191"/>
      <c r="E615" s="192"/>
      <c r="F615" s="193"/>
      <c r="G615" s="341"/>
      <c r="H615" s="194"/>
    </row>
    <row r="616" spans="1:8" x14ac:dyDescent="0.25">
      <c r="A616" s="339"/>
      <c r="B616" s="340"/>
      <c r="C616" s="190"/>
      <c r="D616" s="191"/>
      <c r="E616" s="192"/>
      <c r="F616" s="193"/>
      <c r="G616" s="341"/>
      <c r="H616" s="194"/>
    </row>
    <row r="617" spans="1:8" x14ac:dyDescent="0.25">
      <c r="A617" s="339"/>
      <c r="B617" s="340"/>
      <c r="C617" s="190"/>
      <c r="D617" s="191"/>
      <c r="E617" s="192"/>
      <c r="F617" s="193"/>
      <c r="G617" s="341"/>
      <c r="H617" s="194"/>
    </row>
    <row r="618" spans="1:8" x14ac:dyDescent="0.25">
      <c r="A618" s="339"/>
      <c r="B618" s="340"/>
      <c r="C618" s="190"/>
      <c r="D618" s="191"/>
      <c r="E618" s="192"/>
      <c r="F618" s="193"/>
      <c r="G618" s="341"/>
      <c r="H618" s="194"/>
    </row>
    <row r="619" spans="1:8" x14ac:dyDescent="0.25">
      <c r="A619" s="339"/>
      <c r="B619" s="340"/>
      <c r="C619" s="190"/>
      <c r="D619" s="191"/>
      <c r="E619" s="192"/>
      <c r="F619" s="193"/>
      <c r="G619" s="341"/>
      <c r="H619" s="194"/>
    </row>
    <row r="620" spans="1:8" x14ac:dyDescent="0.25">
      <c r="A620" s="339"/>
      <c r="B620" s="340"/>
      <c r="C620" s="190"/>
      <c r="D620" s="191"/>
      <c r="E620" s="192"/>
      <c r="F620" s="193"/>
      <c r="G620" s="341"/>
      <c r="H620" s="194"/>
    </row>
    <row r="621" spans="1:8" x14ac:dyDescent="0.25">
      <c r="A621" s="339"/>
      <c r="B621" s="340"/>
      <c r="C621" s="190"/>
      <c r="D621" s="191"/>
      <c r="E621" s="192"/>
      <c r="F621" s="193"/>
      <c r="G621" s="341"/>
      <c r="H621" s="194"/>
    </row>
    <row r="622" spans="1:8" x14ac:dyDescent="0.25">
      <c r="A622" s="339"/>
      <c r="B622" s="340"/>
      <c r="C622" s="190"/>
      <c r="D622" s="191"/>
      <c r="E622" s="192"/>
      <c r="F622" s="193"/>
      <c r="G622" s="341"/>
      <c r="H622" s="194"/>
    </row>
    <row r="623" spans="1:8" x14ac:dyDescent="0.25">
      <c r="A623" s="339"/>
      <c r="B623" s="340"/>
      <c r="C623" s="190"/>
      <c r="D623" s="191"/>
      <c r="E623" s="192"/>
      <c r="F623" s="193"/>
      <c r="G623" s="341"/>
      <c r="H623" s="194"/>
    </row>
    <row r="624" spans="1:8" x14ac:dyDescent="0.25">
      <c r="A624" s="339"/>
      <c r="B624" s="340"/>
      <c r="C624" s="190"/>
      <c r="D624" s="191"/>
      <c r="E624" s="192"/>
      <c r="F624" s="193"/>
      <c r="G624" s="341"/>
      <c r="H624" s="194"/>
    </row>
    <row r="625" spans="1:8" x14ac:dyDescent="0.25">
      <c r="A625" s="339"/>
      <c r="B625" s="340"/>
      <c r="C625" s="190"/>
      <c r="D625" s="191"/>
      <c r="E625" s="192"/>
      <c r="F625" s="193"/>
      <c r="G625" s="341"/>
      <c r="H625" s="194"/>
    </row>
    <row r="626" spans="1:8" x14ac:dyDescent="0.25">
      <c r="A626" s="339"/>
      <c r="B626" s="340"/>
      <c r="C626" s="190"/>
      <c r="D626" s="191"/>
      <c r="E626" s="192"/>
      <c r="F626" s="193"/>
      <c r="G626" s="341"/>
      <c r="H626" s="194"/>
    </row>
    <row r="627" spans="1:8" x14ac:dyDescent="0.25">
      <c r="A627" s="339"/>
      <c r="B627" s="340"/>
      <c r="C627" s="190"/>
      <c r="D627" s="191"/>
      <c r="E627" s="192"/>
      <c r="F627" s="193"/>
      <c r="G627" s="341"/>
      <c r="H627" s="194"/>
    </row>
    <row r="628" spans="1:8" x14ac:dyDescent="0.25">
      <c r="A628" s="339"/>
      <c r="B628" s="340"/>
      <c r="C628" s="190"/>
      <c r="D628" s="191"/>
      <c r="E628" s="192"/>
      <c r="F628" s="193"/>
      <c r="G628" s="341"/>
      <c r="H628" s="194"/>
    </row>
    <row r="629" spans="1:8" x14ac:dyDescent="0.25">
      <c r="A629" s="339"/>
      <c r="B629" s="340"/>
      <c r="C629" s="190"/>
      <c r="D629" s="191"/>
      <c r="E629" s="192"/>
      <c r="F629" s="193"/>
      <c r="G629" s="341"/>
      <c r="H629" s="194"/>
    </row>
    <row r="630" spans="1:8" x14ac:dyDescent="0.25">
      <c r="A630" s="339"/>
      <c r="B630" s="340"/>
      <c r="C630" s="190"/>
      <c r="D630" s="191"/>
      <c r="E630" s="192"/>
      <c r="F630" s="193"/>
      <c r="G630" s="341"/>
      <c r="H630" s="194"/>
    </row>
    <row r="631" spans="1:8" x14ac:dyDescent="0.25">
      <c r="A631" s="339"/>
      <c r="B631" s="340"/>
      <c r="C631" s="190"/>
      <c r="D631" s="191"/>
      <c r="E631" s="192"/>
      <c r="F631" s="193"/>
      <c r="G631" s="341"/>
      <c r="H631" s="194"/>
    </row>
    <row r="632" spans="1:8" x14ac:dyDescent="0.25">
      <c r="A632" s="339"/>
      <c r="B632" s="340"/>
      <c r="C632" s="190"/>
      <c r="D632" s="191"/>
      <c r="E632" s="192"/>
      <c r="F632" s="193"/>
      <c r="G632" s="341"/>
      <c r="H632" s="194"/>
    </row>
    <row r="633" spans="1:8" x14ac:dyDescent="0.25">
      <c r="A633" s="339"/>
      <c r="B633" s="340"/>
      <c r="C633" s="190"/>
      <c r="D633" s="191"/>
      <c r="E633" s="192"/>
      <c r="F633" s="193"/>
      <c r="G633" s="341"/>
      <c r="H633" s="194"/>
    </row>
    <row r="634" spans="1:8" x14ac:dyDescent="0.25">
      <c r="A634" s="339"/>
      <c r="B634" s="340"/>
      <c r="C634" s="190"/>
      <c r="D634" s="191"/>
      <c r="E634" s="192"/>
      <c r="F634" s="193"/>
      <c r="G634" s="341"/>
      <c r="H634" s="194"/>
    </row>
    <row r="635" spans="1:8" x14ac:dyDescent="0.25">
      <c r="A635" s="339"/>
      <c r="B635" s="340"/>
      <c r="C635" s="190"/>
      <c r="D635" s="191"/>
      <c r="E635" s="192"/>
      <c r="F635" s="193"/>
      <c r="G635" s="341"/>
      <c r="H635" s="194"/>
    </row>
    <row r="636" spans="1:8" x14ac:dyDescent="0.25">
      <c r="A636" s="339"/>
      <c r="B636" s="340"/>
      <c r="C636" s="190"/>
      <c r="D636" s="191"/>
      <c r="E636" s="192"/>
      <c r="F636" s="193"/>
      <c r="G636" s="341"/>
      <c r="H636" s="194"/>
    </row>
    <row r="637" spans="1:8" x14ac:dyDescent="0.25">
      <c r="A637" s="339"/>
      <c r="B637" s="340"/>
      <c r="C637" s="190"/>
      <c r="D637" s="191"/>
      <c r="E637" s="192"/>
      <c r="F637" s="193"/>
      <c r="G637" s="341"/>
      <c r="H637" s="194"/>
    </row>
    <row r="638" spans="1:8" x14ac:dyDescent="0.25">
      <c r="A638" s="339"/>
      <c r="B638" s="340"/>
      <c r="C638" s="190"/>
      <c r="D638" s="191"/>
      <c r="E638" s="192"/>
      <c r="F638" s="193"/>
      <c r="G638" s="341"/>
      <c r="H638" s="194"/>
    </row>
    <row r="639" spans="1:8" x14ac:dyDescent="0.25">
      <c r="A639" s="339"/>
      <c r="B639" s="340"/>
      <c r="C639" s="190"/>
      <c r="D639" s="191"/>
      <c r="E639" s="192"/>
      <c r="F639" s="193"/>
      <c r="G639" s="341"/>
      <c r="H639" s="194"/>
    </row>
    <row r="640" spans="1:8" x14ac:dyDescent="0.25">
      <c r="A640" s="339"/>
      <c r="B640" s="340"/>
      <c r="C640" s="190"/>
      <c r="D640" s="191"/>
      <c r="E640" s="192"/>
      <c r="F640" s="193"/>
      <c r="G640" s="341"/>
      <c r="H640" s="194"/>
    </row>
    <row r="641" spans="1:8" x14ac:dyDescent="0.25">
      <c r="A641" s="339"/>
      <c r="B641" s="340"/>
      <c r="C641" s="190"/>
      <c r="D641" s="191"/>
      <c r="E641" s="192"/>
      <c r="F641" s="193"/>
      <c r="G641" s="341"/>
      <c r="H641" s="194"/>
    </row>
    <row r="642" spans="1:8" x14ac:dyDescent="0.25">
      <c r="A642" s="339"/>
      <c r="B642" s="340"/>
      <c r="C642" s="190"/>
      <c r="D642" s="191"/>
      <c r="E642" s="192"/>
      <c r="F642" s="193"/>
      <c r="G642" s="341"/>
      <c r="H642" s="194"/>
    </row>
    <row r="643" spans="1:8" x14ac:dyDescent="0.25">
      <c r="A643" s="339"/>
      <c r="B643" s="340"/>
      <c r="C643" s="190"/>
      <c r="D643" s="191"/>
      <c r="E643" s="192"/>
      <c r="F643" s="193"/>
      <c r="G643" s="341"/>
      <c r="H643" s="194"/>
    </row>
    <row r="644" spans="1:8" x14ac:dyDescent="0.25">
      <c r="A644" s="339"/>
      <c r="B644" s="340"/>
      <c r="C644" s="190"/>
      <c r="D644" s="191"/>
      <c r="E644" s="192"/>
      <c r="F644" s="193"/>
      <c r="G644" s="341"/>
      <c r="H644" s="194"/>
    </row>
    <row r="645" spans="1:8" x14ac:dyDescent="0.25">
      <c r="A645" s="339"/>
      <c r="B645" s="340"/>
      <c r="C645" s="190"/>
      <c r="D645" s="191"/>
      <c r="E645" s="192"/>
      <c r="F645" s="193"/>
      <c r="G645" s="341"/>
      <c r="H645" s="194"/>
    </row>
    <row r="646" spans="1:8" x14ac:dyDescent="0.25">
      <c r="A646" s="339"/>
      <c r="B646" s="340"/>
      <c r="C646" s="190"/>
      <c r="D646" s="191"/>
      <c r="E646" s="192"/>
      <c r="F646" s="193"/>
      <c r="G646" s="341"/>
      <c r="H646" s="194"/>
    </row>
    <row r="647" spans="1:8" x14ac:dyDescent="0.25">
      <c r="A647" s="339"/>
      <c r="B647" s="340"/>
      <c r="C647" s="190"/>
      <c r="D647" s="191"/>
      <c r="E647" s="192"/>
      <c r="F647" s="193"/>
      <c r="G647" s="341"/>
      <c r="H647" s="194"/>
    </row>
    <row r="648" spans="1:8" x14ac:dyDescent="0.25">
      <c r="A648" s="339"/>
      <c r="B648" s="340"/>
      <c r="C648" s="190"/>
      <c r="D648" s="191"/>
      <c r="E648" s="192"/>
      <c r="F648" s="193"/>
      <c r="G648" s="341"/>
      <c r="H648" s="194"/>
    </row>
    <row r="649" spans="1:8" x14ac:dyDescent="0.25">
      <c r="A649" s="339"/>
      <c r="B649" s="340"/>
      <c r="C649" s="190"/>
      <c r="D649" s="191"/>
      <c r="E649" s="192"/>
      <c r="F649" s="193"/>
      <c r="G649" s="341"/>
      <c r="H649" s="194"/>
    </row>
    <row r="650" spans="1:8" x14ac:dyDescent="0.25">
      <c r="A650" s="339"/>
      <c r="B650" s="340"/>
      <c r="C650" s="190"/>
      <c r="D650" s="191"/>
      <c r="E650" s="192"/>
      <c r="F650" s="193"/>
      <c r="G650" s="341"/>
      <c r="H650" s="194"/>
    </row>
    <row r="651" spans="1:8" x14ac:dyDescent="0.25">
      <c r="A651" s="339"/>
      <c r="B651" s="340"/>
      <c r="C651" s="190"/>
      <c r="D651" s="191"/>
      <c r="E651" s="192"/>
      <c r="F651" s="193"/>
      <c r="G651" s="341"/>
      <c r="H651" s="194"/>
    </row>
    <row r="652" spans="1:8" x14ac:dyDescent="0.25">
      <c r="A652" s="339"/>
      <c r="B652" s="340"/>
      <c r="C652" s="190"/>
      <c r="D652" s="191"/>
      <c r="E652" s="192"/>
      <c r="F652" s="193"/>
      <c r="G652" s="341"/>
      <c r="H652" s="194"/>
    </row>
    <row r="653" spans="1:8" x14ac:dyDescent="0.25">
      <c r="A653" s="339"/>
      <c r="B653" s="340"/>
      <c r="C653" s="190"/>
      <c r="D653" s="191"/>
      <c r="E653" s="192"/>
      <c r="F653" s="193"/>
      <c r="G653" s="341"/>
      <c r="H653" s="194"/>
    </row>
    <row r="654" spans="1:8" x14ac:dyDescent="0.25">
      <c r="A654" s="339"/>
      <c r="B654" s="340"/>
      <c r="C654" s="190"/>
      <c r="D654" s="191"/>
      <c r="E654" s="192"/>
      <c r="F654" s="193"/>
      <c r="G654" s="341"/>
      <c r="H654" s="194"/>
    </row>
    <row r="655" spans="1:8" x14ac:dyDescent="0.25">
      <c r="A655" s="339"/>
      <c r="B655" s="340"/>
      <c r="C655" s="190"/>
      <c r="D655" s="191"/>
      <c r="E655" s="192"/>
      <c r="F655" s="193"/>
      <c r="G655" s="341"/>
      <c r="H655" s="194"/>
    </row>
    <row r="656" spans="1:8" x14ac:dyDescent="0.25">
      <c r="A656" s="339"/>
      <c r="B656" s="340"/>
      <c r="C656" s="190"/>
      <c r="D656" s="191"/>
      <c r="E656" s="192"/>
      <c r="F656" s="193"/>
      <c r="G656" s="341"/>
      <c r="H656" s="194"/>
    </row>
    <row r="657" spans="1:8" x14ac:dyDescent="0.25">
      <c r="A657" s="339"/>
      <c r="B657" s="340"/>
      <c r="C657" s="190"/>
      <c r="D657" s="191"/>
      <c r="E657" s="192"/>
      <c r="F657" s="193"/>
      <c r="G657" s="341"/>
      <c r="H657" s="194"/>
    </row>
    <row r="658" spans="1:8" x14ac:dyDescent="0.25">
      <c r="A658" s="339"/>
      <c r="B658" s="340"/>
      <c r="C658" s="190"/>
      <c r="D658" s="191"/>
      <c r="E658" s="192"/>
      <c r="F658" s="193"/>
      <c r="G658" s="341"/>
      <c r="H658" s="194"/>
    </row>
    <row r="659" spans="1:8" x14ac:dyDescent="0.25">
      <c r="A659" s="339"/>
      <c r="B659" s="340"/>
      <c r="C659" s="190"/>
      <c r="D659" s="191"/>
      <c r="E659" s="192"/>
      <c r="F659" s="193"/>
      <c r="G659" s="341"/>
      <c r="H659" s="194"/>
    </row>
    <row r="660" spans="1:8" x14ac:dyDescent="0.25">
      <c r="A660" s="339"/>
      <c r="B660" s="340"/>
      <c r="C660" s="190"/>
      <c r="D660" s="191"/>
      <c r="E660" s="192"/>
      <c r="F660" s="193"/>
      <c r="G660" s="341"/>
      <c r="H660" s="194"/>
    </row>
    <row r="661" spans="1:8" x14ac:dyDescent="0.25">
      <c r="A661" s="339"/>
      <c r="B661" s="340"/>
      <c r="C661" s="190"/>
      <c r="D661" s="191"/>
      <c r="E661" s="192"/>
      <c r="F661" s="193"/>
      <c r="G661" s="341"/>
      <c r="H661" s="194"/>
    </row>
    <row r="662" spans="1:8" x14ac:dyDescent="0.25">
      <c r="A662" s="339"/>
      <c r="B662" s="340"/>
      <c r="C662" s="190"/>
      <c r="D662" s="191"/>
      <c r="E662" s="192"/>
      <c r="F662" s="193"/>
      <c r="G662" s="341"/>
      <c r="H662" s="194"/>
    </row>
    <row r="663" spans="1:8" x14ac:dyDescent="0.25">
      <c r="A663" s="339"/>
      <c r="B663" s="340"/>
      <c r="C663" s="190"/>
      <c r="D663" s="191"/>
      <c r="E663" s="192"/>
      <c r="F663" s="193"/>
      <c r="G663" s="341"/>
      <c r="H663" s="194"/>
    </row>
    <row r="664" spans="1:8" x14ac:dyDescent="0.25">
      <c r="A664" s="339"/>
      <c r="B664" s="340"/>
      <c r="C664" s="190"/>
      <c r="D664" s="191"/>
      <c r="E664" s="192"/>
      <c r="F664" s="193"/>
      <c r="G664" s="341"/>
      <c r="H664" s="194"/>
    </row>
    <row r="665" spans="1:8" x14ac:dyDescent="0.25">
      <c r="A665" s="339"/>
      <c r="B665" s="340"/>
      <c r="C665" s="190"/>
      <c r="D665" s="191"/>
      <c r="E665" s="192"/>
      <c r="F665" s="193"/>
      <c r="G665" s="341"/>
      <c r="H665" s="194"/>
    </row>
    <row r="666" spans="1:8" x14ac:dyDescent="0.25">
      <c r="A666" s="339"/>
      <c r="B666" s="340"/>
      <c r="C666" s="190"/>
      <c r="D666" s="191"/>
      <c r="E666" s="192"/>
      <c r="F666" s="193"/>
      <c r="G666" s="341"/>
      <c r="H666" s="194"/>
    </row>
    <row r="667" spans="1:8" x14ac:dyDescent="0.25">
      <c r="A667" s="339"/>
      <c r="B667" s="340"/>
      <c r="C667" s="190"/>
      <c r="D667" s="191"/>
      <c r="E667" s="192"/>
      <c r="F667" s="193"/>
      <c r="G667" s="341"/>
      <c r="H667" s="194"/>
    </row>
    <row r="668" spans="1:8" x14ac:dyDescent="0.25">
      <c r="A668" s="339"/>
      <c r="B668" s="340"/>
      <c r="C668" s="190"/>
      <c r="D668" s="191"/>
      <c r="E668" s="192"/>
      <c r="F668" s="193"/>
      <c r="G668" s="341"/>
      <c r="H668" s="194"/>
    </row>
    <row r="669" spans="1:8" x14ac:dyDescent="0.25">
      <c r="A669" s="339"/>
      <c r="B669" s="340"/>
      <c r="C669" s="190"/>
      <c r="D669" s="191"/>
      <c r="E669" s="192"/>
      <c r="F669" s="193"/>
      <c r="G669" s="341"/>
      <c r="H669" s="194"/>
    </row>
    <row r="670" spans="1:8" x14ac:dyDescent="0.25">
      <c r="A670" s="339"/>
      <c r="B670" s="340"/>
      <c r="C670" s="190"/>
      <c r="D670" s="191"/>
      <c r="E670" s="192"/>
      <c r="F670" s="193"/>
      <c r="G670" s="341"/>
      <c r="H670" s="194"/>
    </row>
    <row r="671" spans="1:8" x14ac:dyDescent="0.25">
      <c r="A671" s="339"/>
      <c r="B671" s="340"/>
      <c r="C671" s="190"/>
      <c r="D671" s="191"/>
      <c r="E671" s="192"/>
      <c r="F671" s="193"/>
      <c r="G671" s="341"/>
      <c r="H671" s="194"/>
    </row>
    <row r="672" spans="1:8" x14ac:dyDescent="0.25">
      <c r="A672" s="339"/>
      <c r="B672" s="340"/>
      <c r="C672" s="190"/>
      <c r="D672" s="191"/>
      <c r="E672" s="192"/>
      <c r="F672" s="193"/>
      <c r="G672" s="341"/>
      <c r="H672" s="194"/>
    </row>
    <row r="673" spans="1:8" x14ac:dyDescent="0.25">
      <c r="A673" s="339"/>
      <c r="B673" s="340"/>
      <c r="C673" s="190"/>
      <c r="D673" s="191"/>
      <c r="E673" s="192"/>
      <c r="F673" s="193"/>
      <c r="G673" s="341"/>
      <c r="H673" s="194"/>
    </row>
    <row r="674" spans="1:8" x14ac:dyDescent="0.25">
      <c r="A674" s="339"/>
      <c r="B674" s="340"/>
      <c r="C674" s="190"/>
      <c r="D674" s="191"/>
      <c r="E674" s="192"/>
      <c r="F674" s="193"/>
      <c r="G674" s="341"/>
      <c r="H674" s="194"/>
    </row>
    <row r="675" spans="1:8" x14ac:dyDescent="0.25">
      <c r="A675" s="339"/>
      <c r="B675" s="340"/>
      <c r="C675" s="190"/>
      <c r="D675" s="191"/>
      <c r="E675" s="192"/>
      <c r="F675" s="193"/>
      <c r="G675" s="341"/>
      <c r="H675" s="194"/>
    </row>
    <row r="676" spans="1:8" x14ac:dyDescent="0.25">
      <c r="A676" s="339"/>
      <c r="B676" s="340"/>
      <c r="C676" s="190"/>
      <c r="D676" s="191"/>
      <c r="E676" s="192"/>
      <c r="F676" s="193"/>
      <c r="G676" s="341"/>
      <c r="H676" s="194"/>
    </row>
    <row r="677" spans="1:8" x14ac:dyDescent="0.25">
      <c r="A677" s="339"/>
      <c r="B677" s="340"/>
      <c r="C677" s="190"/>
      <c r="D677" s="191"/>
      <c r="E677" s="192"/>
      <c r="F677" s="193"/>
      <c r="G677" s="341"/>
      <c r="H677" s="194"/>
    </row>
    <row r="678" spans="1:8" x14ac:dyDescent="0.25">
      <c r="A678" s="339"/>
      <c r="B678" s="340"/>
      <c r="C678" s="190"/>
      <c r="D678" s="191"/>
      <c r="E678" s="192"/>
      <c r="F678" s="193"/>
      <c r="G678" s="341"/>
      <c r="H678" s="194"/>
    </row>
    <row r="679" spans="1:8" x14ac:dyDescent="0.25">
      <c r="A679" s="339"/>
      <c r="B679" s="340"/>
      <c r="C679" s="190"/>
      <c r="D679" s="191"/>
      <c r="E679" s="192"/>
      <c r="F679" s="193"/>
      <c r="G679" s="341"/>
      <c r="H679" s="194"/>
    </row>
    <row r="680" spans="1:8" x14ac:dyDescent="0.25">
      <c r="A680" s="339"/>
      <c r="B680" s="340"/>
      <c r="C680" s="190"/>
      <c r="D680" s="191"/>
      <c r="E680" s="192"/>
      <c r="F680" s="193"/>
      <c r="G680" s="341"/>
      <c r="H680" s="194"/>
    </row>
    <row r="681" spans="1:8" x14ac:dyDescent="0.25">
      <c r="A681" s="339"/>
      <c r="B681" s="340"/>
      <c r="C681" s="190"/>
      <c r="D681" s="191"/>
      <c r="E681" s="192"/>
      <c r="F681" s="193"/>
      <c r="G681" s="341"/>
      <c r="H681" s="194"/>
    </row>
    <row r="682" spans="1:8" x14ac:dyDescent="0.25">
      <c r="A682" s="339"/>
      <c r="B682" s="340"/>
      <c r="C682" s="190"/>
      <c r="D682" s="191"/>
      <c r="E682" s="192"/>
      <c r="F682" s="193"/>
      <c r="G682" s="341"/>
      <c r="H682" s="194"/>
    </row>
    <row r="683" spans="1:8" x14ac:dyDescent="0.25">
      <c r="A683" s="339"/>
      <c r="B683" s="340"/>
      <c r="C683" s="190"/>
      <c r="D683" s="191"/>
      <c r="E683" s="192"/>
      <c r="F683" s="193"/>
      <c r="G683" s="341"/>
      <c r="H683" s="194"/>
    </row>
    <row r="684" spans="1:8" x14ac:dyDescent="0.25">
      <c r="A684" s="339"/>
      <c r="B684" s="340"/>
      <c r="C684" s="190"/>
      <c r="D684" s="191"/>
      <c r="E684" s="192"/>
      <c r="F684" s="193"/>
      <c r="G684" s="341"/>
      <c r="H684" s="194"/>
    </row>
    <row r="685" spans="1:8" x14ac:dyDescent="0.25">
      <c r="A685" s="339"/>
      <c r="B685" s="340"/>
      <c r="C685" s="190"/>
      <c r="D685" s="191"/>
      <c r="E685" s="192"/>
      <c r="F685" s="193"/>
      <c r="G685" s="341"/>
      <c r="H685" s="194"/>
    </row>
    <row r="686" spans="1:8" x14ac:dyDescent="0.25">
      <c r="A686" s="339"/>
      <c r="B686" s="340"/>
      <c r="C686" s="190"/>
      <c r="D686" s="191"/>
      <c r="E686" s="192"/>
      <c r="F686" s="193"/>
      <c r="G686" s="341"/>
      <c r="H686" s="194"/>
    </row>
    <row r="687" spans="1:8" x14ac:dyDescent="0.25">
      <c r="A687" s="339"/>
      <c r="B687" s="340"/>
      <c r="C687" s="190"/>
      <c r="D687" s="191"/>
      <c r="E687" s="192"/>
      <c r="F687" s="193"/>
      <c r="G687" s="341"/>
      <c r="H687" s="194"/>
    </row>
    <row r="688" spans="1:8" x14ac:dyDescent="0.25">
      <c r="A688" s="339"/>
      <c r="B688" s="340"/>
      <c r="C688" s="190"/>
      <c r="D688" s="191"/>
      <c r="E688" s="192"/>
      <c r="F688" s="193"/>
      <c r="G688" s="341"/>
      <c r="H688" s="194"/>
    </row>
    <row r="689" spans="1:8" x14ac:dyDescent="0.25">
      <c r="A689" s="339"/>
      <c r="B689" s="340"/>
      <c r="C689" s="190"/>
      <c r="D689" s="191"/>
      <c r="E689" s="192"/>
      <c r="F689" s="193"/>
      <c r="G689" s="341"/>
      <c r="H689" s="194"/>
    </row>
    <row r="690" spans="1:8" x14ac:dyDescent="0.25">
      <c r="A690" s="339"/>
      <c r="B690" s="340"/>
      <c r="C690" s="190"/>
      <c r="D690" s="191"/>
      <c r="E690" s="192"/>
      <c r="F690" s="193"/>
      <c r="G690" s="341"/>
      <c r="H690" s="194"/>
    </row>
    <row r="691" spans="1:8" x14ac:dyDescent="0.25">
      <c r="A691" s="339"/>
      <c r="B691" s="340"/>
      <c r="C691" s="190"/>
      <c r="D691" s="191"/>
      <c r="E691" s="192"/>
      <c r="F691" s="193"/>
      <c r="G691" s="341"/>
      <c r="H691" s="194"/>
    </row>
    <row r="692" spans="1:8" x14ac:dyDescent="0.25">
      <c r="A692" s="339"/>
      <c r="B692" s="340"/>
      <c r="C692" s="190"/>
      <c r="D692" s="191"/>
      <c r="E692" s="192"/>
      <c r="F692" s="193"/>
      <c r="G692" s="341"/>
      <c r="H692" s="194"/>
    </row>
    <row r="693" spans="1:8" x14ac:dyDescent="0.25">
      <c r="A693" s="339"/>
      <c r="B693" s="340"/>
      <c r="C693" s="190"/>
      <c r="D693" s="191"/>
      <c r="E693" s="192"/>
      <c r="F693" s="193"/>
      <c r="G693" s="341"/>
      <c r="H693" s="194"/>
    </row>
    <row r="694" spans="1:8" x14ac:dyDescent="0.25">
      <c r="A694" s="339"/>
      <c r="B694" s="340"/>
      <c r="C694" s="190"/>
      <c r="D694" s="191"/>
      <c r="E694" s="192"/>
      <c r="F694" s="193"/>
      <c r="G694" s="341"/>
      <c r="H694" s="194"/>
    </row>
    <row r="695" spans="1:8" x14ac:dyDescent="0.25">
      <c r="A695" s="339"/>
      <c r="B695" s="340"/>
      <c r="C695" s="190"/>
      <c r="D695" s="191"/>
      <c r="E695" s="192"/>
      <c r="F695" s="193"/>
      <c r="G695" s="341"/>
      <c r="H695" s="194"/>
    </row>
    <row r="696" spans="1:8" x14ac:dyDescent="0.25">
      <c r="A696" s="339"/>
      <c r="B696" s="340"/>
      <c r="C696" s="190"/>
      <c r="D696" s="191"/>
      <c r="E696" s="192"/>
      <c r="F696" s="193"/>
      <c r="G696" s="341"/>
      <c r="H696" s="194"/>
    </row>
    <row r="697" spans="1:8" x14ac:dyDescent="0.25">
      <c r="A697" s="339"/>
      <c r="B697" s="340"/>
      <c r="C697" s="190"/>
      <c r="D697" s="191"/>
      <c r="E697" s="192"/>
      <c r="F697" s="193"/>
      <c r="G697" s="341"/>
      <c r="H697" s="194"/>
    </row>
    <row r="698" spans="1:8" x14ac:dyDescent="0.25">
      <c r="A698" s="339"/>
      <c r="B698" s="340"/>
      <c r="C698" s="190"/>
      <c r="D698" s="191"/>
      <c r="E698" s="192"/>
      <c r="F698" s="193"/>
      <c r="G698" s="341"/>
      <c r="H698" s="194"/>
    </row>
    <row r="699" spans="1:8" x14ac:dyDescent="0.25">
      <c r="A699" s="339"/>
      <c r="B699" s="340"/>
      <c r="C699" s="190"/>
      <c r="D699" s="191"/>
      <c r="E699" s="192"/>
      <c r="F699" s="193"/>
      <c r="G699" s="341"/>
      <c r="H699" s="194"/>
    </row>
    <row r="700" spans="1:8" x14ac:dyDescent="0.25">
      <c r="A700" s="339"/>
      <c r="B700" s="340"/>
      <c r="C700" s="190"/>
      <c r="D700" s="191"/>
      <c r="E700" s="192"/>
      <c r="F700" s="193"/>
      <c r="G700" s="341"/>
      <c r="H700" s="194"/>
    </row>
    <row r="701" spans="1:8" x14ac:dyDescent="0.25">
      <c r="A701" s="339"/>
      <c r="B701" s="340"/>
      <c r="C701" s="190"/>
      <c r="D701" s="191"/>
      <c r="E701" s="192"/>
      <c r="F701" s="193"/>
      <c r="G701" s="341"/>
      <c r="H701" s="194"/>
    </row>
    <row r="702" spans="1:8" x14ac:dyDescent="0.25">
      <c r="A702" s="339"/>
      <c r="B702" s="340"/>
      <c r="C702" s="190"/>
      <c r="D702" s="191"/>
      <c r="E702" s="192"/>
      <c r="F702" s="193"/>
      <c r="G702" s="341"/>
      <c r="H702" s="194"/>
    </row>
    <row r="703" spans="1:8" x14ac:dyDescent="0.25">
      <c r="A703" s="339"/>
      <c r="B703" s="340"/>
      <c r="C703" s="190"/>
      <c r="D703" s="191"/>
      <c r="E703" s="192"/>
      <c r="F703" s="193"/>
      <c r="G703" s="341"/>
      <c r="H703" s="194"/>
    </row>
    <row r="704" spans="1:8" x14ac:dyDescent="0.25">
      <c r="A704" s="339"/>
      <c r="B704" s="340"/>
      <c r="C704" s="190"/>
      <c r="D704" s="191"/>
      <c r="E704" s="192"/>
      <c r="F704" s="193"/>
      <c r="G704" s="341"/>
      <c r="H704" s="194"/>
    </row>
    <row r="705" spans="1:8" x14ac:dyDescent="0.25">
      <c r="A705" s="339"/>
      <c r="B705" s="340"/>
      <c r="C705" s="190"/>
      <c r="D705" s="191"/>
      <c r="E705" s="192"/>
      <c r="F705" s="193"/>
      <c r="G705" s="341"/>
      <c r="H705" s="194"/>
    </row>
    <row r="706" spans="1:8" x14ac:dyDescent="0.25">
      <c r="A706" s="339"/>
      <c r="B706" s="340"/>
      <c r="C706" s="190"/>
      <c r="D706" s="191"/>
      <c r="E706" s="192"/>
      <c r="F706" s="193"/>
      <c r="G706" s="341"/>
      <c r="H706" s="194"/>
    </row>
    <row r="707" spans="1:8" x14ac:dyDescent="0.25">
      <c r="A707" s="339"/>
      <c r="B707" s="340"/>
      <c r="C707" s="190"/>
      <c r="D707" s="191"/>
      <c r="E707" s="192"/>
      <c r="F707" s="193"/>
      <c r="G707" s="341"/>
      <c r="H707" s="194"/>
    </row>
    <row r="708" spans="1:8" x14ac:dyDescent="0.25">
      <c r="A708" s="339"/>
      <c r="B708" s="340"/>
      <c r="C708" s="190"/>
      <c r="D708" s="191"/>
      <c r="E708" s="192"/>
      <c r="F708" s="193"/>
      <c r="G708" s="341"/>
      <c r="H708" s="194"/>
    </row>
    <row r="709" spans="1:8" x14ac:dyDescent="0.25">
      <c r="A709" s="339"/>
      <c r="B709" s="340"/>
      <c r="C709" s="190"/>
      <c r="D709" s="191"/>
      <c r="E709" s="192"/>
      <c r="F709" s="193"/>
      <c r="G709" s="341"/>
      <c r="H709" s="194"/>
    </row>
    <row r="710" spans="1:8" x14ac:dyDescent="0.25">
      <c r="A710" s="339"/>
      <c r="B710" s="340"/>
      <c r="C710" s="190"/>
      <c r="D710" s="191"/>
      <c r="E710" s="192"/>
      <c r="F710" s="193"/>
      <c r="G710" s="341"/>
      <c r="H710" s="194"/>
    </row>
    <row r="711" spans="1:8" x14ac:dyDescent="0.25">
      <c r="A711" s="339"/>
      <c r="B711" s="340"/>
      <c r="C711" s="190"/>
      <c r="D711" s="191"/>
      <c r="E711" s="192"/>
      <c r="F711" s="193"/>
      <c r="G711" s="341"/>
      <c r="H711" s="194"/>
    </row>
    <row r="712" spans="1:8" x14ac:dyDescent="0.25">
      <c r="A712" s="339"/>
      <c r="B712" s="340"/>
      <c r="C712" s="190"/>
      <c r="D712" s="191"/>
      <c r="E712" s="192"/>
      <c r="F712" s="193"/>
      <c r="G712" s="341"/>
      <c r="H712" s="194"/>
    </row>
    <row r="713" spans="1:8" x14ac:dyDescent="0.25">
      <c r="A713" s="339"/>
      <c r="B713" s="340"/>
      <c r="C713" s="190"/>
      <c r="D713" s="191"/>
      <c r="E713" s="192"/>
      <c r="F713" s="193"/>
      <c r="G713" s="341"/>
      <c r="H713" s="194"/>
    </row>
    <row r="714" spans="1:8" x14ac:dyDescent="0.25">
      <c r="A714" s="339"/>
      <c r="B714" s="340"/>
      <c r="C714" s="190"/>
      <c r="D714" s="191"/>
      <c r="E714" s="192"/>
      <c r="F714" s="193"/>
      <c r="G714" s="341"/>
      <c r="H714" s="194"/>
    </row>
    <row r="715" spans="1:8" x14ac:dyDescent="0.25">
      <c r="A715" s="339"/>
      <c r="B715" s="340"/>
      <c r="C715" s="190"/>
      <c r="D715" s="191"/>
      <c r="E715" s="192"/>
      <c r="F715" s="193"/>
      <c r="G715" s="341"/>
      <c r="H715" s="194"/>
    </row>
    <row r="716" spans="1:8" x14ac:dyDescent="0.25">
      <c r="A716" s="339"/>
      <c r="B716" s="340"/>
      <c r="C716" s="190"/>
      <c r="D716" s="191"/>
      <c r="E716" s="192"/>
      <c r="F716" s="193"/>
      <c r="G716" s="341"/>
      <c r="H716" s="194"/>
    </row>
    <row r="717" spans="1:8" x14ac:dyDescent="0.25">
      <c r="A717" s="339"/>
      <c r="B717" s="340"/>
      <c r="C717" s="190"/>
      <c r="D717" s="191"/>
      <c r="E717" s="192"/>
      <c r="F717" s="193"/>
      <c r="G717" s="341"/>
      <c r="H717" s="194"/>
    </row>
    <row r="718" spans="1:8" x14ac:dyDescent="0.25">
      <c r="A718" s="339"/>
      <c r="B718" s="340"/>
      <c r="C718" s="190"/>
      <c r="D718" s="191"/>
      <c r="E718" s="192"/>
      <c r="F718" s="193"/>
      <c r="G718" s="341"/>
      <c r="H718" s="194"/>
    </row>
    <row r="719" spans="1:8" x14ac:dyDescent="0.25">
      <c r="A719" s="339"/>
      <c r="B719" s="340"/>
      <c r="C719" s="190"/>
      <c r="D719" s="191"/>
      <c r="E719" s="192"/>
      <c r="F719" s="193"/>
      <c r="G719" s="341"/>
      <c r="H719" s="194"/>
    </row>
    <row r="720" spans="1:8" x14ac:dyDescent="0.25">
      <c r="A720" s="339"/>
      <c r="B720" s="340"/>
      <c r="C720" s="190"/>
      <c r="D720" s="191"/>
      <c r="E720" s="192"/>
      <c r="F720" s="193"/>
      <c r="G720" s="341"/>
      <c r="H720" s="194"/>
    </row>
    <row r="721" spans="1:8" x14ac:dyDescent="0.25">
      <c r="A721" s="339"/>
      <c r="B721" s="340"/>
      <c r="C721" s="190"/>
      <c r="D721" s="191"/>
      <c r="E721" s="192"/>
      <c r="F721" s="193"/>
      <c r="G721" s="341"/>
      <c r="H721" s="194"/>
    </row>
    <row r="722" spans="1:8" x14ac:dyDescent="0.25">
      <c r="A722" s="339"/>
      <c r="B722" s="340"/>
      <c r="C722" s="190"/>
      <c r="D722" s="191"/>
      <c r="E722" s="192"/>
      <c r="F722" s="193"/>
      <c r="G722" s="341"/>
      <c r="H722" s="194"/>
    </row>
    <row r="723" spans="1:8" x14ac:dyDescent="0.25">
      <c r="A723" s="339"/>
      <c r="B723" s="340"/>
      <c r="C723" s="190"/>
      <c r="D723" s="191"/>
      <c r="E723" s="192"/>
      <c r="F723" s="193"/>
      <c r="G723" s="341"/>
      <c r="H723" s="194"/>
    </row>
    <row r="724" spans="1:8" x14ac:dyDescent="0.25">
      <c r="A724" s="339"/>
      <c r="B724" s="340"/>
      <c r="C724" s="190"/>
      <c r="D724" s="191"/>
      <c r="E724" s="192"/>
      <c r="F724" s="193"/>
      <c r="G724" s="341"/>
      <c r="H724" s="194"/>
    </row>
    <row r="725" spans="1:8" x14ac:dyDescent="0.25">
      <c r="A725" s="339"/>
      <c r="B725" s="340"/>
      <c r="C725" s="190"/>
      <c r="D725" s="191"/>
      <c r="E725" s="192"/>
      <c r="F725" s="193"/>
      <c r="G725" s="341"/>
      <c r="H725" s="194"/>
    </row>
    <row r="726" spans="1:8" x14ac:dyDescent="0.25">
      <c r="A726" s="339"/>
      <c r="B726" s="340"/>
      <c r="C726" s="190"/>
      <c r="D726" s="191"/>
      <c r="E726" s="192"/>
      <c r="F726" s="193"/>
      <c r="G726" s="341"/>
      <c r="H726" s="194"/>
    </row>
    <row r="727" spans="1:8" x14ac:dyDescent="0.25">
      <c r="A727" s="339"/>
      <c r="B727" s="340"/>
      <c r="C727" s="190"/>
      <c r="D727" s="191"/>
      <c r="E727" s="192"/>
      <c r="F727" s="193"/>
      <c r="G727" s="341"/>
      <c r="H727" s="194"/>
    </row>
    <row r="728" spans="1:8" x14ac:dyDescent="0.25">
      <c r="A728" s="339"/>
      <c r="B728" s="340"/>
      <c r="C728" s="190"/>
      <c r="D728" s="191"/>
      <c r="E728" s="192"/>
      <c r="F728" s="193"/>
      <c r="G728" s="341"/>
      <c r="H728" s="194"/>
    </row>
    <row r="729" spans="1:8" x14ac:dyDescent="0.25">
      <c r="A729" s="339"/>
      <c r="B729" s="340"/>
      <c r="C729" s="190"/>
      <c r="D729" s="191"/>
      <c r="E729" s="192"/>
      <c r="F729" s="193"/>
      <c r="G729" s="341"/>
      <c r="H729" s="194"/>
    </row>
    <row r="730" spans="1:8" x14ac:dyDescent="0.25">
      <c r="A730" s="339"/>
      <c r="B730" s="340"/>
      <c r="C730" s="190"/>
      <c r="D730" s="191"/>
      <c r="E730" s="192"/>
      <c r="F730" s="193"/>
      <c r="G730" s="341"/>
      <c r="H730" s="194"/>
    </row>
    <row r="731" spans="1:8" x14ac:dyDescent="0.25">
      <c r="A731" s="339"/>
      <c r="B731" s="340"/>
      <c r="C731" s="190"/>
      <c r="D731" s="191"/>
      <c r="E731" s="192"/>
      <c r="F731" s="193"/>
      <c r="G731" s="341"/>
      <c r="H731" s="194"/>
    </row>
    <row r="732" spans="1:8" x14ac:dyDescent="0.25">
      <c r="A732" s="339"/>
      <c r="B732" s="340"/>
      <c r="C732" s="190"/>
      <c r="D732" s="191"/>
      <c r="E732" s="192"/>
      <c r="F732" s="193"/>
      <c r="G732" s="341"/>
      <c r="H732" s="194"/>
    </row>
    <row r="733" spans="1:8" x14ac:dyDescent="0.25">
      <c r="A733" s="339"/>
      <c r="B733" s="340"/>
      <c r="C733" s="190"/>
      <c r="D733" s="191"/>
      <c r="E733" s="192"/>
      <c r="F733" s="193"/>
      <c r="G733" s="341"/>
      <c r="H733" s="194"/>
    </row>
    <row r="734" spans="1:8" x14ac:dyDescent="0.25">
      <c r="A734" s="339"/>
      <c r="B734" s="340"/>
      <c r="C734" s="190"/>
      <c r="D734" s="191"/>
      <c r="E734" s="192"/>
      <c r="F734" s="193"/>
      <c r="G734" s="341"/>
      <c r="H734" s="194"/>
    </row>
    <row r="735" spans="1:8" x14ac:dyDescent="0.25">
      <c r="A735" s="339"/>
      <c r="B735" s="340"/>
      <c r="C735" s="190"/>
      <c r="D735" s="191"/>
      <c r="E735" s="192"/>
      <c r="F735" s="193"/>
      <c r="G735" s="341"/>
      <c r="H735" s="194"/>
    </row>
    <row r="736" spans="1:8" x14ac:dyDescent="0.25">
      <c r="A736" s="339"/>
      <c r="B736" s="340"/>
      <c r="C736" s="190"/>
      <c r="D736" s="191"/>
      <c r="E736" s="192"/>
      <c r="F736" s="193"/>
      <c r="G736" s="341"/>
      <c r="H736" s="194"/>
    </row>
    <row r="737" spans="1:8" x14ac:dyDescent="0.25">
      <c r="A737" s="339"/>
      <c r="B737" s="340"/>
      <c r="C737" s="190"/>
      <c r="D737" s="191"/>
      <c r="E737" s="192"/>
      <c r="F737" s="193"/>
      <c r="G737" s="341"/>
      <c r="H737" s="194"/>
    </row>
    <row r="738" spans="1:8" x14ac:dyDescent="0.25">
      <c r="A738" s="339"/>
      <c r="B738" s="340"/>
      <c r="C738" s="190"/>
      <c r="D738" s="191"/>
      <c r="E738" s="192"/>
      <c r="F738" s="193"/>
      <c r="G738" s="341"/>
      <c r="H738" s="194"/>
    </row>
    <row r="739" spans="1:8" x14ac:dyDescent="0.25">
      <c r="A739" s="339"/>
      <c r="B739" s="340"/>
      <c r="C739" s="190"/>
      <c r="D739" s="191"/>
      <c r="E739" s="192"/>
      <c r="F739" s="193"/>
      <c r="G739" s="341"/>
      <c r="H739" s="194"/>
    </row>
    <row r="740" spans="1:8" x14ac:dyDescent="0.25">
      <c r="A740" s="339"/>
      <c r="B740" s="340"/>
      <c r="C740" s="190"/>
      <c r="D740" s="191"/>
      <c r="E740" s="192"/>
      <c r="F740" s="193"/>
      <c r="G740" s="341"/>
      <c r="H740" s="194"/>
    </row>
    <row r="741" spans="1:8" x14ac:dyDescent="0.25">
      <c r="A741" s="339"/>
      <c r="B741" s="340"/>
      <c r="C741" s="190"/>
      <c r="D741" s="191"/>
      <c r="E741" s="192"/>
      <c r="F741" s="193"/>
      <c r="G741" s="341"/>
      <c r="H741" s="194"/>
    </row>
    <row r="742" spans="1:8" x14ac:dyDescent="0.25">
      <c r="A742" s="339"/>
      <c r="B742" s="340"/>
      <c r="C742" s="190"/>
      <c r="D742" s="191"/>
      <c r="E742" s="192"/>
      <c r="F742" s="193"/>
      <c r="G742" s="341"/>
      <c r="H742" s="194"/>
    </row>
    <row r="743" spans="1:8" x14ac:dyDescent="0.25">
      <c r="A743" s="339"/>
      <c r="B743" s="340"/>
      <c r="C743" s="190"/>
      <c r="D743" s="191"/>
      <c r="E743" s="192"/>
      <c r="F743" s="193"/>
      <c r="G743" s="341"/>
      <c r="H743" s="194"/>
    </row>
    <row r="744" spans="1:8" x14ac:dyDescent="0.25">
      <c r="A744" s="339"/>
      <c r="B744" s="340"/>
      <c r="C744" s="190"/>
      <c r="D744" s="191"/>
      <c r="E744" s="192"/>
      <c r="F744" s="193"/>
      <c r="G744" s="341"/>
      <c r="H744" s="194"/>
    </row>
    <row r="745" spans="1:8" x14ac:dyDescent="0.25">
      <c r="A745" s="339"/>
      <c r="B745" s="340"/>
      <c r="C745" s="190"/>
      <c r="D745" s="191"/>
      <c r="E745" s="192"/>
      <c r="F745" s="193"/>
      <c r="G745" s="341"/>
      <c r="H745" s="194"/>
    </row>
    <row r="746" spans="1:8" x14ac:dyDescent="0.25">
      <c r="A746" s="339"/>
      <c r="B746" s="340"/>
      <c r="C746" s="190"/>
      <c r="D746" s="191"/>
      <c r="E746" s="192"/>
      <c r="F746" s="193"/>
      <c r="G746" s="341"/>
      <c r="H746" s="194"/>
    </row>
    <row r="747" spans="1:8" x14ac:dyDescent="0.25">
      <c r="A747" s="339"/>
      <c r="B747" s="340"/>
      <c r="C747" s="190"/>
      <c r="D747" s="191"/>
      <c r="E747" s="192"/>
      <c r="F747" s="193"/>
      <c r="G747" s="341"/>
      <c r="H747" s="194"/>
    </row>
  </sheetData>
  <mergeCells count="4">
    <mergeCell ref="A1:F1"/>
    <mergeCell ref="A2:F2"/>
    <mergeCell ref="A5:A6"/>
    <mergeCell ref="A330:A331"/>
  </mergeCells>
  <conditionalFormatting sqref="A450">
    <cfRule type="cellIs" dxfId="235" priority="58" operator="equal">
      <formula>"x"</formula>
    </cfRule>
  </conditionalFormatting>
  <conditionalFormatting sqref="D188:D190 D65:D87 D102 D89:D97 D63 D165:D186">
    <cfRule type="cellIs" dxfId="234" priority="57" operator="notEqual">
      <formula>#REF!</formula>
    </cfRule>
  </conditionalFormatting>
  <conditionalFormatting sqref="A450">
    <cfRule type="iconSet" priority="56">
      <iconSet iconSet="3Flags" showValue="0">
        <cfvo type="percent" val="0"/>
        <cfvo type="num" val="0"/>
        <cfvo type="num" val="1"/>
      </iconSet>
    </cfRule>
  </conditionalFormatting>
  <conditionalFormatting sqref="D202:D206 D208:D237">
    <cfRule type="cellIs" dxfId="233" priority="55" operator="notEqual">
      <formula>#REF!</formula>
    </cfRule>
  </conditionalFormatting>
  <conditionalFormatting sqref="H310">
    <cfRule type="cellIs" dxfId="232" priority="54" operator="notEqual">
      <formula>A310</formula>
    </cfRule>
  </conditionalFormatting>
  <conditionalFormatting sqref="D194:D195">
    <cfRule type="cellIs" dxfId="231" priority="53" operator="notEqual">
      <formula>#REF!</formula>
    </cfRule>
  </conditionalFormatting>
  <conditionalFormatting sqref="D197">
    <cfRule type="cellIs" dxfId="230" priority="52" operator="notEqual">
      <formula>#REF!</formula>
    </cfRule>
  </conditionalFormatting>
  <conditionalFormatting sqref="D187">
    <cfRule type="cellIs" dxfId="229" priority="51" operator="notEqual">
      <formula>#REF!</formula>
    </cfRule>
  </conditionalFormatting>
  <conditionalFormatting sqref="D207">
    <cfRule type="cellIs" dxfId="228" priority="50" operator="notEqual">
      <formula>#REF!</formula>
    </cfRule>
  </conditionalFormatting>
  <conditionalFormatting sqref="D198">
    <cfRule type="cellIs" dxfId="227" priority="49" operator="notEqual">
      <formula>#REF!</formula>
    </cfRule>
  </conditionalFormatting>
  <conditionalFormatting sqref="D199">
    <cfRule type="cellIs" dxfId="226" priority="48" operator="notEqual">
      <formula>#REF!</formula>
    </cfRule>
  </conditionalFormatting>
  <conditionalFormatting sqref="D218:D221">
    <cfRule type="cellIs" dxfId="225" priority="46" operator="notEqual">
      <formula>#REF!</formula>
    </cfRule>
  </conditionalFormatting>
  <conditionalFormatting sqref="D198 D200:D202">
    <cfRule type="cellIs" dxfId="224" priority="45" operator="notEqual">
      <formula>#REF!</formula>
    </cfRule>
  </conditionalFormatting>
  <conditionalFormatting sqref="D203:D205">
    <cfRule type="cellIs" dxfId="223" priority="44" operator="notEqual">
      <formula>#REF!</formula>
    </cfRule>
  </conditionalFormatting>
  <conditionalFormatting sqref="D206">
    <cfRule type="cellIs" dxfId="222" priority="43" operator="notEqual">
      <formula>#REF!</formula>
    </cfRule>
  </conditionalFormatting>
  <conditionalFormatting sqref="D199">
    <cfRule type="cellIs" dxfId="221" priority="42" operator="notEqual">
      <formula>#REF!</formula>
    </cfRule>
  </conditionalFormatting>
  <conditionalFormatting sqref="D207">
    <cfRule type="cellIs" dxfId="220" priority="41" operator="notEqual">
      <formula>#REF!</formula>
    </cfRule>
  </conditionalFormatting>
  <conditionalFormatting sqref="D209">
    <cfRule type="cellIs" dxfId="219" priority="40" operator="notEqual">
      <formula>#REF!</formula>
    </cfRule>
  </conditionalFormatting>
  <conditionalFormatting sqref="D208">
    <cfRule type="cellIs" dxfId="218" priority="39" operator="notEqual">
      <formula>#REF!</formula>
    </cfRule>
  </conditionalFormatting>
  <conditionalFormatting sqref="D210:D211">
    <cfRule type="cellIs" dxfId="217" priority="38" operator="notEqual">
      <formula>#REF!</formula>
    </cfRule>
  </conditionalFormatting>
  <conditionalFormatting sqref="D209">
    <cfRule type="cellIs" dxfId="216" priority="37" operator="notEqual">
      <formula>#REF!</formula>
    </cfRule>
  </conditionalFormatting>
  <conditionalFormatting sqref="D88">
    <cfRule type="cellIs" dxfId="215" priority="36" operator="notEqual">
      <formula>#REF!</formula>
    </cfRule>
  </conditionalFormatting>
  <conditionalFormatting sqref="J187">
    <cfRule type="cellIs" dxfId="214" priority="35" operator="notEqual">
      <formula>#REF!</formula>
    </cfRule>
  </conditionalFormatting>
  <conditionalFormatting sqref="J186">
    <cfRule type="cellIs" dxfId="213" priority="34" operator="notEqual">
      <formula>#REF!</formula>
    </cfRule>
  </conditionalFormatting>
  <conditionalFormatting sqref="J208:J209">
    <cfRule type="cellIs" dxfId="212" priority="33" operator="notEqual">
      <formula>#REF!</formula>
    </cfRule>
  </conditionalFormatting>
  <conditionalFormatting sqref="J208">
    <cfRule type="cellIs" dxfId="211" priority="32" operator="notEqual">
      <formula>#REF!</formula>
    </cfRule>
  </conditionalFormatting>
  <conditionalFormatting sqref="J209">
    <cfRule type="cellIs" dxfId="210" priority="31" operator="notEqual">
      <formula>#REF!</formula>
    </cfRule>
  </conditionalFormatting>
  <conditionalFormatting sqref="J208">
    <cfRule type="cellIs" dxfId="209" priority="30" operator="notEqual">
      <formula>#REF!</formula>
    </cfRule>
  </conditionalFormatting>
  <conditionalFormatting sqref="D198 D200:D202">
    <cfRule type="cellIs" dxfId="208" priority="29" operator="notEqual">
      <formula>#REF!</formula>
    </cfRule>
  </conditionalFormatting>
  <conditionalFormatting sqref="D203:D204">
    <cfRule type="cellIs" dxfId="207" priority="28" operator="notEqual">
      <formula>#REF!</formula>
    </cfRule>
  </conditionalFormatting>
  <conditionalFormatting sqref="D206">
    <cfRule type="cellIs" dxfId="206" priority="27" operator="notEqual">
      <formula>#REF!</formula>
    </cfRule>
  </conditionalFormatting>
  <conditionalFormatting sqref="D199">
    <cfRule type="cellIs" dxfId="205" priority="26" operator="notEqual">
      <formula>#REF!</formula>
    </cfRule>
  </conditionalFormatting>
  <conditionalFormatting sqref="D217">
    <cfRule type="cellIs" dxfId="204" priority="25" operator="notEqual">
      <formula>#REF!</formula>
    </cfRule>
  </conditionalFormatting>
  <conditionalFormatting sqref="D207">
    <cfRule type="cellIs" dxfId="203" priority="24" operator="notEqual">
      <formula>#REF!</formula>
    </cfRule>
  </conditionalFormatting>
  <conditionalFormatting sqref="D209">
    <cfRule type="cellIs" dxfId="202" priority="23" operator="notEqual">
      <formula>#REF!</formula>
    </cfRule>
  </conditionalFormatting>
  <conditionalFormatting sqref="D208">
    <cfRule type="cellIs" dxfId="201" priority="22" operator="notEqual">
      <formula>#REF!</formula>
    </cfRule>
  </conditionalFormatting>
  <conditionalFormatting sqref="D231">
    <cfRule type="cellIs" dxfId="200" priority="21" operator="notEqual">
      <formula>#REF!</formula>
    </cfRule>
  </conditionalFormatting>
  <conditionalFormatting sqref="D207:D208 D210:D212">
    <cfRule type="cellIs" dxfId="199" priority="20" operator="notEqual">
      <formula>#REF!</formula>
    </cfRule>
  </conditionalFormatting>
  <conditionalFormatting sqref="D213:D215">
    <cfRule type="cellIs" dxfId="198" priority="19" operator="notEqual">
      <formula>#REF!</formula>
    </cfRule>
  </conditionalFormatting>
  <conditionalFormatting sqref="D216">
    <cfRule type="cellIs" dxfId="197" priority="18" operator="notEqual">
      <formula>#REF!</formula>
    </cfRule>
  </conditionalFormatting>
  <conditionalFormatting sqref="D209">
    <cfRule type="cellIs" dxfId="196" priority="17" operator="notEqual">
      <formula>#REF!</formula>
    </cfRule>
  </conditionalFormatting>
  <conditionalFormatting sqref="D217">
    <cfRule type="cellIs" dxfId="195" priority="16" operator="notEqual">
      <formula>#REF!</formula>
    </cfRule>
  </conditionalFormatting>
  <conditionalFormatting sqref="D222">
    <cfRule type="cellIs" dxfId="194" priority="15" operator="notEqual">
      <formula>#REF!</formula>
    </cfRule>
  </conditionalFormatting>
  <conditionalFormatting sqref="D218:D221">
    <cfRule type="cellIs" dxfId="193" priority="14" operator="notEqual">
      <formula>#REF!</formula>
    </cfRule>
  </conditionalFormatting>
  <conditionalFormatting sqref="D223:D224">
    <cfRule type="cellIs" dxfId="192" priority="13" operator="notEqual">
      <formula>#REF!</formula>
    </cfRule>
  </conditionalFormatting>
  <conditionalFormatting sqref="D222">
    <cfRule type="cellIs" dxfId="191" priority="12" operator="notEqual">
      <formula>#REF!</formula>
    </cfRule>
  </conditionalFormatting>
  <conditionalFormatting sqref="J199">
    <cfRule type="cellIs" dxfId="190" priority="11" operator="notEqual">
      <formula>#REF!</formula>
    </cfRule>
  </conditionalFormatting>
  <conditionalFormatting sqref="J218:J222">
    <cfRule type="cellIs" dxfId="189" priority="9" operator="notEqual">
      <formula>#REF!</formula>
    </cfRule>
  </conditionalFormatting>
  <conditionalFormatting sqref="J218:J221">
    <cfRule type="cellIs" dxfId="188" priority="8" operator="notEqual">
      <formula>#REF!</formula>
    </cfRule>
  </conditionalFormatting>
  <conditionalFormatting sqref="J222">
    <cfRule type="cellIs" dxfId="187" priority="7" operator="notEqual">
      <formula>#REF!</formula>
    </cfRule>
  </conditionalFormatting>
  <conditionalFormatting sqref="J218:J221">
    <cfRule type="cellIs" dxfId="186" priority="6" operator="notEqual">
      <formula>#REF!</formula>
    </cfRule>
  </conditionalFormatting>
  <conditionalFormatting sqref="D191:D193">
    <cfRule type="cellIs" dxfId="185" priority="5" operator="notEqual">
      <formula>#REF!</formula>
    </cfRule>
  </conditionalFormatting>
  <conditionalFormatting sqref="D98:D101">
    <cfRule type="cellIs" dxfId="184" priority="4" operator="notEqual">
      <formula>#REF!</formula>
    </cfRule>
  </conditionalFormatting>
  <conditionalFormatting sqref="J200">
    <cfRule type="cellIs" dxfId="183" priority="3" operator="notEqual">
      <formula>#REF!</formula>
    </cfRule>
  </conditionalFormatting>
  <conditionalFormatting sqref="J199">
    <cfRule type="cellIs" dxfId="182" priority="2" operator="notEqual">
      <formula>#REF!</formula>
    </cfRule>
  </conditionalFormatting>
  <conditionalFormatting sqref="D237">
    <cfRule type="cellIs" dxfId="181" priority="1" operator="notEqual">
      <formula>#REF!</formula>
    </cfRule>
  </conditionalFormatting>
  <pageMargins left="0.70866141732283472" right="0.70866141732283472" top="0.78740157480314965" bottom="0.78740157480314965" header="0.31496062992125984" footer="0.31496062992125984"/>
  <pageSetup paperSize="9" scale="78" fitToHeight="10" orientation="landscape" r:id="rId1"/>
  <legacy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K498"/>
  <sheetViews>
    <sheetView zoomScale="115" zoomScaleNormal="115" workbookViewId="0">
      <selection activeCell="I23" sqref="I23"/>
    </sheetView>
  </sheetViews>
  <sheetFormatPr defaultRowHeight="12.75" x14ac:dyDescent="0.2"/>
  <cols>
    <col min="1" max="1" width="60.5703125" bestFit="1" customWidth="1"/>
    <col min="2" max="2" width="26.140625" bestFit="1" customWidth="1"/>
    <col min="3" max="3" width="17.7109375" customWidth="1"/>
    <col min="4" max="4" width="11.140625" bestFit="1" customWidth="1"/>
    <col min="5" max="5" width="15.42578125" bestFit="1" customWidth="1"/>
    <col min="6" max="6" width="16.85546875" bestFit="1" customWidth="1"/>
    <col min="7" max="7" width="14.140625" bestFit="1" customWidth="1"/>
  </cols>
  <sheetData>
    <row r="2" spans="1:7" ht="13.5" thickBot="1" x14ac:dyDescent="0.25">
      <c r="A2">
        <v>3</v>
      </c>
    </row>
    <row r="3" spans="1:7" x14ac:dyDescent="0.2">
      <c r="B3" s="682" t="s">
        <v>71</v>
      </c>
      <c r="C3" s="683"/>
      <c r="D3" s="151" t="s">
        <v>3</v>
      </c>
      <c r="E3" s="146" t="s">
        <v>4</v>
      </c>
    </row>
    <row r="4" spans="1:7" ht="13.5" thickBot="1" x14ac:dyDescent="0.25">
      <c r="B4" s="684" t="str">
        <f>INDEX($A$16:$A$28,A2)</f>
        <v>4116 Ostatní neinvestiční přijaté transféry ze státního rozpočtu</v>
      </c>
      <c r="C4" s="685"/>
      <c r="D4" s="124">
        <f ca="1">SUMIF('MB 10'!F7:F446,INDEX('MB 10'!B450:B462,$A$2),'MB 10'!$C$7:$C$444)</f>
        <v>165088.89426999999</v>
      </c>
      <c r="E4" s="124">
        <f>SUMIF('MB 10'!F$7:F$446, INDEX('MB 10'!$B450:$B462,$A$2),'MB 10'!$D7:$D446)</f>
        <v>166657405.82000002</v>
      </c>
    </row>
    <row r="14" spans="1:7" ht="13.5" thickBot="1" x14ac:dyDescent="0.25"/>
    <row r="15" spans="1:7" ht="13.5" thickBot="1" x14ac:dyDescent="0.25">
      <c r="A15" s="442" t="s">
        <v>71</v>
      </c>
      <c r="B15" s="443" t="s">
        <v>90</v>
      </c>
      <c r="C15" s="444" t="s">
        <v>4</v>
      </c>
    </row>
    <row r="16" spans="1:7" ht="13.5" thickTop="1" x14ac:dyDescent="0.2">
      <c r="A16" s="448" t="s">
        <v>70</v>
      </c>
      <c r="B16" s="449">
        <f>+SUMIF('MB 10'!$F$7:$F$446,'MB 10'!$B450,'MB 10'!$C$7:$C$446)</f>
        <v>0</v>
      </c>
      <c r="C16" s="450">
        <f>+SUMIF('MB 10'!$F$7:$F$446,'MB 10'!$B450,'MB 10'!$D$7:$D$446)</f>
        <v>0</v>
      </c>
      <c r="F16" s="441"/>
      <c r="G16" s="178"/>
    </row>
    <row r="17" spans="1:9" x14ac:dyDescent="0.2">
      <c r="A17" s="451" t="s">
        <v>87</v>
      </c>
      <c r="B17" s="452">
        <f>+SUMIF('MB 10'!$F$7:$F$446,'MB 10'!$B451,'MB 10'!$C$7:$C$446)</f>
        <v>5949.827760000001</v>
      </c>
      <c r="C17" s="453">
        <f>+SUMIF('MB 10'!$F$7:$F$446,'MB 10'!$B451,'MB 10'!$D$7:$D$446)</f>
        <v>4580472.2100000009</v>
      </c>
      <c r="F17" s="441"/>
      <c r="G17" s="178"/>
    </row>
    <row r="18" spans="1:9" x14ac:dyDescent="0.2">
      <c r="A18" s="451" t="s">
        <v>88</v>
      </c>
      <c r="B18" s="452">
        <f>+SUMIF('MB 10'!$F$7:$F$446,'MB 10'!$B452,'MB 10'!$C$7:$C$446)</f>
        <v>165088.89426999999</v>
      </c>
      <c r="C18" s="453">
        <f>+SUMIF('MB 10'!$F$7:$F$446,'MB 10'!$B452,'MB 10'!$D$7:$D$446)</f>
        <v>166657405.82000002</v>
      </c>
      <c r="F18" s="441"/>
      <c r="G18" s="178"/>
    </row>
    <row r="19" spans="1:9" x14ac:dyDescent="0.2">
      <c r="A19" s="451" t="s">
        <v>89</v>
      </c>
      <c r="B19" s="452">
        <f>+SUMIF('MB 10'!$F$7:$F$446,'MB 10'!$B453,'MB 10'!$C$7:$C$446)</f>
        <v>0</v>
      </c>
      <c r="C19" s="453">
        <f>+SUMIF('MB 10'!$F$7:$F$446,'MB 10'!$B453,'MB 10'!$D$7:$D$446)</f>
        <v>0</v>
      </c>
      <c r="F19" s="441"/>
      <c r="G19" s="178"/>
    </row>
    <row r="20" spans="1:9" x14ac:dyDescent="0.2">
      <c r="A20" s="451" t="s">
        <v>72</v>
      </c>
      <c r="B20" s="452">
        <f>+SUMIF('MB 10'!$F$7:$F$446,'MB 10'!$B454,'MB 10'!$C$7:$C$446)</f>
        <v>113352.30556000001</v>
      </c>
      <c r="C20" s="453">
        <f>+SUMIF('MB 10'!$F$7:$F$446,'MB 10'!$B454,'MB 10'!$D$7:$D$446)</f>
        <v>113570305.56</v>
      </c>
      <c r="F20" s="441"/>
      <c r="G20" s="178"/>
    </row>
    <row r="21" spans="1:9" x14ac:dyDescent="0.2">
      <c r="A21" s="451" t="s">
        <v>73</v>
      </c>
      <c r="B21" s="452">
        <f>+SUMIF('MB 10'!$F$7:$F$446,'MB 10'!$B455,'MB 10'!$C$7:$C$446)</f>
        <v>1808.6522100000002</v>
      </c>
      <c r="C21" s="453">
        <f>+SUMIF('MB 10'!$F$7:$F$446,'MB 10'!$B455,'MB 10'!$D$7:$D$446)</f>
        <v>1808652.21</v>
      </c>
      <c r="F21" s="441"/>
      <c r="G21" s="178"/>
    </row>
    <row r="22" spans="1:9" x14ac:dyDescent="0.2">
      <c r="A22" s="451" t="s">
        <v>74</v>
      </c>
      <c r="B22" s="452">
        <f>+SUMIF('MB 10'!$F$7:$F$446,'MB 10'!$B456,'MB 10'!$C$7:$C$446)</f>
        <v>0</v>
      </c>
      <c r="C22" s="453">
        <f>+SUMIF('MB 10'!$F$7:$F$446,'MB 10'!$B456,'MB 10'!$D$7:$D$446)</f>
        <v>0</v>
      </c>
      <c r="F22" s="441"/>
      <c r="G22" s="178"/>
    </row>
    <row r="23" spans="1:9" x14ac:dyDescent="0.2">
      <c r="A23" s="451" t="s">
        <v>75</v>
      </c>
      <c r="B23" s="452">
        <f>+SUMIF('MB 10'!$F$7:$F$446,'MB 10'!$B457,'MB 10'!$C$7:$C$446)</f>
        <v>2377</v>
      </c>
      <c r="C23" s="453">
        <f>+SUMIF('MB 10'!$F$7:$F$446,'MB 10'!$B457,'MB 10'!$D$7:$D$446)</f>
        <v>2400018.1000000006</v>
      </c>
      <c r="F23" s="441"/>
      <c r="G23" s="178"/>
    </row>
    <row r="24" spans="1:9" x14ac:dyDescent="0.2">
      <c r="A24" s="451" t="s">
        <v>86</v>
      </c>
      <c r="B24" s="452">
        <f>+SUMIF('MB 10'!$F$7:$F$446,'MB 10'!$B458,'MB 10'!$C$7:$C$446)</f>
        <v>1756.2596699999999</v>
      </c>
      <c r="C24" s="453">
        <f>+SUMIF('MB 10'!$F$7:$F$446,'MB 10'!$B458,'MB 10'!$D$7:$D$446)</f>
        <v>2124975.7900000005</v>
      </c>
      <c r="F24" s="441"/>
      <c r="G24" s="178"/>
    </row>
    <row r="25" spans="1:9" x14ac:dyDescent="0.2">
      <c r="A25" s="451" t="s">
        <v>76</v>
      </c>
      <c r="B25" s="452">
        <f>+SUMIF('MB 10'!$F$7:$F$446,'MB 10'!$B459,'MB 10'!$C$7:$C$446)</f>
        <v>56863.900529999999</v>
      </c>
      <c r="C25" s="453">
        <f>+SUMIF('MB 10'!$F$7:$F$446,'MB 10'!$B459,'MB 10'!$D$7:$D$446)</f>
        <v>73194508.530000001</v>
      </c>
      <c r="F25" s="441"/>
      <c r="G25" s="178"/>
    </row>
    <row r="26" spans="1:9" x14ac:dyDescent="0.2">
      <c r="A26" s="451" t="s">
        <v>77</v>
      </c>
      <c r="B26" s="452">
        <f>+SUMIF('MB 10'!$F$7:$F$446,'MB 10'!$B460,'MB 10'!$C$7:$C$446)</f>
        <v>2720</v>
      </c>
      <c r="C26" s="453">
        <f>+SUMIF('MB 10'!$F$7:$F$446,'MB 10'!$B460,'MB 10'!$D$7:$D$446)</f>
        <v>3070000</v>
      </c>
      <c r="F26" s="441"/>
      <c r="G26" s="178"/>
    </row>
    <row r="27" spans="1:9" x14ac:dyDescent="0.2">
      <c r="A27" s="451" t="s">
        <v>78</v>
      </c>
      <c r="B27" s="452">
        <f>+SUMIF('MB 10'!$F$7:$F$446,'MB 10'!$B461,'MB 10'!$C$7:$C$446)</f>
        <v>101266.29089999999</v>
      </c>
      <c r="C27" s="453">
        <f>+SUMIF('MB 10'!$F$7:$F$446,'MB 10'!$B461,'MB 10'!$D$7:$D$446)</f>
        <v>109690373.88</v>
      </c>
      <c r="F27" s="441"/>
      <c r="G27" s="178"/>
    </row>
    <row r="28" spans="1:9" ht="13.5" thickBot="1" x14ac:dyDescent="0.25">
      <c r="A28" s="454" t="s">
        <v>263</v>
      </c>
      <c r="B28" s="455">
        <f>+SUMIF('MB 10'!$F$7:$F$446,'MB 10'!$B462,'MB 10'!$C$7:$C$446)</f>
        <v>877</v>
      </c>
      <c r="C28" s="456">
        <f>+SUMIF('MB 10'!$F$7:$F$446,'MB 10'!$B462,'MB 10'!$D$7:$D$446)</f>
        <v>876199.86</v>
      </c>
      <c r="F28" s="441"/>
      <c r="G28" s="178"/>
    </row>
    <row r="29" spans="1:9" s="147" customFormat="1" ht="14.25" thickTop="1" thickBot="1" x14ac:dyDescent="0.25">
      <c r="A29" s="445" t="s">
        <v>85</v>
      </c>
      <c r="B29" s="446">
        <f>+SUM(B16:B28)</f>
        <v>452060.13089999999</v>
      </c>
      <c r="C29" s="447">
        <f>+SUM(C16:C28)</f>
        <v>477972911.96000004</v>
      </c>
      <c r="D29"/>
      <c r="E29"/>
      <c r="F29"/>
      <c r="G29" s="178"/>
      <c r="H29"/>
      <c r="I29"/>
    </row>
    <row r="32" spans="1:9" x14ac:dyDescent="0.2">
      <c r="B32" s="178"/>
      <c r="C32" s="178"/>
    </row>
    <row r="364" spans="4:4" x14ac:dyDescent="0.2">
      <c r="D364" s="414"/>
    </row>
    <row r="365" spans="4:4" x14ac:dyDescent="0.2">
      <c r="D365" s="414"/>
    </row>
    <row r="366" spans="4:4" x14ac:dyDescent="0.2">
      <c r="D366" s="414"/>
    </row>
    <row r="367" spans="4:4" x14ac:dyDescent="0.2">
      <c r="D367" s="414"/>
    </row>
    <row r="368" spans="4:4" x14ac:dyDescent="0.2">
      <c r="D368" s="414"/>
    </row>
    <row r="369" spans="3:4" x14ac:dyDescent="0.2">
      <c r="D369" s="414"/>
    </row>
    <row r="370" spans="3:4" x14ac:dyDescent="0.2">
      <c r="D370" s="414"/>
    </row>
    <row r="371" spans="3:4" x14ac:dyDescent="0.2">
      <c r="D371" s="414"/>
    </row>
    <row r="372" spans="3:4" x14ac:dyDescent="0.2">
      <c r="C372">
        <v>19.5185</v>
      </c>
      <c r="D372" s="414"/>
    </row>
    <row r="373" spans="3:4" x14ac:dyDescent="0.2">
      <c r="D373" s="414"/>
    </row>
    <row r="374" spans="3:4" x14ac:dyDescent="0.2">
      <c r="D374" s="414"/>
    </row>
    <row r="375" spans="3:4" x14ac:dyDescent="0.2">
      <c r="D375" s="414"/>
    </row>
    <row r="376" spans="3:4" x14ac:dyDescent="0.2">
      <c r="D376" s="414"/>
    </row>
    <row r="389" spans="3:8" x14ac:dyDescent="0.2">
      <c r="C389">
        <v>1.42302</v>
      </c>
    </row>
    <row r="391" spans="3:8" x14ac:dyDescent="0.2">
      <c r="H391" s="414"/>
    </row>
    <row r="392" spans="3:8" x14ac:dyDescent="0.2">
      <c r="H392" s="414"/>
    </row>
    <row r="393" spans="3:8" x14ac:dyDescent="0.2">
      <c r="H393" s="414"/>
    </row>
    <row r="394" spans="3:8" x14ac:dyDescent="0.2">
      <c r="H394" s="414"/>
    </row>
    <row r="395" spans="3:8" x14ac:dyDescent="0.2">
      <c r="H395" s="414"/>
    </row>
    <row r="396" spans="3:8" x14ac:dyDescent="0.2">
      <c r="H396" s="414"/>
    </row>
    <row r="423" spans="3:3" x14ac:dyDescent="0.2">
      <c r="C423">
        <v>24.19134</v>
      </c>
    </row>
    <row r="489" spans="8:11" x14ac:dyDescent="0.2">
      <c r="H489">
        <f>27388800*9</f>
        <v>246499200</v>
      </c>
    </row>
    <row r="494" spans="8:11" x14ac:dyDescent="0.2">
      <c r="J494">
        <v>60000</v>
      </c>
      <c r="K494" t="s">
        <v>412</v>
      </c>
    </row>
    <row r="497" spans="10:10" x14ac:dyDescent="0.2">
      <c r="J497">
        <f>SUM(J488:J496)</f>
        <v>60000</v>
      </c>
    </row>
    <row r="498" spans="10:10" x14ac:dyDescent="0.2">
      <c r="J498">
        <f>+H494+J497</f>
        <v>60000</v>
      </c>
    </row>
  </sheetData>
  <mergeCells count="2">
    <mergeCell ref="B3:C3"/>
    <mergeCell ref="B4:C4"/>
  </mergeCells>
  <pageMargins left="0.7" right="0.7" top="0.78740157499999996" bottom="0.78740157499999996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4929" r:id="rId3" name="Drop Down 1">
              <controlPr defaultSize="0" autoLine="0" autoPict="0">
                <anchor moveWithCells="1">
                  <from>
                    <xdr:col>0</xdr:col>
                    <xdr:colOff>47625</xdr:colOff>
                    <xdr:row>6</xdr:row>
                    <xdr:rowOff>0</xdr:rowOff>
                  </from>
                  <to>
                    <xdr:col>0</xdr:col>
                    <xdr:colOff>2695575</xdr:colOff>
                    <xdr:row>11</xdr:row>
                    <xdr:rowOff>104775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N799"/>
  <sheetViews>
    <sheetView topLeftCell="C40" zoomScale="115" zoomScaleNormal="115" workbookViewId="0">
      <selection activeCell="I23" sqref="I23"/>
    </sheetView>
  </sheetViews>
  <sheetFormatPr defaultColWidth="9.140625" defaultRowHeight="15.75" x14ac:dyDescent="0.25"/>
  <cols>
    <col min="1" max="1" width="11.28515625" style="305" customWidth="1"/>
    <col min="2" max="2" width="93.42578125" style="45" customWidth="1"/>
    <col min="3" max="3" width="17.5703125" style="2" customWidth="1"/>
    <col min="4" max="4" width="16.7109375" style="2" customWidth="1"/>
    <col min="5" max="5" width="16.5703125" style="88" customWidth="1"/>
    <col min="6" max="6" width="17.140625" style="88" customWidth="1"/>
    <col min="7" max="7" width="20.28515625" style="269" customWidth="1"/>
    <col min="8" max="8" width="20.28515625" style="45" bestFit="1" customWidth="1"/>
    <col min="9" max="9" width="25" style="45" bestFit="1" customWidth="1"/>
    <col min="10" max="10" width="19.7109375" style="45" bestFit="1" customWidth="1"/>
    <col min="11" max="11" width="19.42578125" style="45" bestFit="1" customWidth="1"/>
    <col min="12" max="12" width="18.7109375" style="45" bestFit="1" customWidth="1"/>
    <col min="13" max="13" width="14.7109375" style="45" customWidth="1"/>
    <col min="14" max="14" width="9.140625" style="45"/>
    <col min="15" max="15" width="92.140625" style="45" bestFit="1" customWidth="1"/>
    <col min="16" max="16" width="9.140625" style="45"/>
    <col min="17" max="17" width="11" style="45" bestFit="1" customWidth="1"/>
    <col min="18" max="16384" width="9.140625" style="45"/>
  </cols>
  <sheetData>
    <row r="1" spans="1:11" ht="22.5" x14ac:dyDescent="0.3">
      <c r="A1" s="689" t="s">
        <v>0</v>
      </c>
      <c r="B1" s="689"/>
      <c r="C1" s="689"/>
      <c r="D1" s="689"/>
      <c r="E1" s="689"/>
      <c r="F1" s="689"/>
    </row>
    <row r="2" spans="1:11" ht="22.5" x14ac:dyDescent="0.3">
      <c r="A2" s="689" t="s">
        <v>571</v>
      </c>
      <c r="B2" s="689"/>
      <c r="C2" s="689"/>
      <c r="D2" s="689"/>
      <c r="E2" s="689"/>
      <c r="F2" s="689"/>
    </row>
    <row r="3" spans="1:11" ht="22.5" x14ac:dyDescent="0.3">
      <c r="A3" s="460"/>
      <c r="B3" s="270"/>
      <c r="C3" s="162"/>
      <c r="D3" s="459"/>
      <c r="E3" s="459"/>
      <c r="F3" s="459"/>
    </row>
    <row r="4" spans="1:11" ht="23.25" thickBot="1" x14ac:dyDescent="0.35">
      <c r="A4" s="460"/>
      <c r="B4" s="460"/>
      <c r="C4" s="459"/>
      <c r="D4" s="421">
        <v>42308</v>
      </c>
      <c r="E4" s="459"/>
      <c r="F4" s="1"/>
    </row>
    <row r="5" spans="1:11" ht="16.5" thickBot="1" x14ac:dyDescent="0.3">
      <c r="A5" s="690" t="s">
        <v>193</v>
      </c>
      <c r="B5" s="5"/>
      <c r="C5" s="4"/>
      <c r="D5" s="359"/>
      <c r="E5" s="6"/>
      <c r="F5" s="6"/>
      <c r="G5" s="79"/>
    </row>
    <row r="6" spans="1:11" ht="16.5" thickBot="1" x14ac:dyDescent="0.3">
      <c r="A6" s="691"/>
      <c r="B6" s="10" t="s">
        <v>2</v>
      </c>
      <c r="C6" s="9" t="s">
        <v>3</v>
      </c>
      <c r="D6" s="360" t="s">
        <v>4</v>
      </c>
      <c r="E6" s="11" t="s">
        <v>5</v>
      </c>
      <c r="F6" s="11" t="s">
        <v>6</v>
      </c>
      <c r="I6" s="399" t="s">
        <v>358</v>
      </c>
      <c r="J6" s="400" t="s">
        <v>355</v>
      </c>
      <c r="K6" s="401" t="s">
        <v>359</v>
      </c>
    </row>
    <row r="7" spans="1:11" x14ac:dyDescent="0.25">
      <c r="A7" s="43"/>
      <c r="B7" s="273" t="s">
        <v>8</v>
      </c>
      <c r="C7" s="26">
        <f>+SUM(C8:C11)</f>
        <v>5902.2090000000007</v>
      </c>
      <c r="D7" s="26">
        <f>+SUM(D8:D11)</f>
        <v>4532678</v>
      </c>
      <c r="E7" s="28"/>
      <c r="F7" s="29"/>
      <c r="G7" s="45"/>
      <c r="I7" s="390"/>
      <c r="J7" s="387"/>
      <c r="K7" s="391"/>
    </row>
    <row r="8" spans="1:11" x14ac:dyDescent="0.25">
      <c r="A8" s="43"/>
      <c r="B8" s="107" t="s">
        <v>9</v>
      </c>
      <c r="C8" s="174">
        <v>111.04</v>
      </c>
      <c r="D8" s="174">
        <f>55520+55520</f>
        <v>111040</v>
      </c>
      <c r="E8" s="22">
        <v>92241</v>
      </c>
      <c r="F8" s="29" t="s">
        <v>10</v>
      </c>
      <c r="G8" s="45"/>
      <c r="I8" s="390"/>
      <c r="J8" s="389">
        <v>111040</v>
      </c>
      <c r="K8" s="391"/>
    </row>
    <row r="9" spans="1:11" x14ac:dyDescent="0.25">
      <c r="A9" s="43"/>
      <c r="B9" s="107" t="s">
        <v>11</v>
      </c>
      <c r="C9" s="174">
        <v>2001.1780000000001</v>
      </c>
      <c r="D9" s="174">
        <f>108171+109620+15221+509931+48588+64784+72882+72882+108171+109620+12241+82424+126687+134825+165995</f>
        <v>1742042</v>
      </c>
      <c r="E9" s="22">
        <v>92241</v>
      </c>
      <c r="F9" s="29" t="s">
        <v>10</v>
      </c>
      <c r="G9" s="384"/>
      <c r="H9" s="384"/>
      <c r="I9" s="390"/>
      <c r="J9" s="389">
        <v>1742042</v>
      </c>
      <c r="K9" s="391"/>
    </row>
    <row r="10" spans="1:11" x14ac:dyDescent="0.25">
      <c r="A10" s="43"/>
      <c r="B10" s="107" t="s">
        <v>12</v>
      </c>
      <c r="C10" s="174">
        <v>1575.905</v>
      </c>
      <c r="D10" s="174">
        <f>345411+345411+215860+215860</f>
        <v>1122542</v>
      </c>
      <c r="E10" s="22">
        <v>92241</v>
      </c>
      <c r="F10" s="29" t="s">
        <v>10</v>
      </c>
      <c r="G10" s="45"/>
      <c r="I10" s="390"/>
      <c r="J10" s="389">
        <v>1122542</v>
      </c>
      <c r="K10" s="391"/>
    </row>
    <row r="11" spans="1:11" x14ac:dyDescent="0.25">
      <c r="A11" s="43"/>
      <c r="B11" s="107" t="s">
        <v>13</v>
      </c>
      <c r="C11" s="174">
        <v>2214.0859999999998</v>
      </c>
      <c r="D11" s="174">
        <f>778527+778527</f>
        <v>1557054</v>
      </c>
      <c r="E11" s="22">
        <v>92241</v>
      </c>
      <c r="F11" s="29" t="s">
        <v>10</v>
      </c>
      <c r="G11" s="45">
        <f>+C11*1000-D11</f>
        <v>657032</v>
      </c>
      <c r="I11" s="390"/>
      <c r="J11" s="389">
        <f>+D11</f>
        <v>1557054</v>
      </c>
      <c r="K11" s="391"/>
    </row>
    <row r="12" spans="1:11" x14ac:dyDescent="0.25">
      <c r="A12" s="272"/>
      <c r="B12" s="107"/>
      <c r="C12" s="20"/>
      <c r="D12" s="20"/>
      <c r="E12" s="22"/>
      <c r="F12" s="29"/>
      <c r="G12" s="45"/>
      <c r="I12" s="390"/>
      <c r="J12" s="387"/>
      <c r="K12" s="391"/>
    </row>
    <row r="13" spans="1:11" x14ac:dyDescent="0.25">
      <c r="A13" s="272"/>
      <c r="B13" s="273" t="s">
        <v>14</v>
      </c>
      <c r="C13" s="30">
        <f>+SUM(C14:C24)</f>
        <v>133.09159</v>
      </c>
      <c r="D13" s="30">
        <f>+SUM(D14:D24)</f>
        <v>383598.23</v>
      </c>
      <c r="E13" s="22"/>
      <c r="F13" s="29"/>
      <c r="G13" s="45"/>
      <c r="I13" s="390"/>
      <c r="J13" s="387"/>
      <c r="K13" s="391"/>
    </row>
    <row r="14" spans="1:11" x14ac:dyDescent="0.25">
      <c r="A14" s="272">
        <v>42117</v>
      </c>
      <c r="B14" s="276" t="s">
        <v>146</v>
      </c>
      <c r="C14" s="20">
        <v>33.306150000000002</v>
      </c>
      <c r="D14" s="20">
        <v>33306.15</v>
      </c>
      <c r="E14" s="22">
        <v>90001</v>
      </c>
      <c r="F14" s="29">
        <v>4113</v>
      </c>
      <c r="G14" s="45"/>
      <c r="I14" s="390"/>
      <c r="J14" s="387"/>
      <c r="K14" s="391"/>
    </row>
    <row r="15" spans="1:11" x14ac:dyDescent="0.25">
      <c r="A15" s="272">
        <v>42194</v>
      </c>
      <c r="B15" s="276" t="s">
        <v>279</v>
      </c>
      <c r="C15" s="20">
        <v>5.5467000000000004</v>
      </c>
      <c r="D15" s="20">
        <v>5546.7</v>
      </c>
      <c r="E15" s="22">
        <v>90001</v>
      </c>
      <c r="F15" s="29">
        <v>4113</v>
      </c>
      <c r="G15" s="45"/>
      <c r="I15" s="390"/>
      <c r="J15" s="387"/>
      <c r="K15" s="391"/>
    </row>
    <row r="16" spans="1:11" x14ac:dyDescent="0.25">
      <c r="A16" s="272"/>
      <c r="B16" s="276"/>
      <c r="C16" s="20"/>
      <c r="D16" s="20"/>
      <c r="E16" s="22"/>
      <c r="F16" s="29">
        <v>4113</v>
      </c>
      <c r="G16" s="45"/>
      <c r="I16" s="390"/>
      <c r="J16" s="387"/>
      <c r="K16" s="391"/>
    </row>
    <row r="17" spans="1:11" x14ac:dyDescent="0.25">
      <c r="A17" s="272"/>
      <c r="B17" s="276" t="s">
        <v>446</v>
      </c>
      <c r="C17" s="174">
        <v>0.17544999999999999</v>
      </c>
      <c r="D17" s="174">
        <v>175.45</v>
      </c>
      <c r="E17" s="22">
        <v>90001</v>
      </c>
      <c r="F17" s="29">
        <v>4113</v>
      </c>
      <c r="G17" s="45"/>
      <c r="I17" s="390"/>
      <c r="J17" s="387">
        <v>175.45</v>
      </c>
      <c r="K17" s="391"/>
    </row>
    <row r="18" spans="1:11" x14ac:dyDescent="0.25">
      <c r="A18" s="272"/>
      <c r="B18" s="276" t="s">
        <v>617</v>
      </c>
      <c r="C18" s="20"/>
      <c r="D18" s="174">
        <v>250506.64</v>
      </c>
      <c r="E18" s="22">
        <v>90001</v>
      </c>
      <c r="F18" s="29">
        <v>4113</v>
      </c>
      <c r="G18" s="45"/>
      <c r="I18" s="390"/>
      <c r="J18" s="387"/>
      <c r="K18" s="391">
        <v>250506.64</v>
      </c>
    </row>
    <row r="19" spans="1:11" x14ac:dyDescent="0.25">
      <c r="A19" s="272"/>
      <c r="B19" s="276"/>
      <c r="C19" s="20"/>
      <c r="D19" s="20"/>
      <c r="E19" s="22"/>
      <c r="F19" s="29">
        <v>4113</v>
      </c>
      <c r="G19" s="45"/>
      <c r="I19" s="390"/>
      <c r="J19" s="387"/>
      <c r="K19" s="391"/>
    </row>
    <row r="20" spans="1:11" x14ac:dyDescent="0.25">
      <c r="A20" s="272"/>
      <c r="B20" s="276"/>
      <c r="C20" s="20"/>
      <c r="D20" s="20"/>
      <c r="E20" s="22"/>
      <c r="F20" s="29">
        <v>4113</v>
      </c>
      <c r="G20" s="45"/>
      <c r="I20" s="390"/>
      <c r="J20" s="387"/>
      <c r="K20" s="391"/>
    </row>
    <row r="21" spans="1:11" x14ac:dyDescent="0.25">
      <c r="A21" s="272"/>
      <c r="B21" s="457" t="s">
        <v>618</v>
      </c>
      <c r="C21" s="20"/>
      <c r="D21" s="20"/>
      <c r="E21" s="22"/>
      <c r="F21" s="29">
        <v>4113</v>
      </c>
      <c r="G21" s="45"/>
      <c r="I21" s="390"/>
      <c r="J21" s="387"/>
      <c r="K21" s="391"/>
    </row>
    <row r="22" spans="1:11" x14ac:dyDescent="0.25">
      <c r="A22" s="272"/>
      <c r="B22" s="457" t="s">
        <v>617</v>
      </c>
      <c r="C22" s="20"/>
      <c r="D22" s="20"/>
      <c r="E22" s="22"/>
      <c r="F22" s="29"/>
      <c r="G22" s="45"/>
      <c r="I22" s="390"/>
      <c r="J22" s="387"/>
      <c r="K22" s="391"/>
    </row>
    <row r="23" spans="1:11" x14ac:dyDescent="0.25">
      <c r="A23" s="272"/>
      <c r="B23" s="276" t="s">
        <v>445</v>
      </c>
      <c r="C23" s="174">
        <v>1.8742399999999999</v>
      </c>
      <c r="D23" s="174">
        <v>1874.24</v>
      </c>
      <c r="E23" s="22">
        <v>90001</v>
      </c>
      <c r="F23" s="29">
        <v>4113</v>
      </c>
      <c r="G23" s="45"/>
      <c r="I23" s="390"/>
      <c r="J23" s="387">
        <v>1874.24</v>
      </c>
      <c r="K23" s="391"/>
    </row>
    <row r="24" spans="1:11" x14ac:dyDescent="0.25">
      <c r="A24" s="272"/>
      <c r="B24" s="276" t="s">
        <v>591</v>
      </c>
      <c r="C24" s="20">
        <v>92.189049999999995</v>
      </c>
      <c r="D24" s="174">
        <v>92189.05</v>
      </c>
      <c r="E24" s="22">
        <v>90001</v>
      </c>
      <c r="F24" s="29">
        <v>4113</v>
      </c>
      <c r="G24" s="45"/>
      <c r="I24" s="390"/>
      <c r="J24" s="387">
        <v>92189.05</v>
      </c>
      <c r="K24" s="391"/>
    </row>
    <row r="25" spans="1:11" x14ac:dyDescent="0.25">
      <c r="A25" s="272"/>
      <c r="B25" s="107"/>
      <c r="C25" s="20"/>
      <c r="D25" s="20"/>
      <c r="E25" s="22"/>
      <c r="F25" s="29"/>
      <c r="G25" s="45"/>
      <c r="I25" s="390"/>
      <c r="J25" s="387"/>
      <c r="K25" s="391"/>
    </row>
    <row r="26" spans="1:11" x14ac:dyDescent="0.25">
      <c r="A26" s="272"/>
      <c r="B26" s="273" t="s">
        <v>15</v>
      </c>
      <c r="C26" s="30">
        <f>+C27+C28</f>
        <v>6.8916700000000004</v>
      </c>
      <c r="D26" s="30">
        <f>+D27+D28</f>
        <v>69481.440000000002</v>
      </c>
      <c r="E26" s="22"/>
      <c r="F26" s="29"/>
      <c r="G26" s="45"/>
      <c r="I26" s="390"/>
      <c r="J26" s="387"/>
      <c r="K26" s="391"/>
    </row>
    <row r="27" spans="1:11" x14ac:dyDescent="0.25">
      <c r="A27" s="272"/>
      <c r="B27" s="107" t="s">
        <v>395</v>
      </c>
      <c r="C27" s="174">
        <v>4.5358200000000002</v>
      </c>
      <c r="D27" s="174">
        <v>4535.82</v>
      </c>
      <c r="E27" s="22">
        <v>89450</v>
      </c>
      <c r="F27" s="29">
        <v>4113</v>
      </c>
      <c r="G27" s="45"/>
      <c r="I27" s="390"/>
      <c r="J27" s="402">
        <v>4535.82</v>
      </c>
      <c r="K27" s="391"/>
    </row>
    <row r="28" spans="1:11" x14ac:dyDescent="0.25">
      <c r="A28" s="272"/>
      <c r="B28" s="107" t="s">
        <v>394</v>
      </c>
      <c r="C28" s="174">
        <v>2.3558500000000002</v>
      </c>
      <c r="D28" s="174">
        <f>2355.85+62589.77</f>
        <v>64945.619999999995</v>
      </c>
      <c r="E28" s="22">
        <v>89023</v>
      </c>
      <c r="F28" s="29">
        <v>4113</v>
      </c>
      <c r="G28" s="384"/>
      <c r="H28" s="384"/>
      <c r="I28" s="390"/>
      <c r="J28" s="387">
        <v>2355.85</v>
      </c>
      <c r="K28" s="391">
        <f>+D28-J28</f>
        <v>62589.77</v>
      </c>
    </row>
    <row r="29" spans="1:11" x14ac:dyDescent="0.25">
      <c r="A29" s="272"/>
      <c r="B29" s="278"/>
      <c r="C29" s="20"/>
      <c r="D29" s="422"/>
      <c r="E29" s="161"/>
      <c r="F29" s="22"/>
      <c r="G29" s="45"/>
      <c r="I29" s="390"/>
      <c r="J29" s="387"/>
      <c r="K29" s="391"/>
    </row>
    <row r="30" spans="1:11" s="275" customFormat="1" x14ac:dyDescent="0.25">
      <c r="A30" s="272"/>
      <c r="B30" s="273" t="s">
        <v>17</v>
      </c>
      <c r="C30" s="30">
        <f>SUM(C31:C58)</f>
        <v>21631.022999999997</v>
      </c>
      <c r="D30" s="30">
        <f>SUM(D31:D58)</f>
        <v>20576064</v>
      </c>
      <c r="E30" s="33"/>
      <c r="F30" s="16"/>
      <c r="G30" s="45"/>
      <c r="H30" s="45"/>
      <c r="I30" s="390"/>
      <c r="J30" s="388"/>
      <c r="K30" s="393"/>
    </row>
    <row r="31" spans="1:11" x14ac:dyDescent="0.25">
      <c r="A31" s="43">
        <v>42053</v>
      </c>
      <c r="B31" s="107" t="s">
        <v>37</v>
      </c>
      <c r="C31" s="37">
        <v>3744</v>
      </c>
      <c r="D31" s="20">
        <v>3744000</v>
      </c>
      <c r="E31" s="34">
        <v>13010</v>
      </c>
      <c r="F31" s="29">
        <v>4116</v>
      </c>
      <c r="G31" s="45"/>
      <c r="H31" s="45">
        <f>+D30+D60+D64+D103+D204+D213+D221+D225+D247+D266+D274</f>
        <v>177299207.76999998</v>
      </c>
      <c r="I31" s="390"/>
      <c r="J31" s="387"/>
      <c r="K31" s="391"/>
    </row>
    <row r="32" spans="1:11" x14ac:dyDescent="0.25">
      <c r="A32" s="272">
        <v>42123</v>
      </c>
      <c r="B32" s="107" t="s">
        <v>37</v>
      </c>
      <c r="C32" s="20">
        <v>8</v>
      </c>
      <c r="D32" s="20">
        <v>8000</v>
      </c>
      <c r="E32" s="34">
        <v>13010</v>
      </c>
      <c r="F32" s="29">
        <v>4116</v>
      </c>
      <c r="G32" s="45"/>
      <c r="H32" s="45">
        <f>+SUM(I30:J283)</f>
        <v>62983162.259999998</v>
      </c>
      <c r="I32" s="390"/>
      <c r="J32" s="387"/>
      <c r="K32" s="391"/>
    </row>
    <row r="33" spans="1:11" x14ac:dyDescent="0.25">
      <c r="A33" s="272">
        <v>42152</v>
      </c>
      <c r="B33" s="107" t="s">
        <v>37</v>
      </c>
      <c r="C33" s="20">
        <v>12</v>
      </c>
      <c r="D33" s="20">
        <v>12000</v>
      </c>
      <c r="E33" s="34">
        <v>13010</v>
      </c>
      <c r="F33" s="29">
        <v>4116</v>
      </c>
      <c r="G33" s="45"/>
      <c r="H33" s="45">
        <f>+H31-H32</f>
        <v>114316045.50999999</v>
      </c>
      <c r="I33" s="390"/>
      <c r="J33" s="387"/>
      <c r="K33" s="391"/>
    </row>
    <row r="34" spans="1:11" s="275" customFormat="1" x14ac:dyDescent="0.25">
      <c r="A34" s="272">
        <v>42184</v>
      </c>
      <c r="B34" s="107" t="s">
        <v>37</v>
      </c>
      <c r="C34" s="20">
        <v>44</v>
      </c>
      <c r="D34" s="20">
        <v>44000</v>
      </c>
      <c r="E34" s="34">
        <v>13010</v>
      </c>
      <c r="F34" s="29">
        <v>4116</v>
      </c>
      <c r="G34" s="45"/>
      <c r="H34" s="45">
        <v>116238855.14</v>
      </c>
      <c r="I34" s="390"/>
      <c r="J34" s="388"/>
      <c r="K34" s="393"/>
    </row>
    <row r="35" spans="1:11" x14ac:dyDescent="0.25">
      <c r="A35" s="43">
        <v>42201</v>
      </c>
      <c r="B35" s="107" t="s">
        <v>37</v>
      </c>
      <c r="C35" s="20">
        <v>32</v>
      </c>
      <c r="D35" s="20">
        <v>32000</v>
      </c>
      <c r="E35" s="34">
        <v>13010</v>
      </c>
      <c r="F35" s="29">
        <v>4116</v>
      </c>
      <c r="G35" s="45"/>
      <c r="H35" s="45">
        <f>+H33-H34</f>
        <v>-1922809.6300000101</v>
      </c>
      <c r="I35" s="390"/>
      <c r="J35" s="387"/>
      <c r="K35" s="391"/>
    </row>
    <row r="36" spans="1:11" x14ac:dyDescent="0.25">
      <c r="A36" s="43">
        <v>42283</v>
      </c>
      <c r="B36" s="107" t="s">
        <v>424</v>
      </c>
      <c r="C36" s="20">
        <v>-28</v>
      </c>
      <c r="D36" s="20">
        <v>-28000</v>
      </c>
      <c r="E36" s="34">
        <v>13010</v>
      </c>
      <c r="F36" s="29">
        <v>4116</v>
      </c>
      <c r="G36" s="45"/>
      <c r="I36" s="390"/>
      <c r="J36" s="387"/>
      <c r="K36" s="391"/>
    </row>
    <row r="37" spans="1:11" x14ac:dyDescent="0.25">
      <c r="A37" s="43">
        <v>42310</v>
      </c>
      <c r="B37" s="107" t="s">
        <v>37</v>
      </c>
      <c r="C37" s="20">
        <v>20</v>
      </c>
      <c r="D37" s="20">
        <v>20000</v>
      </c>
      <c r="E37" s="34">
        <v>13010</v>
      </c>
      <c r="F37" s="29">
        <v>4116</v>
      </c>
      <c r="G37" s="45"/>
      <c r="I37" s="390"/>
      <c r="J37" s="387"/>
      <c r="K37" s="391"/>
    </row>
    <row r="38" spans="1:11" x14ac:dyDescent="0.25">
      <c r="A38" s="43">
        <v>42319</v>
      </c>
      <c r="B38" s="107" t="s">
        <v>37</v>
      </c>
      <c r="C38" s="20">
        <v>0</v>
      </c>
      <c r="D38" s="20">
        <v>16000</v>
      </c>
      <c r="E38" s="34">
        <v>13010</v>
      </c>
      <c r="F38" s="29">
        <v>4116</v>
      </c>
      <c r="G38" s="45">
        <f>15828755-D45-D46-D47-D48-D49-D50-D51-D52-D53-D54-D55-D56-D57</f>
        <v>0</v>
      </c>
      <c r="I38" s="390"/>
      <c r="J38" s="387"/>
      <c r="K38" s="391"/>
    </row>
    <row r="39" spans="1:11" x14ac:dyDescent="0.25">
      <c r="A39" s="43"/>
      <c r="B39" s="107" t="s">
        <v>411</v>
      </c>
      <c r="C39" s="174">
        <v>10.7</v>
      </c>
      <c r="D39" s="174">
        <v>20904</v>
      </c>
      <c r="E39" s="34">
        <v>13013</v>
      </c>
      <c r="F39" s="29">
        <v>4116</v>
      </c>
      <c r="G39" s="384" t="s">
        <v>358</v>
      </c>
      <c r="I39" s="390">
        <f>+D39</f>
        <v>20904</v>
      </c>
      <c r="J39" s="387"/>
      <c r="K39" s="391"/>
    </row>
    <row r="40" spans="1:11" x14ac:dyDescent="0.25">
      <c r="A40" s="43"/>
      <c r="B40" s="107" t="s">
        <v>568</v>
      </c>
      <c r="C40" s="174"/>
      <c r="D40" s="174">
        <v>14000</v>
      </c>
      <c r="E40" s="34">
        <v>13013</v>
      </c>
      <c r="F40" s="29">
        <v>4116</v>
      </c>
      <c r="G40" s="384" t="s">
        <v>358</v>
      </c>
      <c r="I40" s="390">
        <f t="shared" ref="I40:I57" si="0">+D40</f>
        <v>14000</v>
      </c>
      <c r="J40" s="387"/>
      <c r="K40" s="391"/>
    </row>
    <row r="41" spans="1:11" x14ac:dyDescent="0.25">
      <c r="A41" s="43"/>
      <c r="B41" s="107" t="s">
        <v>97</v>
      </c>
      <c r="C41" s="174">
        <v>267</v>
      </c>
      <c r="D41" s="174">
        <v>300369</v>
      </c>
      <c r="E41" s="34">
        <v>13101</v>
      </c>
      <c r="F41" s="29">
        <v>4116</v>
      </c>
      <c r="G41" s="384" t="s">
        <v>358</v>
      </c>
      <c r="I41" s="390">
        <f t="shared" si="0"/>
        <v>300369</v>
      </c>
      <c r="J41" s="387"/>
      <c r="K41" s="391"/>
    </row>
    <row r="42" spans="1:11" x14ac:dyDescent="0.25">
      <c r="A42" s="43"/>
      <c r="B42" s="107" t="s">
        <v>65</v>
      </c>
      <c r="C42" s="174">
        <v>58</v>
      </c>
      <c r="D42" s="174">
        <f>40896+16866</f>
        <v>57762</v>
      </c>
      <c r="E42" s="34">
        <v>13101</v>
      </c>
      <c r="F42" s="29" t="s">
        <v>18</v>
      </c>
      <c r="G42" s="384" t="s">
        <v>358</v>
      </c>
      <c r="I42" s="390">
        <f t="shared" si="0"/>
        <v>57762</v>
      </c>
      <c r="J42" s="387"/>
      <c r="K42" s="391"/>
    </row>
    <row r="43" spans="1:11" x14ac:dyDescent="0.25">
      <c r="A43" s="43"/>
      <c r="B43" s="107" t="s">
        <v>98</v>
      </c>
      <c r="C43" s="174">
        <v>484.274</v>
      </c>
      <c r="D43" s="174">
        <v>484274</v>
      </c>
      <c r="E43" s="35">
        <v>13101</v>
      </c>
      <c r="F43" s="36">
        <v>4116</v>
      </c>
      <c r="G43" s="384" t="s">
        <v>358</v>
      </c>
      <c r="I43" s="390">
        <f t="shared" si="0"/>
        <v>484274</v>
      </c>
      <c r="J43" s="387"/>
      <c r="K43" s="391"/>
    </row>
    <row r="44" spans="1:11" s="275" customFormat="1" x14ac:dyDescent="0.25">
      <c r="A44" s="272"/>
      <c r="B44" s="107" t="s">
        <v>99</v>
      </c>
      <c r="C44" s="174">
        <v>22</v>
      </c>
      <c r="D44" s="174">
        <v>22000</v>
      </c>
      <c r="E44" s="35">
        <v>13101</v>
      </c>
      <c r="F44" s="36">
        <v>4116</v>
      </c>
      <c r="G44" s="384" t="s">
        <v>358</v>
      </c>
      <c r="H44" s="45"/>
      <c r="I44" s="390">
        <f t="shared" si="0"/>
        <v>22000</v>
      </c>
      <c r="J44" s="388"/>
      <c r="K44" s="393"/>
    </row>
    <row r="45" spans="1:11" s="275" customFormat="1" x14ac:dyDescent="0.25">
      <c r="A45" s="272"/>
      <c r="B45" s="107" t="s">
        <v>19</v>
      </c>
      <c r="C45" s="174">
        <v>60</v>
      </c>
      <c r="D45" s="174">
        <v>53290</v>
      </c>
      <c r="E45" s="34">
        <v>13234</v>
      </c>
      <c r="F45" s="29">
        <v>4116</v>
      </c>
      <c r="G45" s="384" t="s">
        <v>358</v>
      </c>
      <c r="H45" s="45"/>
      <c r="I45" s="390">
        <f t="shared" si="0"/>
        <v>53290</v>
      </c>
      <c r="J45" s="388"/>
      <c r="K45" s="393"/>
    </row>
    <row r="46" spans="1:11" s="275" customFormat="1" x14ac:dyDescent="0.25">
      <c r="A46" s="272"/>
      <c r="B46" s="107" t="s">
        <v>20</v>
      </c>
      <c r="C46" s="174">
        <v>290</v>
      </c>
      <c r="D46" s="174">
        <v>264496</v>
      </c>
      <c r="E46" s="34">
        <v>13234</v>
      </c>
      <c r="F46" s="29">
        <v>4116</v>
      </c>
      <c r="G46" s="384" t="s">
        <v>358</v>
      </c>
      <c r="H46" s="45"/>
      <c r="I46" s="390">
        <f t="shared" si="0"/>
        <v>264496</v>
      </c>
      <c r="J46" s="388"/>
      <c r="K46" s="393"/>
    </row>
    <row r="47" spans="1:11" s="275" customFormat="1" x14ac:dyDescent="0.25">
      <c r="A47" s="272"/>
      <c r="B47" s="107" t="s">
        <v>23</v>
      </c>
      <c r="C47" s="174">
        <v>87.9</v>
      </c>
      <c r="D47" s="174">
        <v>112950</v>
      </c>
      <c r="E47" s="34">
        <v>13234</v>
      </c>
      <c r="F47" s="29">
        <v>4116</v>
      </c>
      <c r="G47" s="384" t="s">
        <v>358</v>
      </c>
      <c r="H47" s="45"/>
      <c r="I47" s="390">
        <f t="shared" si="0"/>
        <v>112950</v>
      </c>
      <c r="J47" s="388"/>
      <c r="K47" s="393"/>
    </row>
    <row r="48" spans="1:11" s="275" customFormat="1" x14ac:dyDescent="0.25">
      <c r="A48" s="272"/>
      <c r="B48" s="107" t="s">
        <v>22</v>
      </c>
      <c r="C48" s="174">
        <v>264</v>
      </c>
      <c r="D48" s="174">
        <v>242000</v>
      </c>
      <c r="E48" s="34">
        <v>13234</v>
      </c>
      <c r="F48" s="29">
        <v>4116</v>
      </c>
      <c r="G48" s="384" t="s">
        <v>358</v>
      </c>
      <c r="H48" s="45"/>
      <c r="I48" s="390">
        <f t="shared" si="0"/>
        <v>242000</v>
      </c>
      <c r="J48" s="388"/>
      <c r="K48" s="393"/>
    </row>
    <row r="49" spans="1:11" s="275" customFormat="1" x14ac:dyDescent="0.25">
      <c r="A49" s="272"/>
      <c r="B49" s="107" t="s">
        <v>67</v>
      </c>
      <c r="C49" s="174">
        <v>171.72300000000001</v>
      </c>
      <c r="D49" s="174">
        <f>86069+44000+41655</f>
        <v>171724</v>
      </c>
      <c r="E49" s="34">
        <v>13234</v>
      </c>
      <c r="F49" s="29">
        <v>4116</v>
      </c>
      <c r="G49" s="384" t="s">
        <v>358</v>
      </c>
      <c r="H49" s="45"/>
      <c r="I49" s="390">
        <f t="shared" si="0"/>
        <v>171724</v>
      </c>
      <c r="J49" s="388"/>
      <c r="K49" s="393"/>
    </row>
    <row r="50" spans="1:11" s="275" customFormat="1" x14ac:dyDescent="0.25">
      <c r="A50" s="272"/>
      <c r="B50" s="107" t="s">
        <v>25</v>
      </c>
      <c r="C50" s="174">
        <v>1705.0060000000001</v>
      </c>
      <c r="D50" s="174">
        <v>1105603</v>
      </c>
      <c r="E50" s="34">
        <v>13234</v>
      </c>
      <c r="F50" s="29">
        <v>4116</v>
      </c>
      <c r="G50" s="384" t="s">
        <v>358</v>
      </c>
      <c r="H50" s="45"/>
      <c r="I50" s="390">
        <f t="shared" si="0"/>
        <v>1105603</v>
      </c>
      <c r="J50" s="388"/>
      <c r="K50" s="393"/>
    </row>
    <row r="51" spans="1:11" s="275" customFormat="1" x14ac:dyDescent="0.25">
      <c r="A51" s="272"/>
      <c r="B51" s="107" t="s">
        <v>26</v>
      </c>
      <c r="C51" s="174"/>
      <c r="D51" s="174">
        <v>343056</v>
      </c>
      <c r="E51" s="34">
        <v>13234</v>
      </c>
      <c r="F51" s="29">
        <v>4116</v>
      </c>
      <c r="G51" s="384" t="s">
        <v>358</v>
      </c>
      <c r="H51" s="45"/>
      <c r="I51" s="390">
        <f t="shared" si="0"/>
        <v>343056</v>
      </c>
      <c r="J51" s="388"/>
      <c r="K51" s="393"/>
    </row>
    <row r="52" spans="1:11" x14ac:dyDescent="0.25">
      <c r="A52" s="43"/>
      <c r="B52" s="107" t="s">
        <v>28</v>
      </c>
      <c r="C52" s="174">
        <v>5376</v>
      </c>
      <c r="D52" s="174">
        <v>3955559</v>
      </c>
      <c r="E52" s="35">
        <v>13234</v>
      </c>
      <c r="F52" s="29">
        <v>4116</v>
      </c>
      <c r="G52" s="384" t="s">
        <v>358</v>
      </c>
      <c r="I52" s="390">
        <f t="shared" si="0"/>
        <v>3955559</v>
      </c>
      <c r="J52" s="387"/>
      <c r="K52" s="391"/>
    </row>
    <row r="53" spans="1:11" s="275" customFormat="1" x14ac:dyDescent="0.25">
      <c r="A53" s="272"/>
      <c r="B53" s="107" t="s">
        <v>24</v>
      </c>
      <c r="C53" s="174">
        <v>8590</v>
      </c>
      <c r="D53" s="174">
        <v>9155741</v>
      </c>
      <c r="E53" s="34">
        <v>13234</v>
      </c>
      <c r="F53" s="29">
        <v>4116</v>
      </c>
      <c r="G53" s="384" t="s">
        <v>358</v>
      </c>
      <c r="H53" s="45"/>
      <c r="I53" s="390">
        <f t="shared" si="0"/>
        <v>9155741</v>
      </c>
      <c r="J53" s="388"/>
      <c r="K53" s="393"/>
    </row>
    <row r="54" spans="1:11" x14ac:dyDescent="0.25">
      <c r="A54" s="43"/>
      <c r="B54" s="107" t="s">
        <v>66</v>
      </c>
      <c r="C54" s="174">
        <f>55+98</f>
        <v>153</v>
      </c>
      <c r="D54" s="174">
        <v>130133</v>
      </c>
      <c r="E54" s="35">
        <v>13234</v>
      </c>
      <c r="F54" s="36">
        <v>4116</v>
      </c>
      <c r="G54" s="384" t="s">
        <v>358</v>
      </c>
      <c r="I54" s="390">
        <f t="shared" si="0"/>
        <v>130133</v>
      </c>
      <c r="J54" s="387"/>
      <c r="K54" s="391"/>
    </row>
    <row r="55" spans="1:11" x14ac:dyDescent="0.25">
      <c r="A55" s="43"/>
      <c r="B55" s="107" t="s">
        <v>31</v>
      </c>
      <c r="C55" s="174">
        <v>252</v>
      </c>
      <c r="D55" s="174">
        <v>192398</v>
      </c>
      <c r="E55" s="35">
        <v>13234</v>
      </c>
      <c r="F55" s="36">
        <v>4116</v>
      </c>
      <c r="G55" s="384" t="s">
        <v>358</v>
      </c>
      <c r="I55" s="390">
        <f t="shared" si="0"/>
        <v>192398</v>
      </c>
      <c r="J55" s="387"/>
      <c r="K55" s="391"/>
    </row>
    <row r="56" spans="1:11" x14ac:dyDescent="0.25">
      <c r="A56" s="43"/>
      <c r="B56" s="107" t="s">
        <v>21</v>
      </c>
      <c r="C56" s="174">
        <v>7.42</v>
      </c>
      <c r="D56" s="174">
        <v>7420</v>
      </c>
      <c r="E56" s="35">
        <v>13234</v>
      </c>
      <c r="F56" s="29" t="s">
        <v>18</v>
      </c>
      <c r="G56" s="384" t="s">
        <v>358</v>
      </c>
      <c r="I56" s="390">
        <f t="shared" si="0"/>
        <v>7420</v>
      </c>
      <c r="J56" s="387"/>
      <c r="K56" s="391"/>
    </row>
    <row r="57" spans="1:11" x14ac:dyDescent="0.25">
      <c r="A57" s="43"/>
      <c r="B57" s="107" t="s">
        <v>30</v>
      </c>
      <c r="C57" s="174"/>
      <c r="D57" s="174">
        <v>94385</v>
      </c>
      <c r="E57" s="35">
        <v>13234</v>
      </c>
      <c r="F57" s="36">
        <v>4116</v>
      </c>
      <c r="G57" s="45"/>
      <c r="I57" s="390">
        <f t="shared" si="0"/>
        <v>94385</v>
      </c>
      <c r="J57" s="387"/>
      <c r="K57" s="391"/>
    </row>
    <row r="58" spans="1:11" x14ac:dyDescent="0.25">
      <c r="A58" s="43"/>
      <c r="B58" s="107" t="s">
        <v>32</v>
      </c>
      <c r="C58" s="174"/>
      <c r="D58" s="174"/>
      <c r="E58" s="35"/>
      <c r="F58" s="36"/>
      <c r="G58" s="45"/>
      <c r="I58" s="390"/>
      <c r="J58" s="387"/>
      <c r="K58" s="391"/>
    </row>
    <row r="59" spans="1:11" x14ac:dyDescent="0.25">
      <c r="A59" s="43"/>
      <c r="B59" s="44"/>
      <c r="C59" s="37"/>
      <c r="D59" s="20"/>
      <c r="E59" s="35"/>
      <c r="F59" s="36"/>
      <c r="G59" s="45"/>
      <c r="I59" s="390"/>
      <c r="J59" s="387"/>
      <c r="K59" s="391"/>
    </row>
    <row r="60" spans="1:11" x14ac:dyDescent="0.25">
      <c r="A60" s="43"/>
      <c r="B60" s="285" t="s">
        <v>116</v>
      </c>
      <c r="C60" s="39">
        <f>+SUM(C61:C63)</f>
        <v>36.299999999999997</v>
      </c>
      <c r="D60" s="39">
        <f>+SUM(D61:D63)</f>
        <v>36300</v>
      </c>
      <c r="E60" s="29"/>
      <c r="F60" s="36"/>
      <c r="G60" s="45"/>
      <c r="I60" s="390"/>
      <c r="J60" s="387"/>
      <c r="K60" s="391"/>
    </row>
    <row r="61" spans="1:11" x14ac:dyDescent="0.25">
      <c r="A61" s="43">
        <v>42066</v>
      </c>
      <c r="B61" s="107" t="s">
        <v>115</v>
      </c>
      <c r="C61" s="20">
        <v>36.299999999999997</v>
      </c>
      <c r="D61" s="20">
        <v>36300</v>
      </c>
      <c r="E61" s="41">
        <v>27003</v>
      </c>
      <c r="F61" s="36">
        <v>4116</v>
      </c>
      <c r="G61" s="45"/>
      <c r="I61" s="390"/>
      <c r="J61" s="387"/>
      <c r="K61" s="391"/>
    </row>
    <row r="62" spans="1:11" x14ac:dyDescent="0.25">
      <c r="A62" s="287"/>
      <c r="B62" s="107"/>
      <c r="C62" s="20"/>
      <c r="D62" s="20"/>
      <c r="E62" s="36"/>
      <c r="F62" s="36">
        <v>4116</v>
      </c>
      <c r="G62" s="45"/>
      <c r="I62" s="390"/>
      <c r="J62" s="387"/>
      <c r="K62" s="391"/>
    </row>
    <row r="63" spans="1:11" x14ac:dyDescent="0.25">
      <c r="A63" s="287"/>
      <c r="B63" s="107"/>
      <c r="C63" s="20"/>
      <c r="D63" s="20"/>
      <c r="E63" s="36"/>
      <c r="F63" s="36">
        <v>4116</v>
      </c>
      <c r="G63" s="45"/>
      <c r="I63" s="390"/>
      <c r="J63" s="387"/>
      <c r="K63" s="391"/>
    </row>
    <row r="64" spans="1:11" x14ac:dyDescent="0.25">
      <c r="A64" s="43"/>
      <c r="B64" s="285" t="s">
        <v>33</v>
      </c>
      <c r="C64" s="39">
        <f>+SUM(C65:C102)</f>
        <v>24972</v>
      </c>
      <c r="D64" s="39">
        <f>+SUM(D65:D102)</f>
        <v>24972000</v>
      </c>
      <c r="E64" s="29"/>
      <c r="F64" s="36"/>
      <c r="G64" s="45"/>
      <c r="I64" s="390"/>
      <c r="J64" s="387"/>
      <c r="K64" s="391"/>
    </row>
    <row r="65" spans="1:11" x14ac:dyDescent="0.25">
      <c r="A65" s="43">
        <v>42086</v>
      </c>
      <c r="B65" s="107" t="s">
        <v>122</v>
      </c>
      <c r="C65" s="20">
        <v>80</v>
      </c>
      <c r="D65" s="21">
        <v>80000</v>
      </c>
      <c r="E65" s="29">
        <v>34070</v>
      </c>
      <c r="F65" s="29">
        <v>4116</v>
      </c>
      <c r="G65" s="45"/>
      <c r="I65" s="390"/>
      <c r="J65" s="387"/>
      <c r="K65" s="391"/>
    </row>
    <row r="66" spans="1:11" x14ac:dyDescent="0.25">
      <c r="A66" s="43">
        <v>42116</v>
      </c>
      <c r="B66" s="107" t="s">
        <v>266</v>
      </c>
      <c r="C66" s="20">
        <v>25</v>
      </c>
      <c r="D66" s="21">
        <v>25000</v>
      </c>
      <c r="E66" s="29">
        <v>34070</v>
      </c>
      <c r="F66" s="29">
        <v>4116</v>
      </c>
      <c r="G66" s="45"/>
      <c r="I66" s="390"/>
      <c r="J66" s="387"/>
      <c r="K66" s="391"/>
    </row>
    <row r="67" spans="1:11" x14ac:dyDescent="0.25">
      <c r="A67" s="43">
        <v>42116</v>
      </c>
      <c r="B67" s="107" t="s">
        <v>143</v>
      </c>
      <c r="C67" s="20">
        <v>18</v>
      </c>
      <c r="D67" s="21">
        <v>18000</v>
      </c>
      <c r="E67" s="29">
        <v>34070</v>
      </c>
      <c r="F67" s="29">
        <v>4116</v>
      </c>
      <c r="G67" s="45"/>
      <c r="I67" s="390"/>
      <c r="J67" s="387"/>
      <c r="K67" s="391"/>
    </row>
    <row r="68" spans="1:11" x14ac:dyDescent="0.25">
      <c r="A68" s="43">
        <v>42116</v>
      </c>
      <c r="B68" s="107" t="s">
        <v>173</v>
      </c>
      <c r="C68" s="20">
        <v>20</v>
      </c>
      <c r="D68" s="21">
        <v>20000</v>
      </c>
      <c r="E68" s="29">
        <v>34070</v>
      </c>
      <c r="F68" s="29">
        <v>4116</v>
      </c>
      <c r="G68" s="45"/>
      <c r="I68" s="390"/>
      <c r="J68" s="387"/>
      <c r="K68" s="391"/>
    </row>
    <row r="69" spans="1:11" x14ac:dyDescent="0.25">
      <c r="A69" s="43">
        <v>42128</v>
      </c>
      <c r="B69" s="107" t="s">
        <v>172</v>
      </c>
      <c r="C69" s="20">
        <v>45</v>
      </c>
      <c r="D69" s="21">
        <v>45000</v>
      </c>
      <c r="E69" s="29">
        <v>34053</v>
      </c>
      <c r="F69" s="29">
        <v>4116</v>
      </c>
      <c r="G69" s="45"/>
      <c r="I69" s="390"/>
      <c r="J69" s="387"/>
      <c r="K69" s="391"/>
    </row>
    <row r="70" spans="1:11" x14ac:dyDescent="0.25">
      <c r="A70" s="43">
        <v>42135</v>
      </c>
      <c r="B70" s="107" t="s">
        <v>175</v>
      </c>
      <c r="C70" s="20">
        <v>600</v>
      </c>
      <c r="D70" s="21">
        <v>600000</v>
      </c>
      <c r="E70" s="29">
        <v>34070</v>
      </c>
      <c r="F70" s="29">
        <v>4116</v>
      </c>
      <c r="G70" s="45"/>
      <c r="I70" s="390"/>
      <c r="J70" s="387"/>
      <c r="K70" s="391"/>
    </row>
    <row r="71" spans="1:11" x14ac:dyDescent="0.25">
      <c r="A71" s="43">
        <v>42135</v>
      </c>
      <c r="B71" s="107" t="s">
        <v>176</v>
      </c>
      <c r="C71" s="20">
        <v>70</v>
      </c>
      <c r="D71" s="21">
        <v>70000</v>
      </c>
      <c r="E71" s="29">
        <v>34070</v>
      </c>
      <c r="F71" s="29">
        <v>4116</v>
      </c>
      <c r="G71" s="45"/>
      <c r="I71" s="390"/>
      <c r="J71" s="387"/>
      <c r="K71" s="391"/>
    </row>
    <row r="72" spans="1:11" x14ac:dyDescent="0.25">
      <c r="A72" s="43">
        <v>42136</v>
      </c>
      <c r="B72" s="107" t="s">
        <v>177</v>
      </c>
      <c r="C72" s="20">
        <v>120</v>
      </c>
      <c r="D72" s="21">
        <v>120000</v>
      </c>
      <c r="E72" s="29">
        <v>34070</v>
      </c>
      <c r="F72" s="29">
        <v>4116</v>
      </c>
      <c r="G72" s="45"/>
      <c r="I72" s="390"/>
      <c r="J72" s="387"/>
      <c r="K72" s="391"/>
    </row>
    <row r="73" spans="1:11" x14ac:dyDescent="0.25">
      <c r="A73" s="43">
        <v>42136</v>
      </c>
      <c r="B73" s="107" t="s">
        <v>178</v>
      </c>
      <c r="C73" s="20">
        <v>340</v>
      </c>
      <c r="D73" s="21">
        <v>340000</v>
      </c>
      <c r="E73" s="29">
        <v>34070</v>
      </c>
      <c r="F73" s="29">
        <v>4116</v>
      </c>
      <c r="G73" s="45"/>
      <c r="I73" s="390"/>
      <c r="J73" s="387"/>
      <c r="K73" s="391"/>
    </row>
    <row r="74" spans="1:11" x14ac:dyDescent="0.25">
      <c r="A74" s="43">
        <v>42136</v>
      </c>
      <c r="B74" s="107" t="s">
        <v>179</v>
      </c>
      <c r="C74" s="20">
        <v>320</v>
      </c>
      <c r="D74" s="21">
        <v>320000</v>
      </c>
      <c r="E74" s="29">
        <v>34070</v>
      </c>
      <c r="F74" s="29">
        <v>4116</v>
      </c>
      <c r="G74" s="45"/>
      <c r="I74" s="390"/>
      <c r="J74" s="387"/>
      <c r="K74" s="391"/>
    </row>
    <row r="75" spans="1:11" x14ac:dyDescent="0.25">
      <c r="A75" s="43">
        <v>42143</v>
      </c>
      <c r="B75" s="107" t="s">
        <v>194</v>
      </c>
      <c r="C75" s="20">
        <v>95</v>
      </c>
      <c r="D75" s="21">
        <v>95000</v>
      </c>
      <c r="E75" s="29">
        <v>34070</v>
      </c>
      <c r="F75" s="29">
        <v>4116</v>
      </c>
      <c r="G75" s="45"/>
      <c r="I75" s="390"/>
      <c r="J75" s="387"/>
      <c r="K75" s="391"/>
    </row>
    <row r="76" spans="1:11" x14ac:dyDescent="0.25">
      <c r="A76" s="43">
        <v>42143</v>
      </c>
      <c r="B76" s="107" t="s">
        <v>195</v>
      </c>
      <c r="C76" s="20">
        <v>30</v>
      </c>
      <c r="D76" s="21">
        <v>30000</v>
      </c>
      <c r="E76" s="29">
        <v>34194</v>
      </c>
      <c r="F76" s="29">
        <v>4116</v>
      </c>
      <c r="G76" s="45"/>
      <c r="I76" s="390"/>
      <c r="J76" s="387"/>
      <c r="K76" s="391"/>
    </row>
    <row r="77" spans="1:11" x14ac:dyDescent="0.25">
      <c r="A77" s="43">
        <v>42143</v>
      </c>
      <c r="B77" s="107" t="s">
        <v>197</v>
      </c>
      <c r="C77" s="20">
        <v>750</v>
      </c>
      <c r="D77" s="21">
        <v>750000</v>
      </c>
      <c r="E77" s="29">
        <v>34070</v>
      </c>
      <c r="F77" s="29">
        <v>4116</v>
      </c>
      <c r="G77" s="45"/>
      <c r="I77" s="390"/>
      <c r="J77" s="387"/>
      <c r="K77" s="391"/>
    </row>
    <row r="78" spans="1:11" x14ac:dyDescent="0.25">
      <c r="A78" s="43">
        <v>42144</v>
      </c>
      <c r="B78" s="107" t="s">
        <v>199</v>
      </c>
      <c r="C78" s="20">
        <v>64</v>
      </c>
      <c r="D78" s="20">
        <v>64000</v>
      </c>
      <c r="E78" s="29">
        <v>34053</v>
      </c>
      <c r="F78" s="29">
        <v>4116</v>
      </c>
      <c r="G78" s="45"/>
      <c r="I78" s="390"/>
      <c r="J78" s="387"/>
      <c r="K78" s="391"/>
    </row>
    <row r="79" spans="1:11" x14ac:dyDescent="0.25">
      <c r="A79" s="43">
        <v>42144</v>
      </c>
      <c r="B79" s="107" t="s">
        <v>198</v>
      </c>
      <c r="C79" s="20">
        <v>45</v>
      </c>
      <c r="D79" s="20">
        <v>45000</v>
      </c>
      <c r="E79" s="29">
        <v>34053</v>
      </c>
      <c r="F79" s="29">
        <v>4116</v>
      </c>
      <c r="G79" s="45"/>
      <c r="I79" s="390"/>
      <c r="J79" s="387"/>
      <c r="K79" s="391"/>
    </row>
    <row r="80" spans="1:11" x14ac:dyDescent="0.25">
      <c r="A80" s="43">
        <v>42164</v>
      </c>
      <c r="B80" s="107" t="s">
        <v>241</v>
      </c>
      <c r="C80" s="20">
        <v>1200</v>
      </c>
      <c r="D80" s="20">
        <v>1200000</v>
      </c>
      <c r="E80" s="29">
        <v>34352</v>
      </c>
      <c r="F80" s="29">
        <v>4116</v>
      </c>
      <c r="G80" s="45"/>
      <c r="I80" s="390"/>
      <c r="J80" s="387"/>
      <c r="K80" s="391"/>
    </row>
    <row r="81" spans="1:11" x14ac:dyDescent="0.25">
      <c r="A81" s="43">
        <v>42172</v>
      </c>
      <c r="B81" s="107" t="s">
        <v>233</v>
      </c>
      <c r="C81" s="20">
        <v>740</v>
      </c>
      <c r="D81" s="20">
        <v>740000</v>
      </c>
      <c r="E81" s="29">
        <v>34352</v>
      </c>
      <c r="F81" s="29">
        <v>4116</v>
      </c>
      <c r="G81" s="45"/>
      <c r="I81" s="390"/>
      <c r="J81" s="387"/>
      <c r="K81" s="391"/>
    </row>
    <row r="82" spans="1:11" x14ac:dyDescent="0.25">
      <c r="A82" s="43">
        <v>42172</v>
      </c>
      <c r="B82" s="107" t="s">
        <v>234</v>
      </c>
      <c r="C82" s="20">
        <v>2745</v>
      </c>
      <c r="D82" s="20">
        <v>2745000</v>
      </c>
      <c r="E82" s="29">
        <v>34352</v>
      </c>
      <c r="F82" s="29">
        <v>4116</v>
      </c>
      <c r="G82" s="45"/>
      <c r="I82" s="390"/>
      <c r="J82" s="387"/>
      <c r="K82" s="391"/>
    </row>
    <row r="83" spans="1:11" x14ac:dyDescent="0.25">
      <c r="A83" s="43">
        <v>42172</v>
      </c>
      <c r="B83" s="107" t="s">
        <v>235</v>
      </c>
      <c r="C83" s="20">
        <v>2580</v>
      </c>
      <c r="D83" s="20">
        <v>2580000</v>
      </c>
      <c r="E83" s="29">
        <v>34352</v>
      </c>
      <c r="F83" s="29">
        <v>4116</v>
      </c>
      <c r="G83" s="45"/>
      <c r="I83" s="390"/>
      <c r="J83" s="387"/>
      <c r="K83" s="391"/>
    </row>
    <row r="84" spans="1:11" x14ac:dyDescent="0.25">
      <c r="A84" s="43">
        <v>42178</v>
      </c>
      <c r="B84" s="107" t="s">
        <v>242</v>
      </c>
      <c r="C84" s="20">
        <v>7135</v>
      </c>
      <c r="D84" s="20">
        <v>7135000</v>
      </c>
      <c r="E84" s="29">
        <v>34352</v>
      </c>
      <c r="F84" s="29">
        <v>4116</v>
      </c>
      <c r="G84" s="45"/>
      <c r="I84" s="390"/>
      <c r="J84" s="387"/>
      <c r="K84" s="391"/>
    </row>
    <row r="85" spans="1:11" x14ac:dyDescent="0.25">
      <c r="A85" s="43">
        <v>42188</v>
      </c>
      <c r="B85" s="107" t="s">
        <v>531</v>
      </c>
      <c r="C85" s="20">
        <v>112</v>
      </c>
      <c r="D85" s="20">
        <v>112000</v>
      </c>
      <c r="E85" s="29">
        <v>34001</v>
      </c>
      <c r="F85" s="29">
        <v>4116</v>
      </c>
      <c r="G85" s="45"/>
      <c r="I85" s="390"/>
      <c r="J85" s="387"/>
      <c r="K85" s="391"/>
    </row>
    <row r="86" spans="1:11" x14ac:dyDescent="0.25">
      <c r="A86" s="43">
        <v>42198</v>
      </c>
      <c r="B86" s="107" t="s">
        <v>295</v>
      </c>
      <c r="C86" s="20">
        <v>80</v>
      </c>
      <c r="D86" s="21">
        <v>80000</v>
      </c>
      <c r="E86" s="29">
        <v>34070</v>
      </c>
      <c r="F86" s="29">
        <v>4116</v>
      </c>
      <c r="G86" s="45"/>
      <c r="I86" s="390"/>
      <c r="J86" s="387"/>
      <c r="K86" s="391"/>
    </row>
    <row r="87" spans="1:11" x14ac:dyDescent="0.25">
      <c r="A87" s="43">
        <v>42212</v>
      </c>
      <c r="B87" s="107" t="s">
        <v>341</v>
      </c>
      <c r="C87" s="20">
        <v>1900</v>
      </c>
      <c r="D87" s="21">
        <v>1900000</v>
      </c>
      <c r="E87" s="29">
        <v>34054</v>
      </c>
      <c r="F87" s="29">
        <v>4116</v>
      </c>
      <c r="G87" s="45"/>
      <c r="I87" s="390"/>
      <c r="J87" s="387"/>
      <c r="K87" s="391"/>
    </row>
    <row r="88" spans="1:11" x14ac:dyDescent="0.25">
      <c r="A88" s="43">
        <v>42214</v>
      </c>
      <c r="B88" s="107" t="s">
        <v>340</v>
      </c>
      <c r="C88" s="20">
        <v>70</v>
      </c>
      <c r="D88" s="21">
        <v>70000</v>
      </c>
      <c r="E88" s="29">
        <v>34070</v>
      </c>
      <c r="F88" s="29">
        <v>4116</v>
      </c>
      <c r="G88" s="384"/>
      <c r="I88" s="390"/>
      <c r="J88" s="387"/>
      <c r="K88" s="391"/>
    </row>
    <row r="89" spans="1:11" x14ac:dyDescent="0.25">
      <c r="A89" s="43">
        <v>42227</v>
      </c>
      <c r="B89" s="107" t="s">
        <v>367</v>
      </c>
      <c r="C89" s="20">
        <v>180</v>
      </c>
      <c r="D89" s="21">
        <v>180000</v>
      </c>
      <c r="E89" s="29">
        <v>34070</v>
      </c>
      <c r="F89" s="29">
        <v>4116</v>
      </c>
      <c r="G89" s="160"/>
      <c r="I89" s="390"/>
      <c r="J89" s="387"/>
      <c r="K89" s="391"/>
    </row>
    <row r="90" spans="1:11" x14ac:dyDescent="0.25">
      <c r="A90" s="43">
        <v>42241</v>
      </c>
      <c r="B90" s="107" t="s">
        <v>413</v>
      </c>
      <c r="C90" s="20">
        <v>2654</v>
      </c>
      <c r="D90" s="21">
        <v>2654000</v>
      </c>
      <c r="E90" s="29">
        <v>34002</v>
      </c>
      <c r="F90" s="29">
        <v>4116</v>
      </c>
      <c r="G90" s="45"/>
      <c r="I90" s="390"/>
      <c r="J90" s="387"/>
      <c r="K90" s="391"/>
    </row>
    <row r="91" spans="1:11" x14ac:dyDescent="0.25">
      <c r="A91" s="43">
        <v>42271</v>
      </c>
      <c r="B91" s="107" t="s">
        <v>422</v>
      </c>
      <c r="C91" s="20">
        <v>1380</v>
      </c>
      <c r="D91" s="21">
        <v>1380000</v>
      </c>
      <c r="E91" s="29">
        <v>34070</v>
      </c>
      <c r="F91" s="29">
        <v>4116</v>
      </c>
      <c r="G91" s="45"/>
      <c r="I91" s="390"/>
      <c r="J91" s="387"/>
      <c r="K91" s="391"/>
    </row>
    <row r="92" spans="1:11" x14ac:dyDescent="0.25">
      <c r="A92" s="43">
        <v>42272</v>
      </c>
      <c r="B92" s="107" t="s">
        <v>422</v>
      </c>
      <c r="C92" s="20">
        <v>620</v>
      </c>
      <c r="D92" s="21">
        <v>620000</v>
      </c>
      <c r="E92" s="29">
        <v>34070</v>
      </c>
      <c r="F92" s="29">
        <v>4116</v>
      </c>
      <c r="G92" s="45"/>
      <c r="I92" s="390"/>
      <c r="J92" s="387"/>
      <c r="K92" s="391"/>
    </row>
    <row r="93" spans="1:11" x14ac:dyDescent="0.25">
      <c r="A93" s="43">
        <v>42284</v>
      </c>
      <c r="B93" s="107" t="s">
        <v>197</v>
      </c>
      <c r="C93" s="20">
        <v>50</v>
      </c>
      <c r="D93" s="21">
        <v>50000</v>
      </c>
      <c r="E93" s="29">
        <v>34070</v>
      </c>
      <c r="F93" s="29">
        <v>4116</v>
      </c>
      <c r="G93" s="45"/>
      <c r="I93" s="390"/>
      <c r="J93" s="387"/>
      <c r="K93" s="391"/>
    </row>
    <row r="94" spans="1:11" x14ac:dyDescent="0.25">
      <c r="A94" s="43">
        <v>42310</v>
      </c>
      <c r="B94" s="107" t="s">
        <v>588</v>
      </c>
      <c r="C94" s="20">
        <v>250</v>
      </c>
      <c r="D94" s="20">
        <v>250000</v>
      </c>
      <c r="E94" s="29">
        <v>34070</v>
      </c>
      <c r="F94" s="29">
        <v>4116</v>
      </c>
      <c r="G94" s="45"/>
      <c r="I94" s="390"/>
      <c r="J94" s="387"/>
      <c r="K94" s="391"/>
    </row>
    <row r="95" spans="1:11" x14ac:dyDescent="0.25">
      <c r="A95" s="43">
        <v>42318</v>
      </c>
      <c r="B95" s="107" t="s">
        <v>598</v>
      </c>
      <c r="C95" s="20">
        <v>40</v>
      </c>
      <c r="D95" s="20">
        <v>40000</v>
      </c>
      <c r="E95" s="29">
        <v>34070</v>
      </c>
      <c r="F95" s="29">
        <v>4116</v>
      </c>
      <c r="G95" s="45"/>
      <c r="I95" s="390"/>
      <c r="J95" s="387"/>
      <c r="K95" s="391"/>
    </row>
    <row r="96" spans="1:11" x14ac:dyDescent="0.25">
      <c r="A96" s="43"/>
      <c r="B96" s="107"/>
      <c r="C96" s="20"/>
      <c r="D96" s="20"/>
      <c r="E96" s="29"/>
      <c r="F96" s="29">
        <v>4116</v>
      </c>
      <c r="G96" s="45"/>
      <c r="I96" s="390"/>
      <c r="J96" s="387"/>
      <c r="K96" s="391"/>
    </row>
    <row r="97" spans="1:11" x14ac:dyDescent="0.25">
      <c r="A97" s="43"/>
      <c r="B97" s="107" t="s">
        <v>267</v>
      </c>
      <c r="C97" s="174">
        <v>100</v>
      </c>
      <c r="D97" s="174">
        <f>50000+50000</f>
        <v>100000</v>
      </c>
      <c r="E97" s="29">
        <v>34273</v>
      </c>
      <c r="F97" s="29">
        <v>4116</v>
      </c>
      <c r="G97" s="384"/>
      <c r="H97" s="384"/>
      <c r="I97" s="390"/>
      <c r="J97" s="387">
        <v>100000</v>
      </c>
      <c r="K97" s="391"/>
    </row>
    <row r="98" spans="1:11" x14ac:dyDescent="0.25">
      <c r="A98" s="43"/>
      <c r="B98" s="107" t="s">
        <v>382</v>
      </c>
      <c r="C98" s="174">
        <v>70</v>
      </c>
      <c r="D98" s="174">
        <v>70000</v>
      </c>
      <c r="E98" s="29">
        <v>34002</v>
      </c>
      <c r="F98" s="29">
        <v>4116</v>
      </c>
      <c r="G98" s="384"/>
      <c r="H98" s="384"/>
      <c r="I98" s="390"/>
      <c r="J98" s="387">
        <v>70000</v>
      </c>
      <c r="K98" s="391"/>
    </row>
    <row r="99" spans="1:11" x14ac:dyDescent="0.25">
      <c r="A99" s="43"/>
      <c r="B99" s="107" t="s">
        <v>383</v>
      </c>
      <c r="C99" s="174">
        <v>90</v>
      </c>
      <c r="D99" s="174">
        <v>90000</v>
      </c>
      <c r="E99" s="29">
        <v>34002</v>
      </c>
      <c r="F99" s="29">
        <v>4116</v>
      </c>
      <c r="G99" s="384"/>
      <c r="H99" s="384"/>
      <c r="I99" s="390"/>
      <c r="J99" s="387">
        <v>90000</v>
      </c>
      <c r="K99" s="391"/>
    </row>
    <row r="100" spans="1:11" x14ac:dyDescent="0.25">
      <c r="A100" s="43"/>
      <c r="B100" s="107" t="s">
        <v>430</v>
      </c>
      <c r="C100" s="174">
        <v>54</v>
      </c>
      <c r="D100" s="174">
        <v>54000</v>
      </c>
      <c r="E100" s="29">
        <v>34002</v>
      </c>
      <c r="F100" s="29">
        <v>4116</v>
      </c>
      <c r="G100" s="384"/>
      <c r="H100" s="384"/>
      <c r="I100" s="390"/>
      <c r="J100" s="387">
        <v>54000</v>
      </c>
      <c r="K100" s="391"/>
    </row>
    <row r="101" spans="1:11" x14ac:dyDescent="0.25">
      <c r="A101" s="43"/>
      <c r="B101" s="107" t="s">
        <v>431</v>
      </c>
      <c r="C101" s="174">
        <v>300</v>
      </c>
      <c r="D101" s="174">
        <v>300000</v>
      </c>
      <c r="E101" s="29">
        <v>34002</v>
      </c>
      <c r="F101" s="29">
        <v>4116</v>
      </c>
      <c r="G101" s="384"/>
      <c r="H101" s="384"/>
      <c r="I101" s="390"/>
      <c r="J101" s="387">
        <v>300000</v>
      </c>
      <c r="K101" s="391"/>
    </row>
    <row r="102" spans="1:11" x14ac:dyDescent="0.25">
      <c r="A102" s="43"/>
      <c r="B102" s="107"/>
      <c r="C102" s="20"/>
      <c r="D102" s="20"/>
      <c r="E102" s="29"/>
      <c r="F102" s="29"/>
      <c r="G102" s="45"/>
      <c r="I102" s="390"/>
      <c r="J102" s="387"/>
      <c r="K102" s="391"/>
    </row>
    <row r="103" spans="1:11" x14ac:dyDescent="0.25">
      <c r="A103" s="43"/>
      <c r="B103" s="285" t="s">
        <v>34</v>
      </c>
      <c r="C103" s="39">
        <f>SUM(C104:C202)</f>
        <v>60414.458820000007</v>
      </c>
      <c r="D103" s="39">
        <f>SUM(D104:D202)</f>
        <v>59121139.590000004</v>
      </c>
      <c r="E103" s="29"/>
      <c r="F103" s="36"/>
      <c r="G103" s="45"/>
      <c r="I103" s="390"/>
      <c r="J103" s="387"/>
      <c r="K103" s="391"/>
    </row>
    <row r="104" spans="1:11" x14ac:dyDescent="0.25">
      <c r="A104" s="43">
        <v>42054</v>
      </c>
      <c r="B104" s="107" t="s">
        <v>68</v>
      </c>
      <c r="C104" s="52">
        <v>972.54641000000004</v>
      </c>
      <c r="D104" s="53">
        <v>972546.41</v>
      </c>
      <c r="E104" s="29">
        <v>33019</v>
      </c>
      <c r="F104" s="36" t="s">
        <v>18</v>
      </c>
      <c r="G104" s="45"/>
      <c r="I104" s="390"/>
      <c r="J104" s="387"/>
      <c r="K104" s="391"/>
    </row>
    <row r="105" spans="1:11" x14ac:dyDescent="0.25">
      <c r="A105" s="43">
        <v>42081</v>
      </c>
      <c r="B105" s="107" t="s">
        <v>117</v>
      </c>
      <c r="C105" s="52">
        <v>192</v>
      </c>
      <c r="D105" s="55">
        <v>192000</v>
      </c>
      <c r="E105" s="29">
        <v>33339</v>
      </c>
      <c r="F105" s="36">
        <v>4116</v>
      </c>
      <c r="G105" s="45"/>
      <c r="I105" s="390"/>
      <c r="J105" s="387"/>
      <c r="K105" s="391"/>
    </row>
    <row r="106" spans="1:11" x14ac:dyDescent="0.25">
      <c r="A106" s="43">
        <v>42116</v>
      </c>
      <c r="B106" s="107" t="s">
        <v>145</v>
      </c>
      <c r="C106" s="52">
        <v>417.25607000000002</v>
      </c>
      <c r="D106" s="55">
        <f>354667.65+62588.42</f>
        <v>417256.07</v>
      </c>
      <c r="E106" s="29">
        <v>33019</v>
      </c>
      <c r="F106" s="36">
        <v>4116</v>
      </c>
      <c r="G106" s="45"/>
      <c r="I106" s="390"/>
      <c r="J106" s="387"/>
      <c r="K106" s="391"/>
    </row>
    <row r="107" spans="1:11" x14ac:dyDescent="0.25">
      <c r="A107" s="43">
        <v>42117</v>
      </c>
      <c r="B107" s="107" t="s">
        <v>148</v>
      </c>
      <c r="C107" s="52">
        <v>6858.8674300000002</v>
      </c>
      <c r="D107" s="114">
        <v>6858867.4299999997</v>
      </c>
      <c r="E107" s="29">
        <v>33019</v>
      </c>
      <c r="F107" s="36">
        <v>4116</v>
      </c>
      <c r="G107" s="45"/>
      <c r="I107" s="390"/>
      <c r="J107" s="387"/>
      <c r="K107" s="391"/>
    </row>
    <row r="108" spans="1:11" x14ac:dyDescent="0.25">
      <c r="A108" s="43">
        <v>42131</v>
      </c>
      <c r="B108" s="107" t="s">
        <v>174</v>
      </c>
      <c r="C108" s="52">
        <v>592.21028999999999</v>
      </c>
      <c r="D108" s="55">
        <v>592210.29</v>
      </c>
      <c r="E108" s="28">
        <v>33019</v>
      </c>
      <c r="F108" s="36">
        <v>4116</v>
      </c>
      <c r="G108" s="45"/>
      <c r="I108" s="390"/>
      <c r="J108" s="387"/>
      <c r="K108" s="391"/>
    </row>
    <row r="109" spans="1:11" x14ac:dyDescent="0.25">
      <c r="A109" s="43">
        <v>42138</v>
      </c>
      <c r="B109" s="107" t="s">
        <v>148</v>
      </c>
      <c r="C109" s="52">
        <v>4904.7020000000002</v>
      </c>
      <c r="D109" s="55">
        <v>4904702</v>
      </c>
      <c r="E109" s="28">
        <v>33019</v>
      </c>
      <c r="F109" s="36">
        <v>4116</v>
      </c>
      <c r="G109" s="45"/>
      <c r="I109" s="390"/>
      <c r="J109" s="387"/>
      <c r="K109" s="391"/>
    </row>
    <row r="110" spans="1:11" x14ac:dyDescent="0.25">
      <c r="A110" s="43">
        <v>42184</v>
      </c>
      <c r="B110" s="107" t="s">
        <v>145</v>
      </c>
      <c r="C110" s="52">
        <v>681.93142</v>
      </c>
      <c r="D110" s="55">
        <v>681931.42</v>
      </c>
      <c r="E110" s="28">
        <v>33019</v>
      </c>
      <c r="F110" s="36">
        <v>4116</v>
      </c>
      <c r="G110" s="45"/>
      <c r="I110" s="390"/>
      <c r="J110" s="387"/>
      <c r="K110" s="391"/>
    </row>
    <row r="111" spans="1:11" x14ac:dyDescent="0.25">
      <c r="A111" s="43">
        <v>42188</v>
      </c>
      <c r="B111" s="276" t="s">
        <v>174</v>
      </c>
      <c r="C111" s="52">
        <v>800.06946000000005</v>
      </c>
      <c r="D111" s="55">
        <v>800069.46</v>
      </c>
      <c r="E111" s="28">
        <v>33019</v>
      </c>
      <c r="F111" s="36">
        <v>4116</v>
      </c>
      <c r="G111" s="45"/>
      <c r="I111" s="390"/>
      <c r="J111" s="387"/>
      <c r="K111" s="391"/>
    </row>
    <row r="112" spans="1:11" x14ac:dyDescent="0.25">
      <c r="A112" s="43">
        <v>42198</v>
      </c>
      <c r="B112" s="276" t="s">
        <v>275</v>
      </c>
      <c r="C112" s="52">
        <f>841.97005+148.58295</f>
        <v>990.553</v>
      </c>
      <c r="D112" s="55">
        <f>841970.05+148582.95</f>
        <v>990553</v>
      </c>
      <c r="E112" s="28">
        <v>33058</v>
      </c>
      <c r="F112" s="36">
        <v>4116</v>
      </c>
      <c r="G112" s="45"/>
      <c r="I112" s="390"/>
      <c r="J112" s="387"/>
      <c r="K112" s="391"/>
    </row>
    <row r="113" spans="1:11" x14ac:dyDescent="0.25">
      <c r="A113" s="43">
        <v>42198</v>
      </c>
      <c r="B113" s="276" t="s">
        <v>276</v>
      </c>
      <c r="C113" s="52">
        <f>846.78615+149.43285</f>
        <v>996.21900000000005</v>
      </c>
      <c r="D113" s="55">
        <f>846786.15+149432.85</f>
        <v>996219</v>
      </c>
      <c r="E113" s="28">
        <v>33058</v>
      </c>
      <c r="F113" s="36">
        <v>4116</v>
      </c>
      <c r="G113" s="45"/>
      <c r="I113" s="390"/>
      <c r="J113" s="387"/>
      <c r="K113" s="391"/>
    </row>
    <row r="114" spans="1:11" x14ac:dyDescent="0.25">
      <c r="A114" s="43">
        <v>42198</v>
      </c>
      <c r="B114" s="276" t="s">
        <v>277</v>
      </c>
      <c r="C114" s="52">
        <f>689.90845+121.74855</f>
        <v>811.65700000000004</v>
      </c>
      <c r="D114" s="55">
        <f>689908.45+121748.55</f>
        <v>811657</v>
      </c>
      <c r="E114" s="28">
        <v>33058</v>
      </c>
      <c r="F114" s="36">
        <v>4116</v>
      </c>
      <c r="G114" s="45"/>
      <c r="I114" s="390"/>
      <c r="J114" s="387"/>
      <c r="K114" s="391"/>
    </row>
    <row r="115" spans="1:11" x14ac:dyDescent="0.25">
      <c r="A115" s="43">
        <v>42200</v>
      </c>
      <c r="B115" s="276" t="s">
        <v>296</v>
      </c>
      <c r="C115" s="52">
        <v>978.06399999999996</v>
      </c>
      <c r="D115" s="55">
        <v>978064</v>
      </c>
      <c r="E115" s="28">
        <v>33058</v>
      </c>
      <c r="F115" s="36">
        <v>4116</v>
      </c>
      <c r="G115" s="45"/>
      <c r="I115" s="390"/>
      <c r="J115" s="387"/>
      <c r="K115" s="391"/>
    </row>
    <row r="116" spans="1:11" x14ac:dyDescent="0.25">
      <c r="A116" s="43">
        <v>42200</v>
      </c>
      <c r="B116" s="276" t="s">
        <v>297</v>
      </c>
      <c r="C116" s="52">
        <v>914.54499999999996</v>
      </c>
      <c r="D116" s="55">
        <v>914545</v>
      </c>
      <c r="E116" s="28">
        <v>33058</v>
      </c>
      <c r="F116" s="36">
        <v>4116</v>
      </c>
      <c r="G116" s="45"/>
      <c r="I116" s="390"/>
      <c r="J116" s="387"/>
      <c r="K116" s="391"/>
    </row>
    <row r="117" spans="1:11" x14ac:dyDescent="0.25">
      <c r="A117" s="43">
        <v>42200</v>
      </c>
      <c r="B117" s="276" t="s">
        <v>298</v>
      </c>
      <c r="C117" s="52">
        <v>797.56700000000001</v>
      </c>
      <c r="D117" s="55">
        <v>797567</v>
      </c>
      <c r="E117" s="28">
        <v>33058</v>
      </c>
      <c r="F117" s="36">
        <v>4116</v>
      </c>
      <c r="G117" s="45"/>
      <c r="I117" s="390"/>
      <c r="J117" s="387"/>
      <c r="K117" s="391"/>
    </row>
    <row r="118" spans="1:11" x14ac:dyDescent="0.25">
      <c r="A118" s="43">
        <v>42200</v>
      </c>
      <c r="B118" s="276" t="s">
        <v>299</v>
      </c>
      <c r="C118" s="52">
        <v>991.53399999999999</v>
      </c>
      <c r="D118" s="55">
        <v>991534</v>
      </c>
      <c r="E118" s="28">
        <v>33058</v>
      </c>
      <c r="F118" s="36">
        <v>4116</v>
      </c>
      <c r="G118" s="45"/>
      <c r="I118" s="390"/>
      <c r="J118" s="387"/>
      <c r="K118" s="391"/>
    </row>
    <row r="119" spans="1:11" x14ac:dyDescent="0.25">
      <c r="A119" s="43">
        <v>42200</v>
      </c>
      <c r="B119" s="276" t="s">
        <v>300</v>
      </c>
      <c r="C119" s="52">
        <v>959.90899999999999</v>
      </c>
      <c r="D119" s="55">
        <v>959909</v>
      </c>
      <c r="E119" s="28">
        <v>33058</v>
      </c>
      <c r="F119" s="36">
        <v>4116</v>
      </c>
      <c r="G119" s="45"/>
      <c r="I119" s="390"/>
      <c r="J119" s="387"/>
      <c r="K119" s="391"/>
    </row>
    <row r="120" spans="1:11" x14ac:dyDescent="0.25">
      <c r="A120" s="43">
        <v>42206</v>
      </c>
      <c r="B120" s="276" t="s">
        <v>314</v>
      </c>
      <c r="C120" s="52">
        <v>415.29</v>
      </c>
      <c r="D120" s="55">
        <v>415290</v>
      </c>
      <c r="E120" s="28">
        <v>33058</v>
      </c>
      <c r="F120" s="36">
        <v>4116</v>
      </c>
      <c r="G120" s="45"/>
      <c r="I120" s="390"/>
      <c r="J120" s="387"/>
      <c r="K120" s="391"/>
    </row>
    <row r="121" spans="1:11" x14ac:dyDescent="0.25">
      <c r="A121" s="43">
        <v>42206</v>
      </c>
      <c r="B121" s="276" t="s">
        <v>315</v>
      </c>
      <c r="C121" s="52">
        <v>578.94200000000001</v>
      </c>
      <c r="D121" s="55">
        <v>578942</v>
      </c>
      <c r="E121" s="28">
        <v>33058</v>
      </c>
      <c r="F121" s="36">
        <v>4116</v>
      </c>
      <c r="G121" s="45"/>
      <c r="I121" s="390"/>
      <c r="J121" s="387"/>
      <c r="K121" s="391"/>
    </row>
    <row r="122" spans="1:11" x14ac:dyDescent="0.25">
      <c r="A122" s="43">
        <v>42206</v>
      </c>
      <c r="B122" s="276" t="s">
        <v>316</v>
      </c>
      <c r="C122" s="52">
        <v>528.80200000000002</v>
      </c>
      <c r="D122" s="55">
        <v>528802</v>
      </c>
      <c r="E122" s="28">
        <v>33058</v>
      </c>
      <c r="F122" s="36">
        <v>4116</v>
      </c>
      <c r="G122" s="45"/>
      <c r="I122" s="390"/>
      <c r="J122" s="387"/>
      <c r="K122" s="391"/>
    </row>
    <row r="123" spans="1:11" x14ac:dyDescent="0.25">
      <c r="A123" s="43">
        <v>42206</v>
      </c>
      <c r="B123" s="276" t="s">
        <v>317</v>
      </c>
      <c r="C123" s="52">
        <v>672.51599999999996</v>
      </c>
      <c r="D123" s="55">
        <v>672516</v>
      </c>
      <c r="E123" s="28">
        <v>33058</v>
      </c>
      <c r="F123" s="36">
        <v>4116</v>
      </c>
      <c r="G123" s="45"/>
      <c r="I123" s="390"/>
      <c r="J123" s="387"/>
      <c r="K123" s="391"/>
    </row>
    <row r="124" spans="1:11" x14ac:dyDescent="0.25">
      <c r="A124" s="43">
        <v>42206</v>
      </c>
      <c r="B124" s="276" t="s">
        <v>318</v>
      </c>
      <c r="C124" s="52">
        <v>424.34399999999999</v>
      </c>
      <c r="D124" s="55">
        <v>424344</v>
      </c>
      <c r="E124" s="28">
        <v>33058</v>
      </c>
      <c r="F124" s="36">
        <v>4116</v>
      </c>
      <c r="G124" s="45"/>
      <c r="I124" s="390"/>
      <c r="J124" s="387"/>
      <c r="K124" s="391"/>
    </row>
    <row r="125" spans="1:11" x14ac:dyDescent="0.25">
      <c r="A125" s="43">
        <v>42206</v>
      </c>
      <c r="B125" s="276" t="s">
        <v>319</v>
      </c>
      <c r="C125" s="46">
        <v>315.46100000000001</v>
      </c>
      <c r="D125" s="55">
        <v>315461</v>
      </c>
      <c r="E125" s="28">
        <v>33058</v>
      </c>
      <c r="F125" s="36">
        <v>4116</v>
      </c>
      <c r="G125" s="45"/>
      <c r="I125" s="390"/>
      <c r="J125" s="387"/>
      <c r="K125" s="391"/>
    </row>
    <row r="126" spans="1:11" x14ac:dyDescent="0.25">
      <c r="A126" s="43">
        <v>42206</v>
      </c>
      <c r="B126" s="276" t="s">
        <v>320</v>
      </c>
      <c r="C126" s="46">
        <v>537.85599999999999</v>
      </c>
      <c r="D126" s="55">
        <v>537856</v>
      </c>
      <c r="E126" s="28">
        <v>33058</v>
      </c>
      <c r="F126" s="36">
        <v>4116</v>
      </c>
      <c r="G126" s="45"/>
      <c r="I126" s="390"/>
      <c r="J126" s="387"/>
      <c r="K126" s="391"/>
    </row>
    <row r="127" spans="1:11" x14ac:dyDescent="0.25">
      <c r="A127" s="43">
        <v>42206</v>
      </c>
      <c r="B127" s="276" t="s">
        <v>321</v>
      </c>
      <c r="C127" s="46">
        <v>980.19799999999998</v>
      </c>
      <c r="D127" s="55">
        <v>980198</v>
      </c>
      <c r="E127" s="28">
        <v>33058</v>
      </c>
      <c r="F127" s="36">
        <v>4116</v>
      </c>
      <c r="G127" s="45"/>
      <c r="I127" s="390"/>
      <c r="J127" s="387"/>
      <c r="K127" s="391"/>
    </row>
    <row r="128" spans="1:11" x14ac:dyDescent="0.25">
      <c r="A128" s="43">
        <v>42209</v>
      </c>
      <c r="B128" s="276" t="s">
        <v>323</v>
      </c>
      <c r="C128" s="46">
        <v>715.23800000000006</v>
      </c>
      <c r="D128" s="55">
        <v>715238</v>
      </c>
      <c r="E128" s="28">
        <v>33058</v>
      </c>
      <c r="F128" s="36">
        <v>4116</v>
      </c>
      <c r="G128" s="45"/>
      <c r="I128" s="390"/>
      <c r="J128" s="387"/>
      <c r="K128" s="391"/>
    </row>
    <row r="129" spans="1:11" x14ac:dyDescent="0.25">
      <c r="A129" s="43">
        <v>42209</v>
      </c>
      <c r="B129" s="276" t="s">
        <v>324</v>
      </c>
      <c r="C129" s="46">
        <v>692.15</v>
      </c>
      <c r="D129" s="55">
        <v>692150</v>
      </c>
      <c r="E129" s="28">
        <v>33058</v>
      </c>
      <c r="F129" s="36">
        <v>4116</v>
      </c>
      <c r="G129" s="45"/>
      <c r="I129" s="390"/>
      <c r="J129" s="387"/>
      <c r="K129" s="391"/>
    </row>
    <row r="130" spans="1:11" x14ac:dyDescent="0.25">
      <c r="A130" s="43">
        <v>42209</v>
      </c>
      <c r="B130" s="276" t="s">
        <v>325</v>
      </c>
      <c r="C130" s="46">
        <v>903.15300000000002</v>
      </c>
      <c r="D130" s="55">
        <v>903153</v>
      </c>
      <c r="E130" s="28">
        <v>33058</v>
      </c>
      <c r="F130" s="36">
        <v>4116</v>
      </c>
      <c r="G130" s="45"/>
      <c r="I130" s="390"/>
      <c r="J130" s="387"/>
      <c r="K130" s="391"/>
    </row>
    <row r="131" spans="1:11" x14ac:dyDescent="0.25">
      <c r="A131" s="43">
        <v>42209</v>
      </c>
      <c r="B131" s="276" t="s">
        <v>326</v>
      </c>
      <c r="C131" s="46">
        <v>328.98700000000002</v>
      </c>
      <c r="D131" s="55">
        <v>328987</v>
      </c>
      <c r="E131" s="28">
        <v>33058</v>
      </c>
      <c r="F131" s="36">
        <v>4116</v>
      </c>
      <c r="G131" s="45"/>
      <c r="I131" s="390"/>
      <c r="J131" s="387"/>
      <c r="K131" s="391"/>
    </row>
    <row r="132" spans="1:11" x14ac:dyDescent="0.25">
      <c r="A132" s="43">
        <v>42209</v>
      </c>
      <c r="B132" s="276" t="s">
        <v>327</v>
      </c>
      <c r="C132" s="46">
        <v>989.45600000000002</v>
      </c>
      <c r="D132" s="55">
        <v>989456</v>
      </c>
      <c r="E132" s="28">
        <v>33058</v>
      </c>
      <c r="F132" s="36">
        <v>4116</v>
      </c>
      <c r="G132" s="45"/>
      <c r="I132" s="390"/>
      <c r="J132" s="387"/>
      <c r="K132" s="391"/>
    </row>
    <row r="133" spans="1:11" x14ac:dyDescent="0.25">
      <c r="A133" s="43">
        <v>42209</v>
      </c>
      <c r="B133" s="276" t="s">
        <v>328</v>
      </c>
      <c r="C133" s="46">
        <v>990.11099999999999</v>
      </c>
      <c r="D133" s="55">
        <v>990111</v>
      </c>
      <c r="E133" s="28">
        <v>33058</v>
      </c>
      <c r="F133" s="36">
        <v>4116</v>
      </c>
      <c r="G133" s="45"/>
      <c r="I133" s="390"/>
      <c r="J133" s="387"/>
      <c r="K133" s="391"/>
    </row>
    <row r="134" spans="1:11" x14ac:dyDescent="0.25">
      <c r="A134" s="43">
        <v>42214</v>
      </c>
      <c r="B134" s="276" t="s">
        <v>335</v>
      </c>
      <c r="C134" s="46">
        <v>973.43499999999995</v>
      </c>
      <c r="D134" s="55">
        <f>827419.75+146015.25</f>
        <v>973435</v>
      </c>
      <c r="E134" s="28">
        <v>33058</v>
      </c>
      <c r="F134" s="29">
        <v>4116</v>
      </c>
      <c r="G134" s="45"/>
      <c r="I134" s="390"/>
      <c r="J134" s="387"/>
      <c r="K134" s="391"/>
    </row>
    <row r="135" spans="1:11" ht="14.45" customHeight="1" x14ac:dyDescent="0.25">
      <c r="A135" s="43">
        <v>42214</v>
      </c>
      <c r="B135" s="276" t="s">
        <v>336</v>
      </c>
      <c r="C135" s="46">
        <v>600.303</v>
      </c>
      <c r="D135" s="55">
        <f>510257.55+90045.45</f>
        <v>600303</v>
      </c>
      <c r="E135" s="28">
        <v>33058</v>
      </c>
      <c r="F135" s="29">
        <v>4116</v>
      </c>
      <c r="G135" s="45"/>
      <c r="I135" s="390"/>
      <c r="J135" s="387"/>
      <c r="K135" s="391"/>
    </row>
    <row r="136" spans="1:11" x14ac:dyDescent="0.25">
      <c r="A136" s="43">
        <v>42214</v>
      </c>
      <c r="B136" s="276" t="s">
        <v>337</v>
      </c>
      <c r="C136" s="46">
        <v>87.683000000000007</v>
      </c>
      <c r="D136" s="55">
        <v>87683</v>
      </c>
      <c r="E136" s="28">
        <v>33060</v>
      </c>
      <c r="F136" s="29">
        <v>4116</v>
      </c>
      <c r="G136" s="45"/>
      <c r="I136" s="390"/>
      <c r="J136" s="387"/>
      <c r="K136" s="391"/>
    </row>
    <row r="137" spans="1:11" x14ac:dyDescent="0.25">
      <c r="A137" s="43">
        <v>42214</v>
      </c>
      <c r="B137" s="276" t="s">
        <v>338</v>
      </c>
      <c r="C137" s="46">
        <v>40</v>
      </c>
      <c r="D137" s="55">
        <v>40000</v>
      </c>
      <c r="E137" s="28">
        <v>33060</v>
      </c>
      <c r="F137" s="29">
        <v>4116</v>
      </c>
      <c r="G137" s="45"/>
      <c r="I137" s="390"/>
      <c r="J137" s="387"/>
      <c r="K137" s="391"/>
    </row>
    <row r="138" spans="1:11" x14ac:dyDescent="0.25">
      <c r="A138" s="43">
        <v>42214</v>
      </c>
      <c r="B138" s="276" t="s">
        <v>339</v>
      </c>
      <c r="C138" s="46">
        <v>100.455</v>
      </c>
      <c r="D138" s="55">
        <v>100455</v>
      </c>
      <c r="E138" s="28">
        <v>33060</v>
      </c>
      <c r="F138" s="29">
        <v>4116</v>
      </c>
      <c r="G138" s="45"/>
      <c r="I138" s="390"/>
      <c r="J138" s="387"/>
      <c r="K138" s="391"/>
    </row>
    <row r="139" spans="1:11" x14ac:dyDescent="0.25">
      <c r="A139" s="43">
        <v>42222</v>
      </c>
      <c r="B139" s="276" t="s">
        <v>361</v>
      </c>
      <c r="C139" s="20">
        <v>568.97299999999996</v>
      </c>
      <c r="D139" s="55">
        <v>568973</v>
      </c>
      <c r="E139" s="28">
        <v>33058</v>
      </c>
      <c r="F139" s="29">
        <v>4116</v>
      </c>
      <c r="G139" s="45"/>
      <c r="I139" s="390"/>
      <c r="J139" s="387"/>
      <c r="K139" s="391"/>
    </row>
    <row r="140" spans="1:11" x14ac:dyDescent="0.25">
      <c r="A140" s="43">
        <v>42227</v>
      </c>
      <c r="B140" s="276" t="s">
        <v>362</v>
      </c>
      <c r="C140" s="20">
        <v>417.58100000000002</v>
      </c>
      <c r="D140" s="55">
        <v>417581</v>
      </c>
      <c r="E140" s="28">
        <v>33058</v>
      </c>
      <c r="F140" s="29">
        <v>4116</v>
      </c>
      <c r="G140" s="45"/>
      <c r="I140" s="390"/>
      <c r="J140" s="387"/>
      <c r="K140" s="391"/>
    </row>
    <row r="141" spans="1:11" x14ac:dyDescent="0.25">
      <c r="A141" s="43">
        <v>42227</v>
      </c>
      <c r="B141" s="276" t="s">
        <v>363</v>
      </c>
      <c r="C141" s="20">
        <v>707.96699999999998</v>
      </c>
      <c r="D141" s="55">
        <v>707967</v>
      </c>
      <c r="E141" s="28">
        <v>33058</v>
      </c>
      <c r="F141" s="29">
        <v>4116</v>
      </c>
      <c r="G141" s="45"/>
      <c r="I141" s="390"/>
      <c r="J141" s="387"/>
      <c r="K141" s="391"/>
    </row>
    <row r="142" spans="1:11" x14ac:dyDescent="0.25">
      <c r="A142" s="43">
        <v>42227</v>
      </c>
      <c r="B142" s="276" t="s">
        <v>364</v>
      </c>
      <c r="C142" s="20">
        <v>542.32799999999997</v>
      </c>
      <c r="D142" s="55">
        <v>542328</v>
      </c>
      <c r="E142" s="28">
        <v>33058</v>
      </c>
      <c r="F142" s="29">
        <v>4116</v>
      </c>
      <c r="G142" s="45"/>
      <c r="I142" s="390"/>
      <c r="J142" s="387"/>
      <c r="K142" s="391"/>
    </row>
    <row r="143" spans="1:11" x14ac:dyDescent="0.25">
      <c r="A143" s="43">
        <v>42227</v>
      </c>
      <c r="B143" s="276" t="s">
        <v>365</v>
      </c>
      <c r="C143" s="20">
        <v>605.84699999999998</v>
      </c>
      <c r="D143" s="55">
        <v>605847</v>
      </c>
      <c r="E143" s="28">
        <v>33058</v>
      </c>
      <c r="F143" s="29">
        <v>4116</v>
      </c>
      <c r="G143" s="45"/>
      <c r="I143" s="390"/>
      <c r="J143" s="387"/>
      <c r="K143" s="391"/>
    </row>
    <row r="144" spans="1:11" x14ac:dyDescent="0.25">
      <c r="A144" s="43">
        <v>42227</v>
      </c>
      <c r="B144" s="276" t="s">
        <v>366</v>
      </c>
      <c r="C144" s="20">
        <v>914.54499999999996</v>
      </c>
      <c r="D144" s="55">
        <v>914545</v>
      </c>
      <c r="E144" s="28">
        <v>33058</v>
      </c>
      <c r="F144" s="29">
        <v>4116</v>
      </c>
      <c r="G144" s="45"/>
      <c r="I144" s="390"/>
      <c r="J144" s="387"/>
      <c r="K144" s="391"/>
    </row>
    <row r="145" spans="1:11" x14ac:dyDescent="0.25">
      <c r="A145" s="43">
        <v>42229</v>
      </c>
      <c r="B145" s="276" t="s">
        <v>369</v>
      </c>
      <c r="C145" s="20">
        <v>614.12400000000002</v>
      </c>
      <c r="D145" s="55">
        <v>614124</v>
      </c>
      <c r="E145" s="28">
        <v>33058</v>
      </c>
      <c r="F145" s="29">
        <v>4116</v>
      </c>
      <c r="G145" s="45"/>
      <c r="I145" s="390"/>
      <c r="J145" s="387"/>
      <c r="K145" s="391"/>
    </row>
    <row r="146" spans="1:11" x14ac:dyDescent="0.25">
      <c r="A146" s="43">
        <v>42229</v>
      </c>
      <c r="B146" s="276" t="s">
        <v>370</v>
      </c>
      <c r="C146" s="20">
        <v>492.49200000000002</v>
      </c>
      <c r="D146" s="55">
        <v>492492</v>
      </c>
      <c r="E146" s="28">
        <v>33058</v>
      </c>
      <c r="F146" s="29">
        <v>4116</v>
      </c>
      <c r="G146" s="45"/>
      <c r="I146" s="390"/>
      <c r="J146" s="387"/>
      <c r="K146" s="391"/>
    </row>
    <row r="147" spans="1:11" x14ac:dyDescent="0.25">
      <c r="A147" s="43">
        <v>42233</v>
      </c>
      <c r="B147" s="276" t="s">
        <v>371</v>
      </c>
      <c r="C147" s="20">
        <v>378.98</v>
      </c>
      <c r="D147" s="55">
        <v>378980</v>
      </c>
      <c r="E147" s="28">
        <v>33058</v>
      </c>
      <c r="F147" s="29">
        <v>4116</v>
      </c>
      <c r="G147" s="45"/>
      <c r="I147" s="390"/>
      <c r="J147" s="387"/>
      <c r="K147" s="391"/>
    </row>
    <row r="148" spans="1:11" x14ac:dyDescent="0.25">
      <c r="A148" s="43">
        <v>42233</v>
      </c>
      <c r="B148" s="276" t="s">
        <v>372</v>
      </c>
      <c r="C148" s="20">
        <v>785.52</v>
      </c>
      <c r="D148" s="55">
        <v>785520</v>
      </c>
      <c r="E148" s="28">
        <v>33058</v>
      </c>
      <c r="F148" s="29">
        <v>4116</v>
      </c>
      <c r="G148" s="45"/>
      <c r="I148" s="390"/>
      <c r="J148" s="387"/>
      <c r="K148" s="391"/>
    </row>
    <row r="149" spans="1:11" x14ac:dyDescent="0.25">
      <c r="A149" s="43">
        <v>42233</v>
      </c>
      <c r="B149" s="276" t="s">
        <v>373</v>
      </c>
      <c r="C149" s="20">
        <v>447.12799999999999</v>
      </c>
      <c r="D149" s="55">
        <v>447128</v>
      </c>
      <c r="E149" s="28">
        <v>33058</v>
      </c>
      <c r="F149" s="29">
        <v>4116</v>
      </c>
      <c r="G149" s="45"/>
      <c r="I149" s="390"/>
      <c r="J149" s="387"/>
      <c r="K149" s="391"/>
    </row>
    <row r="150" spans="1:11" x14ac:dyDescent="0.25">
      <c r="A150" s="43">
        <v>42233</v>
      </c>
      <c r="B150" s="276" t="s">
        <v>374</v>
      </c>
      <c r="C150" s="20">
        <v>692.15</v>
      </c>
      <c r="D150" s="55">
        <v>692150</v>
      </c>
      <c r="E150" s="28">
        <v>33058</v>
      </c>
      <c r="F150" s="29">
        <v>4116</v>
      </c>
      <c r="G150" s="45"/>
      <c r="I150" s="390"/>
      <c r="J150" s="387"/>
      <c r="K150" s="391"/>
    </row>
    <row r="151" spans="1:11" x14ac:dyDescent="0.25">
      <c r="A151" s="43">
        <v>42236</v>
      </c>
      <c r="B151" s="276" t="s">
        <v>375</v>
      </c>
      <c r="C151" s="20">
        <v>479.97199999999998</v>
      </c>
      <c r="D151" s="55">
        <v>479972</v>
      </c>
      <c r="E151" s="28">
        <v>33058</v>
      </c>
      <c r="F151" s="29">
        <v>4116</v>
      </c>
      <c r="G151" s="45"/>
      <c r="I151" s="390"/>
      <c r="J151" s="387"/>
      <c r="K151" s="391"/>
    </row>
    <row r="152" spans="1:11" x14ac:dyDescent="0.25">
      <c r="A152" s="43">
        <v>42236</v>
      </c>
      <c r="B152" s="276" t="s">
        <v>376</v>
      </c>
      <c r="C152" s="20">
        <v>964.17700000000002</v>
      </c>
      <c r="D152" s="55">
        <v>964177</v>
      </c>
      <c r="E152" s="28">
        <v>33058</v>
      </c>
      <c r="F152" s="29">
        <v>4116</v>
      </c>
      <c r="G152" s="45"/>
      <c r="I152" s="390"/>
      <c r="J152" s="387"/>
      <c r="K152" s="391"/>
    </row>
    <row r="153" spans="1:11" x14ac:dyDescent="0.25">
      <c r="A153" s="43">
        <v>42236</v>
      </c>
      <c r="B153" s="276" t="s">
        <v>377</v>
      </c>
      <c r="C153" s="20">
        <v>736.59900000000005</v>
      </c>
      <c r="D153" s="55">
        <v>736599</v>
      </c>
      <c r="E153" s="28">
        <v>33058</v>
      </c>
      <c r="F153" s="29">
        <v>4116</v>
      </c>
      <c r="G153" s="45"/>
      <c r="I153" s="390"/>
      <c r="J153" s="387"/>
      <c r="K153" s="391"/>
    </row>
    <row r="154" spans="1:11" x14ac:dyDescent="0.25">
      <c r="A154" s="43">
        <v>42236</v>
      </c>
      <c r="B154" s="276" t="s">
        <v>378</v>
      </c>
      <c r="C154" s="20">
        <v>501.89699999999999</v>
      </c>
      <c r="D154" s="55">
        <v>501897</v>
      </c>
      <c r="E154" s="28">
        <v>33058</v>
      </c>
      <c r="F154" s="29">
        <v>4116</v>
      </c>
      <c r="G154" s="45"/>
      <c r="I154" s="390"/>
      <c r="J154" s="387"/>
      <c r="K154" s="391"/>
    </row>
    <row r="155" spans="1:11" x14ac:dyDescent="0.25">
      <c r="A155" s="43">
        <v>42240</v>
      </c>
      <c r="B155" s="276" t="s">
        <v>400</v>
      </c>
      <c r="C155" s="20">
        <v>390.37200000000001</v>
      </c>
      <c r="D155" s="55">
        <v>390372</v>
      </c>
      <c r="E155" s="28">
        <v>33058</v>
      </c>
      <c r="F155" s="29">
        <v>4116</v>
      </c>
      <c r="G155" s="45"/>
      <c r="I155" s="390"/>
      <c r="J155" s="387"/>
      <c r="K155" s="391"/>
    </row>
    <row r="156" spans="1:11" x14ac:dyDescent="0.25">
      <c r="A156" s="43">
        <v>42240</v>
      </c>
      <c r="B156" s="276" t="s">
        <v>384</v>
      </c>
      <c r="C156" s="20">
        <v>227.024</v>
      </c>
      <c r="D156" s="55">
        <v>227024</v>
      </c>
      <c r="E156" s="28">
        <v>33058</v>
      </c>
      <c r="F156" s="29">
        <v>4116</v>
      </c>
      <c r="G156" s="45"/>
      <c r="I156" s="390"/>
      <c r="J156" s="387"/>
      <c r="K156" s="391"/>
    </row>
    <row r="157" spans="1:11" x14ac:dyDescent="0.25">
      <c r="A157" s="43">
        <v>42240</v>
      </c>
      <c r="B157" s="276" t="s">
        <v>385</v>
      </c>
      <c r="C157" s="20">
        <v>649.077</v>
      </c>
      <c r="D157" s="55">
        <v>649077</v>
      </c>
      <c r="E157" s="28">
        <v>33058</v>
      </c>
      <c r="F157" s="29">
        <v>4116</v>
      </c>
      <c r="G157" s="45"/>
      <c r="I157" s="390"/>
      <c r="J157" s="387"/>
      <c r="K157" s="391"/>
    </row>
    <row r="158" spans="1:11" x14ac:dyDescent="0.25">
      <c r="A158" s="43">
        <v>42240</v>
      </c>
      <c r="B158" s="276" t="s">
        <v>386</v>
      </c>
      <c r="C158" s="20">
        <v>982.69299999999998</v>
      </c>
      <c r="D158" s="55">
        <v>982693</v>
      </c>
      <c r="E158" s="28">
        <v>33058</v>
      </c>
      <c r="F158" s="29">
        <v>4116</v>
      </c>
      <c r="G158" s="45"/>
      <c r="I158" s="390"/>
      <c r="J158" s="387"/>
      <c r="K158" s="391"/>
    </row>
    <row r="159" spans="1:11" x14ac:dyDescent="0.25">
      <c r="A159" s="43">
        <v>42240</v>
      </c>
      <c r="B159" s="276" t="s">
        <v>387</v>
      </c>
      <c r="C159" s="20">
        <v>481.1</v>
      </c>
      <c r="D159" s="55">
        <v>481100</v>
      </c>
      <c r="E159" s="28">
        <v>33058</v>
      </c>
      <c r="F159" s="29">
        <v>4116</v>
      </c>
      <c r="G159" s="45"/>
      <c r="I159" s="390"/>
      <c r="J159" s="387"/>
      <c r="K159" s="391"/>
    </row>
    <row r="160" spans="1:11" x14ac:dyDescent="0.25">
      <c r="A160" s="43">
        <v>42240</v>
      </c>
      <c r="B160" s="276" t="s">
        <v>388</v>
      </c>
      <c r="C160" s="20">
        <v>979.07</v>
      </c>
      <c r="D160" s="55">
        <v>979070</v>
      </c>
      <c r="E160" s="28">
        <v>33058</v>
      </c>
      <c r="F160" s="29">
        <v>4116</v>
      </c>
      <c r="G160" s="45"/>
      <c r="I160" s="390"/>
      <c r="J160" s="387"/>
      <c r="K160" s="391"/>
    </row>
    <row r="161" spans="1:11" x14ac:dyDescent="0.25">
      <c r="A161" s="43">
        <v>42240</v>
      </c>
      <c r="B161" s="276" t="s">
        <v>389</v>
      </c>
      <c r="C161" s="20">
        <v>354.06200000000001</v>
      </c>
      <c r="D161" s="55">
        <v>354062</v>
      </c>
      <c r="E161" s="28">
        <v>33058</v>
      </c>
      <c r="F161" s="29">
        <v>4116</v>
      </c>
      <c r="G161" s="45"/>
      <c r="I161" s="390"/>
      <c r="J161" s="387"/>
      <c r="K161" s="391"/>
    </row>
    <row r="162" spans="1:11" x14ac:dyDescent="0.25">
      <c r="A162" s="43">
        <v>42240</v>
      </c>
      <c r="B162" s="276" t="s">
        <v>390</v>
      </c>
      <c r="C162" s="20">
        <v>227.024</v>
      </c>
      <c r="D162" s="55">
        <v>227024</v>
      </c>
      <c r="E162" s="28">
        <v>33058</v>
      </c>
      <c r="F162" s="29">
        <v>4116</v>
      </c>
      <c r="G162" s="45"/>
      <c r="I162" s="390"/>
      <c r="J162" s="387"/>
      <c r="K162" s="391"/>
    </row>
    <row r="163" spans="1:11" x14ac:dyDescent="0.25">
      <c r="A163" s="43">
        <v>42240</v>
      </c>
      <c r="B163" s="276" t="s">
        <v>391</v>
      </c>
      <c r="C163" s="20">
        <v>998.44399999999996</v>
      </c>
      <c r="D163" s="55">
        <v>998444</v>
      </c>
      <c r="E163" s="28">
        <v>33058</v>
      </c>
      <c r="F163" s="29">
        <v>4116</v>
      </c>
      <c r="G163" s="45"/>
      <c r="I163" s="390"/>
      <c r="J163" s="387"/>
      <c r="K163" s="391"/>
    </row>
    <row r="164" spans="1:11" x14ac:dyDescent="0.25">
      <c r="A164" s="43">
        <v>42240</v>
      </c>
      <c r="B164" s="276" t="s">
        <v>540</v>
      </c>
      <c r="C164" s="20">
        <v>265.46800000000002</v>
      </c>
      <c r="D164" s="55">
        <v>265468</v>
      </c>
      <c r="E164" s="28">
        <v>33058</v>
      </c>
      <c r="F164" s="29">
        <v>4116</v>
      </c>
      <c r="G164" s="45"/>
      <c r="H164" s="384"/>
      <c r="I164" s="390"/>
      <c r="J164" s="387"/>
      <c r="K164" s="391"/>
    </row>
    <row r="165" spans="1:11" x14ac:dyDescent="0.25">
      <c r="A165" s="43">
        <v>42242</v>
      </c>
      <c r="B165" s="276" t="s">
        <v>148</v>
      </c>
      <c r="C165" s="20">
        <v>2092.5357399999998</v>
      </c>
      <c r="D165" s="53">
        <v>2092535.74</v>
      </c>
      <c r="E165" s="28">
        <v>33019</v>
      </c>
      <c r="F165" s="29">
        <v>4116</v>
      </c>
      <c r="G165" s="45"/>
      <c r="I165" s="390"/>
      <c r="J165" s="387"/>
      <c r="K165" s="391"/>
    </row>
    <row r="166" spans="1:11" x14ac:dyDescent="0.25">
      <c r="A166" s="43">
        <v>42299</v>
      </c>
      <c r="B166" s="276" t="s">
        <v>544</v>
      </c>
      <c r="C166" s="20">
        <f>+D166/1000</f>
        <v>204.11199999999999</v>
      </c>
      <c r="D166" s="53">
        <v>204112</v>
      </c>
      <c r="E166" s="28">
        <v>33058</v>
      </c>
      <c r="F166" s="29">
        <v>4116</v>
      </c>
      <c r="G166" s="45"/>
      <c r="I166" s="390"/>
      <c r="J166" s="387"/>
      <c r="K166" s="391"/>
    </row>
    <row r="167" spans="1:11" x14ac:dyDescent="0.25">
      <c r="A167" s="43">
        <v>42299</v>
      </c>
      <c r="B167" s="276" t="s">
        <v>545</v>
      </c>
      <c r="C167" s="20">
        <f t="shared" ref="C167:C199" si="1">+D167/1000</f>
        <v>570.93200000000002</v>
      </c>
      <c r="D167" s="53">
        <v>570932</v>
      </c>
      <c r="E167" s="28">
        <v>33058</v>
      </c>
      <c r="F167" s="29">
        <v>4116</v>
      </c>
      <c r="G167" s="45"/>
      <c r="I167" s="390"/>
      <c r="J167" s="387"/>
      <c r="K167" s="391"/>
    </row>
    <row r="168" spans="1:11" x14ac:dyDescent="0.25">
      <c r="A168" s="43">
        <v>42299</v>
      </c>
      <c r="B168" s="276" t="s">
        <v>546</v>
      </c>
      <c r="C168" s="20">
        <f t="shared" si="1"/>
        <v>204.11199999999999</v>
      </c>
      <c r="D168" s="53">
        <v>204112</v>
      </c>
      <c r="E168" s="28">
        <v>33058</v>
      </c>
      <c r="F168" s="29">
        <v>4116</v>
      </c>
      <c r="G168" s="45"/>
      <c r="I168" s="390"/>
      <c r="J168" s="387"/>
      <c r="K168" s="391"/>
    </row>
    <row r="169" spans="1:11" x14ac:dyDescent="0.25">
      <c r="A169" s="43">
        <v>42299</v>
      </c>
      <c r="B169" s="276" t="s">
        <v>547</v>
      </c>
      <c r="C169" s="20">
        <f t="shared" si="1"/>
        <v>204.11199999999999</v>
      </c>
      <c r="D169" s="53">
        <v>204112</v>
      </c>
      <c r="E169" s="28">
        <v>33058</v>
      </c>
      <c r="F169" s="29">
        <v>4116</v>
      </c>
      <c r="G169" s="45"/>
      <c r="I169" s="390"/>
      <c r="J169" s="387"/>
      <c r="K169" s="391"/>
    </row>
    <row r="170" spans="1:11" x14ac:dyDescent="0.25">
      <c r="A170" s="43">
        <v>42299</v>
      </c>
      <c r="B170" s="276" t="s">
        <v>548</v>
      </c>
      <c r="C170" s="20">
        <f t="shared" si="1"/>
        <v>529.08699999999999</v>
      </c>
      <c r="D170" s="53">
        <v>529087</v>
      </c>
      <c r="E170" s="28">
        <v>33058</v>
      </c>
      <c r="F170" s="29">
        <v>4116</v>
      </c>
      <c r="G170" s="45"/>
      <c r="I170" s="390"/>
      <c r="J170" s="387"/>
      <c r="K170" s="391"/>
    </row>
    <row r="171" spans="1:11" x14ac:dyDescent="0.25">
      <c r="A171" s="43">
        <v>42299</v>
      </c>
      <c r="B171" s="276" t="s">
        <v>549</v>
      </c>
      <c r="C171" s="20">
        <f t="shared" si="1"/>
        <v>225.61600000000001</v>
      </c>
      <c r="D171" s="53">
        <v>225616</v>
      </c>
      <c r="E171" s="28">
        <v>33058</v>
      </c>
      <c r="F171" s="29">
        <v>4116</v>
      </c>
      <c r="G171" s="45"/>
      <c r="I171" s="390"/>
      <c r="J171" s="387"/>
      <c r="K171" s="391"/>
    </row>
    <row r="172" spans="1:11" x14ac:dyDescent="0.25">
      <c r="A172" s="43">
        <v>42299</v>
      </c>
      <c r="B172" s="276" t="s">
        <v>550</v>
      </c>
      <c r="C172" s="20">
        <f t="shared" si="1"/>
        <v>204.11199999999999</v>
      </c>
      <c r="D172" s="53">
        <v>204112</v>
      </c>
      <c r="E172" s="28">
        <v>33058</v>
      </c>
      <c r="F172" s="29">
        <v>4116</v>
      </c>
      <c r="G172" s="45"/>
      <c r="I172" s="390"/>
      <c r="J172" s="387"/>
      <c r="K172" s="391"/>
    </row>
    <row r="173" spans="1:11" x14ac:dyDescent="0.25">
      <c r="A173" s="43">
        <v>42299</v>
      </c>
      <c r="B173" s="276" t="s">
        <v>551</v>
      </c>
      <c r="C173" s="20">
        <f t="shared" si="1"/>
        <v>616.33799999999997</v>
      </c>
      <c r="D173" s="53">
        <v>616338</v>
      </c>
      <c r="E173" s="28">
        <v>33058</v>
      </c>
      <c r="F173" s="29">
        <v>4116</v>
      </c>
      <c r="G173" s="45"/>
      <c r="I173" s="390"/>
      <c r="J173" s="387"/>
      <c r="K173" s="391"/>
    </row>
    <row r="174" spans="1:11" x14ac:dyDescent="0.25">
      <c r="A174" s="43">
        <v>42299</v>
      </c>
      <c r="B174" s="276" t="s">
        <v>552</v>
      </c>
      <c r="C174" s="20">
        <f t="shared" si="1"/>
        <v>220.85</v>
      </c>
      <c r="D174" s="53">
        <v>220850</v>
      </c>
      <c r="E174" s="28">
        <v>33058</v>
      </c>
      <c r="F174" s="29">
        <v>4116</v>
      </c>
      <c r="G174" s="45"/>
      <c r="I174" s="390"/>
      <c r="J174" s="387"/>
      <c r="K174" s="391"/>
    </row>
    <row r="175" spans="1:11" x14ac:dyDescent="0.25">
      <c r="A175" s="43">
        <v>42299</v>
      </c>
      <c r="B175" s="276" t="s">
        <v>553</v>
      </c>
      <c r="C175" s="20">
        <f t="shared" si="1"/>
        <v>229.21899999999999</v>
      </c>
      <c r="D175" s="53">
        <v>229219</v>
      </c>
      <c r="E175" s="28">
        <v>33058</v>
      </c>
      <c r="F175" s="29">
        <v>4116</v>
      </c>
      <c r="G175" s="45"/>
      <c r="I175" s="390"/>
      <c r="J175" s="387"/>
      <c r="K175" s="391"/>
    </row>
    <row r="176" spans="1:11" x14ac:dyDescent="0.25">
      <c r="A176" s="43">
        <v>42299</v>
      </c>
      <c r="B176" s="276" t="s">
        <v>554</v>
      </c>
      <c r="C176" s="20">
        <f t="shared" si="1"/>
        <v>204.11199999999999</v>
      </c>
      <c r="D176" s="53">
        <v>204112</v>
      </c>
      <c r="E176" s="28">
        <v>33058</v>
      </c>
      <c r="F176" s="29">
        <v>4116</v>
      </c>
      <c r="G176" s="45"/>
      <c r="I176" s="390"/>
      <c r="J176" s="387"/>
      <c r="K176" s="391"/>
    </row>
    <row r="177" spans="1:11" x14ac:dyDescent="0.25">
      <c r="A177" s="43">
        <v>42300</v>
      </c>
      <c r="B177" s="276" t="s">
        <v>555</v>
      </c>
      <c r="C177" s="20">
        <f t="shared" si="1"/>
        <v>229.21899999999999</v>
      </c>
      <c r="D177" s="53">
        <v>229219</v>
      </c>
      <c r="E177" s="28">
        <v>33058</v>
      </c>
      <c r="F177" s="29">
        <v>4116</v>
      </c>
      <c r="G177" s="45"/>
      <c r="I177" s="390"/>
      <c r="J177" s="387"/>
      <c r="K177" s="391"/>
    </row>
    <row r="178" spans="1:11" x14ac:dyDescent="0.25">
      <c r="A178" s="43">
        <v>42300</v>
      </c>
      <c r="B178" s="276" t="s">
        <v>556</v>
      </c>
      <c r="C178" s="20">
        <f t="shared" si="1"/>
        <v>392.95600000000002</v>
      </c>
      <c r="D178" s="53">
        <v>392956</v>
      </c>
      <c r="E178" s="28">
        <v>33058</v>
      </c>
      <c r="F178" s="29">
        <v>4116</v>
      </c>
      <c r="G178" s="45"/>
      <c r="I178" s="390"/>
      <c r="J178" s="387"/>
      <c r="K178" s="391"/>
    </row>
    <row r="179" spans="1:11" x14ac:dyDescent="0.25">
      <c r="A179" s="43">
        <v>42300</v>
      </c>
      <c r="B179" s="276" t="s">
        <v>557</v>
      </c>
      <c r="C179" s="20">
        <f t="shared" si="1"/>
        <v>220.85</v>
      </c>
      <c r="D179" s="53">
        <v>220850</v>
      </c>
      <c r="E179" s="28">
        <v>33058</v>
      </c>
      <c r="F179" s="29">
        <v>4116</v>
      </c>
      <c r="G179" s="45"/>
      <c r="I179" s="390"/>
      <c r="J179" s="387"/>
      <c r="K179" s="391"/>
    </row>
    <row r="180" spans="1:11" x14ac:dyDescent="0.25">
      <c r="A180" s="43">
        <v>42300</v>
      </c>
      <c r="B180" s="276" t="s">
        <v>558</v>
      </c>
      <c r="C180" s="20">
        <f t="shared" si="1"/>
        <v>353.69200000000001</v>
      </c>
      <c r="D180" s="53">
        <v>353692</v>
      </c>
      <c r="E180" s="28">
        <v>33058</v>
      </c>
      <c r="F180" s="29">
        <v>4116</v>
      </c>
      <c r="G180" s="45"/>
      <c r="I180" s="390"/>
      <c r="J180" s="387"/>
      <c r="K180" s="391"/>
    </row>
    <row r="181" spans="1:11" x14ac:dyDescent="0.25">
      <c r="A181" s="43">
        <v>42300</v>
      </c>
      <c r="B181" s="276" t="s">
        <v>559</v>
      </c>
      <c r="C181" s="20">
        <f t="shared" si="1"/>
        <v>112.80800000000001</v>
      </c>
      <c r="D181" s="53">
        <v>112808</v>
      </c>
      <c r="E181" s="28">
        <v>33058</v>
      </c>
      <c r="F181" s="29">
        <v>4116</v>
      </c>
      <c r="G181" s="45"/>
      <c r="I181" s="390"/>
      <c r="J181" s="387"/>
      <c r="K181" s="391"/>
    </row>
    <row r="182" spans="1:11" x14ac:dyDescent="0.25">
      <c r="A182" s="43">
        <v>42300</v>
      </c>
      <c r="B182" s="276" t="s">
        <v>560</v>
      </c>
      <c r="C182" s="20">
        <f t="shared" si="1"/>
        <v>220.85</v>
      </c>
      <c r="D182" s="53">
        <v>220850</v>
      </c>
      <c r="E182" s="28">
        <v>33058</v>
      </c>
      <c r="F182" s="29">
        <v>4116</v>
      </c>
      <c r="G182" s="45"/>
      <c r="I182" s="390"/>
      <c r="J182" s="387"/>
      <c r="K182" s="391"/>
    </row>
    <row r="183" spans="1:11" x14ac:dyDescent="0.25">
      <c r="A183" s="43">
        <v>42310</v>
      </c>
      <c r="B183" s="276" t="s">
        <v>574</v>
      </c>
      <c r="C183" s="20">
        <f t="shared" si="1"/>
        <v>299.16000000000003</v>
      </c>
      <c r="D183" s="53">
        <f>254286+44874</f>
        <v>299160</v>
      </c>
      <c r="E183" s="28">
        <v>33058</v>
      </c>
      <c r="F183" s="29">
        <v>4116</v>
      </c>
      <c r="G183" s="45"/>
      <c r="I183" s="390"/>
      <c r="J183" s="387"/>
      <c r="K183" s="391"/>
    </row>
    <row r="184" spans="1:11" x14ac:dyDescent="0.25">
      <c r="A184" s="43">
        <v>42310</v>
      </c>
      <c r="B184" s="276" t="s">
        <v>575</v>
      </c>
      <c r="C184" s="20">
        <f t="shared" si="1"/>
        <v>220.85</v>
      </c>
      <c r="D184" s="53">
        <f>187722.5+33127.5</f>
        <v>220850</v>
      </c>
      <c r="E184" s="28">
        <v>33058</v>
      </c>
      <c r="F184" s="29">
        <v>4116</v>
      </c>
      <c r="G184" s="45"/>
      <c r="I184" s="390"/>
      <c r="J184" s="387"/>
      <c r="K184" s="391"/>
    </row>
    <row r="185" spans="1:11" x14ac:dyDescent="0.25">
      <c r="A185" s="43">
        <v>42310</v>
      </c>
      <c r="B185" s="276" t="s">
        <v>573</v>
      </c>
      <c r="C185" s="20">
        <f t="shared" si="1"/>
        <v>212.48099999999999</v>
      </c>
      <c r="D185" s="53">
        <f>180608.85+31872.15</f>
        <v>212481</v>
      </c>
      <c r="E185" s="28">
        <v>33058</v>
      </c>
      <c r="F185" s="29">
        <v>4116</v>
      </c>
      <c r="G185" s="45"/>
      <c r="I185" s="390"/>
      <c r="J185" s="387"/>
      <c r="K185" s="391"/>
    </row>
    <row r="186" spans="1:11" x14ac:dyDescent="0.25">
      <c r="A186" s="43">
        <v>42310</v>
      </c>
      <c r="B186" s="276" t="s">
        <v>576</v>
      </c>
      <c r="C186" s="20">
        <f t="shared" si="1"/>
        <v>220.85</v>
      </c>
      <c r="D186" s="53">
        <f>187722.5+33127.5</f>
        <v>220850</v>
      </c>
      <c r="E186" s="28">
        <v>33058</v>
      </c>
      <c r="F186" s="29">
        <v>4116</v>
      </c>
      <c r="G186" s="45"/>
      <c r="I186" s="390"/>
      <c r="J186" s="387"/>
      <c r="K186" s="391"/>
    </row>
    <row r="187" spans="1:11" x14ac:dyDescent="0.25">
      <c r="A187" s="43">
        <v>42310</v>
      </c>
      <c r="B187" s="276" t="s">
        <v>577</v>
      </c>
      <c r="C187" s="20">
        <f t="shared" si="1"/>
        <v>220.85</v>
      </c>
      <c r="D187" s="53">
        <f>187722.5+33127.5</f>
        <v>220850</v>
      </c>
      <c r="E187" s="28">
        <v>33058</v>
      </c>
      <c r="F187" s="29">
        <v>4116</v>
      </c>
      <c r="G187" s="45"/>
      <c r="I187" s="390"/>
      <c r="J187" s="387"/>
      <c r="K187" s="391"/>
    </row>
    <row r="188" spans="1:11" x14ac:dyDescent="0.25">
      <c r="A188" s="43">
        <v>42310</v>
      </c>
      <c r="B188" s="276" t="s">
        <v>578</v>
      </c>
      <c r="C188" s="20">
        <f t="shared" si="1"/>
        <v>225.56899999999999</v>
      </c>
      <c r="D188" s="53">
        <f>191733.65+33835.35</f>
        <v>225569</v>
      </c>
      <c r="E188" s="28">
        <v>33058</v>
      </c>
      <c r="F188" s="29">
        <v>4116</v>
      </c>
      <c r="G188" s="45"/>
      <c r="I188" s="390"/>
      <c r="J188" s="387"/>
      <c r="K188" s="391"/>
    </row>
    <row r="189" spans="1:11" x14ac:dyDescent="0.25">
      <c r="A189" s="43">
        <v>42310</v>
      </c>
      <c r="B189" s="276" t="s">
        <v>579</v>
      </c>
      <c r="C189" s="20">
        <f t="shared" si="1"/>
        <v>204.11199999999999</v>
      </c>
      <c r="D189" s="53">
        <f>173495.2+30616.8</f>
        <v>204112</v>
      </c>
      <c r="E189" s="28">
        <v>33058</v>
      </c>
      <c r="F189" s="29">
        <v>4116</v>
      </c>
      <c r="G189" s="45"/>
      <c r="I189" s="390"/>
      <c r="J189" s="387"/>
      <c r="K189" s="391"/>
    </row>
    <row r="190" spans="1:11" x14ac:dyDescent="0.25">
      <c r="A190" s="43">
        <v>42310</v>
      </c>
      <c r="B190" s="276" t="s">
        <v>580</v>
      </c>
      <c r="C190" s="20">
        <f t="shared" si="1"/>
        <v>204.11199999999999</v>
      </c>
      <c r="D190" s="53">
        <f>173495.2+30616.8</f>
        <v>204112</v>
      </c>
      <c r="E190" s="28">
        <v>33058</v>
      </c>
      <c r="F190" s="29">
        <v>4116</v>
      </c>
      <c r="G190" s="45"/>
      <c r="I190" s="390"/>
      <c r="J190" s="387"/>
      <c r="K190" s="391"/>
    </row>
    <row r="191" spans="1:11" x14ac:dyDescent="0.25">
      <c r="A191" s="43">
        <v>42310</v>
      </c>
      <c r="B191" s="276" t="s">
        <v>581</v>
      </c>
      <c r="C191" s="20">
        <f t="shared" si="1"/>
        <v>212.48099999999999</v>
      </c>
      <c r="D191" s="53">
        <f>180608.85+31872.15</f>
        <v>212481</v>
      </c>
      <c r="E191" s="28">
        <v>33058</v>
      </c>
      <c r="F191" s="29">
        <v>4116</v>
      </c>
      <c r="G191" s="45"/>
      <c r="I191" s="390"/>
      <c r="J191" s="387"/>
      <c r="K191" s="391"/>
    </row>
    <row r="192" spans="1:11" x14ac:dyDescent="0.25">
      <c r="A192" s="43">
        <v>42310</v>
      </c>
      <c r="B192" s="276" t="s">
        <v>582</v>
      </c>
      <c r="C192" s="20">
        <f t="shared" si="1"/>
        <v>338.01600000000002</v>
      </c>
      <c r="D192" s="53">
        <f>287313.6+50702.4</f>
        <v>338016</v>
      </c>
      <c r="E192" s="28">
        <v>33058</v>
      </c>
      <c r="F192" s="29">
        <v>4116</v>
      </c>
      <c r="G192" s="45"/>
      <c r="I192" s="390"/>
      <c r="J192" s="387"/>
      <c r="K192" s="391"/>
    </row>
    <row r="193" spans="1:11" x14ac:dyDescent="0.25">
      <c r="A193" s="43">
        <v>42310</v>
      </c>
      <c r="B193" s="276" t="s">
        <v>583</v>
      </c>
      <c r="C193" s="20">
        <f t="shared" si="1"/>
        <v>204.11199999999999</v>
      </c>
      <c r="D193" s="53">
        <f>173495.2+30616.8</f>
        <v>204112</v>
      </c>
      <c r="E193" s="28">
        <v>33058</v>
      </c>
      <c r="F193" s="29">
        <v>4116</v>
      </c>
      <c r="G193" s="45"/>
      <c r="I193" s="390"/>
      <c r="J193" s="387"/>
      <c r="K193" s="391"/>
    </row>
    <row r="194" spans="1:11" x14ac:dyDescent="0.25">
      <c r="A194" s="43">
        <v>42310</v>
      </c>
      <c r="B194" s="276" t="s">
        <v>584</v>
      </c>
      <c r="C194" s="20">
        <f t="shared" si="1"/>
        <v>204.11199999999999</v>
      </c>
      <c r="D194" s="53">
        <f>173495.2+30616.8</f>
        <v>204112</v>
      </c>
      <c r="E194" s="28">
        <v>33058</v>
      </c>
      <c r="F194" s="29">
        <v>4116</v>
      </c>
      <c r="G194" s="45"/>
      <c r="I194" s="390"/>
      <c r="J194" s="387"/>
      <c r="K194" s="391"/>
    </row>
    <row r="195" spans="1:11" x14ac:dyDescent="0.25">
      <c r="A195" s="43">
        <v>42310</v>
      </c>
      <c r="B195" s="276" t="s">
        <v>585</v>
      </c>
      <c r="C195" s="20">
        <f t="shared" si="1"/>
        <v>212.48099999999999</v>
      </c>
      <c r="D195" s="53">
        <f>180608.85+31872.15</f>
        <v>212481</v>
      </c>
      <c r="E195" s="28">
        <v>33058</v>
      </c>
      <c r="F195" s="29">
        <v>4116</v>
      </c>
      <c r="G195" s="45"/>
      <c r="I195" s="390"/>
      <c r="J195" s="387"/>
      <c r="K195" s="391"/>
    </row>
    <row r="196" spans="1:11" x14ac:dyDescent="0.25">
      <c r="A196" s="43">
        <v>42310</v>
      </c>
      <c r="B196" s="276" t="s">
        <v>586</v>
      </c>
      <c r="C196" s="20">
        <f t="shared" si="1"/>
        <v>212.48099999999999</v>
      </c>
      <c r="D196" s="53">
        <f>180608.85+31872.15</f>
        <v>212481</v>
      </c>
      <c r="E196" s="28">
        <v>33058</v>
      </c>
      <c r="F196" s="29">
        <v>4116</v>
      </c>
      <c r="G196" s="45"/>
      <c r="I196" s="390"/>
      <c r="J196" s="387"/>
      <c r="K196" s="391"/>
    </row>
    <row r="197" spans="1:11" x14ac:dyDescent="0.25">
      <c r="A197" s="43">
        <v>42310</v>
      </c>
      <c r="B197" s="276" t="s">
        <v>587</v>
      </c>
      <c r="C197" s="20">
        <f t="shared" si="1"/>
        <v>477.40800000000002</v>
      </c>
      <c r="D197" s="53">
        <f>405796.8+71611.2</f>
        <v>477408</v>
      </c>
      <c r="E197" s="28">
        <v>33058</v>
      </c>
      <c r="F197" s="29">
        <v>4116</v>
      </c>
      <c r="G197" s="45"/>
      <c r="I197" s="390"/>
      <c r="J197" s="387"/>
      <c r="K197" s="391"/>
    </row>
    <row r="198" spans="1:11" x14ac:dyDescent="0.25">
      <c r="A198" s="43">
        <v>42312</v>
      </c>
      <c r="B198" s="276" t="s">
        <v>592</v>
      </c>
      <c r="C198" s="20">
        <f t="shared" si="1"/>
        <v>237.58799999999999</v>
      </c>
      <c r="D198" s="53">
        <f>201949.8+35638.2</f>
        <v>237588</v>
      </c>
      <c r="E198" s="28">
        <v>33058</v>
      </c>
      <c r="F198" s="29">
        <v>4116</v>
      </c>
      <c r="G198" s="45"/>
      <c r="I198" s="390"/>
      <c r="J198" s="387"/>
      <c r="K198" s="391"/>
    </row>
    <row r="199" spans="1:11" x14ac:dyDescent="0.25">
      <c r="A199" s="43">
        <v>42312</v>
      </c>
      <c r="B199" s="276" t="s">
        <v>593</v>
      </c>
      <c r="C199" s="20">
        <f t="shared" si="1"/>
        <v>333.65800000000002</v>
      </c>
      <c r="D199" s="53">
        <f>283609.3+50048.7</f>
        <v>333658</v>
      </c>
      <c r="E199" s="28">
        <v>33058</v>
      </c>
      <c r="F199" s="29">
        <v>4116</v>
      </c>
      <c r="G199" s="45"/>
      <c r="I199" s="390"/>
      <c r="J199" s="387"/>
      <c r="K199" s="391"/>
    </row>
    <row r="200" spans="1:11" x14ac:dyDescent="0.25">
      <c r="A200" s="43">
        <v>42326</v>
      </c>
      <c r="B200" s="276" t="s">
        <v>605</v>
      </c>
      <c r="C200" s="20">
        <v>0</v>
      </c>
      <c r="D200" s="53">
        <v>-496648.11</v>
      </c>
      <c r="E200" s="28">
        <v>33019</v>
      </c>
      <c r="F200" s="29">
        <v>4116</v>
      </c>
      <c r="G200" s="45"/>
      <c r="I200" s="390"/>
      <c r="J200" s="387"/>
      <c r="K200" s="391"/>
    </row>
    <row r="201" spans="1:11" x14ac:dyDescent="0.25">
      <c r="A201" s="43">
        <v>42327</v>
      </c>
      <c r="B201" s="107" t="s">
        <v>606</v>
      </c>
      <c r="C201" s="20">
        <v>0</v>
      </c>
      <c r="D201" s="53">
        <v>-167358.57</v>
      </c>
      <c r="E201" s="28">
        <v>33019</v>
      </c>
      <c r="F201" s="29">
        <v>4116</v>
      </c>
      <c r="G201" s="45"/>
      <c r="I201" s="390"/>
      <c r="J201" s="387"/>
      <c r="K201" s="391"/>
    </row>
    <row r="202" spans="1:11" x14ac:dyDescent="0.25">
      <c r="A202" s="43">
        <v>42338</v>
      </c>
      <c r="B202" s="276" t="s">
        <v>597</v>
      </c>
      <c r="C202" s="20">
        <v>0</v>
      </c>
      <c r="D202" s="53">
        <v>-629312.55000000005</v>
      </c>
      <c r="E202" s="28">
        <v>33019</v>
      </c>
      <c r="F202" s="29">
        <v>4116</v>
      </c>
      <c r="G202" s="45"/>
      <c r="I202" s="390"/>
      <c r="J202" s="387"/>
      <c r="K202" s="391"/>
    </row>
    <row r="203" spans="1:11" x14ac:dyDescent="0.25">
      <c r="A203" s="43"/>
      <c r="B203" s="276"/>
      <c r="C203" s="20"/>
      <c r="D203" s="53"/>
      <c r="E203" s="28"/>
      <c r="F203" s="29"/>
      <c r="G203" s="45"/>
      <c r="I203" s="390"/>
      <c r="J203" s="387"/>
      <c r="K203" s="391"/>
    </row>
    <row r="204" spans="1:11" x14ac:dyDescent="0.25">
      <c r="A204" s="43"/>
      <c r="B204" s="273" t="s">
        <v>35</v>
      </c>
      <c r="C204" s="30">
        <f>+SUM(C205:C212)</f>
        <v>3487.7998700000003</v>
      </c>
      <c r="D204" s="30">
        <f>+SUM(D205:D212)</f>
        <v>3499864.44</v>
      </c>
      <c r="E204" s="28"/>
      <c r="F204" s="29"/>
      <c r="G204" s="45"/>
      <c r="I204" s="390"/>
      <c r="J204" s="387"/>
      <c r="K204" s="391"/>
    </row>
    <row r="205" spans="1:11" x14ac:dyDescent="0.25">
      <c r="A205" s="43">
        <v>42040</v>
      </c>
      <c r="B205" s="107" t="s">
        <v>60</v>
      </c>
      <c r="C205" s="52">
        <v>2686.6678700000002</v>
      </c>
      <c r="D205" s="52">
        <v>2686667.87</v>
      </c>
      <c r="E205" s="28">
        <v>17003</v>
      </c>
      <c r="F205" s="29" t="s">
        <v>18</v>
      </c>
      <c r="G205" s="45"/>
      <c r="I205" s="390"/>
      <c r="J205" s="387"/>
      <c r="K205" s="391"/>
    </row>
    <row r="206" spans="1:11" x14ac:dyDescent="0.25">
      <c r="A206" s="43">
        <v>42059</v>
      </c>
      <c r="B206" s="107" t="s">
        <v>105</v>
      </c>
      <c r="C206" s="52">
        <v>188.21549999999999</v>
      </c>
      <c r="D206" s="52">
        <v>188215.5</v>
      </c>
      <c r="E206" s="28">
        <v>17003</v>
      </c>
      <c r="F206" s="29">
        <v>4116</v>
      </c>
      <c r="G206" s="45"/>
      <c r="I206" s="390"/>
      <c r="J206" s="387"/>
      <c r="K206" s="391"/>
    </row>
    <row r="207" spans="1:11" x14ac:dyDescent="0.25">
      <c r="A207" s="43">
        <v>42059</v>
      </c>
      <c r="B207" s="107" t="s">
        <v>105</v>
      </c>
      <c r="C207" s="52">
        <v>33.214500000000001</v>
      </c>
      <c r="D207" s="52">
        <v>33214.5</v>
      </c>
      <c r="E207" s="28">
        <v>17002</v>
      </c>
      <c r="F207" s="29">
        <v>4116</v>
      </c>
      <c r="G207" s="45"/>
      <c r="I207" s="390"/>
      <c r="J207" s="387"/>
      <c r="K207" s="391"/>
    </row>
    <row r="208" spans="1:11" x14ac:dyDescent="0.25">
      <c r="A208" s="43">
        <v>42241</v>
      </c>
      <c r="B208" s="107" t="s">
        <v>379</v>
      </c>
      <c r="C208" s="52">
        <v>-188.21549999999999</v>
      </c>
      <c r="D208" s="52">
        <v>-188215.5</v>
      </c>
      <c r="E208" s="28">
        <v>17003</v>
      </c>
      <c r="F208" s="29">
        <v>4116</v>
      </c>
      <c r="G208" s="45"/>
      <c r="I208" s="390"/>
      <c r="J208" s="387"/>
      <c r="K208" s="391"/>
    </row>
    <row r="209" spans="1:11" x14ac:dyDescent="0.25">
      <c r="A209" s="43">
        <v>42241</v>
      </c>
      <c r="B209" s="107" t="s">
        <v>379</v>
      </c>
      <c r="C209" s="52">
        <v>-33.214500000000001</v>
      </c>
      <c r="D209" s="52">
        <v>-33214.5</v>
      </c>
      <c r="E209" s="28">
        <v>17002</v>
      </c>
      <c r="F209" s="29">
        <v>4116</v>
      </c>
      <c r="G209" s="45"/>
      <c r="I209" s="390"/>
      <c r="J209" s="387"/>
      <c r="K209" s="391"/>
    </row>
    <row r="210" spans="1:11" x14ac:dyDescent="0.25">
      <c r="A210" s="43">
        <v>42318</v>
      </c>
      <c r="B210" s="107" t="s">
        <v>601</v>
      </c>
      <c r="C210" s="52">
        <v>0</v>
      </c>
      <c r="D210" s="52">
        <v>12064.57</v>
      </c>
      <c r="E210" s="28">
        <v>17007</v>
      </c>
      <c r="F210" s="29">
        <v>4116</v>
      </c>
      <c r="G210" s="45"/>
      <c r="I210" s="390"/>
      <c r="J210" s="387"/>
      <c r="K210" s="391"/>
    </row>
    <row r="211" spans="1:11" x14ac:dyDescent="0.25">
      <c r="A211" s="43"/>
      <c r="B211" s="289" t="s">
        <v>541</v>
      </c>
      <c r="C211" s="52">
        <v>801.13199999999995</v>
      </c>
      <c r="D211" s="52">
        <v>801132</v>
      </c>
      <c r="E211" s="28">
        <v>17005</v>
      </c>
      <c r="F211" s="29">
        <v>4116</v>
      </c>
      <c r="G211" s="384"/>
      <c r="I211" s="390"/>
      <c r="J211" s="387">
        <v>801132</v>
      </c>
      <c r="K211" s="391"/>
    </row>
    <row r="212" spans="1:11" x14ac:dyDescent="0.25">
      <c r="A212" s="43"/>
      <c r="B212" s="457"/>
      <c r="C212" s="52"/>
      <c r="D212" s="52"/>
      <c r="E212" s="28"/>
      <c r="F212" s="29"/>
      <c r="G212" s="45"/>
      <c r="I212" s="390"/>
      <c r="J212" s="387"/>
      <c r="K212" s="391"/>
    </row>
    <row r="213" spans="1:11" x14ac:dyDescent="0.25">
      <c r="A213" s="43"/>
      <c r="B213" s="31" t="s">
        <v>36</v>
      </c>
      <c r="C213" s="30">
        <f>+SUM(C214:C219)</f>
        <v>58620.788510000006</v>
      </c>
      <c r="D213" s="30">
        <f>+SUM(D214:D219)</f>
        <v>58620788.509999998</v>
      </c>
      <c r="E213" s="28"/>
      <c r="F213" s="29"/>
      <c r="G213" s="45"/>
      <c r="I213" s="390"/>
      <c r="J213" s="387"/>
      <c r="K213" s="391"/>
    </row>
    <row r="214" spans="1:11" x14ac:dyDescent="0.25">
      <c r="A214" s="43">
        <v>42163</v>
      </c>
      <c r="B214" s="107" t="s">
        <v>237</v>
      </c>
      <c r="C214" s="20">
        <v>46797.196000000004</v>
      </c>
      <c r="D214" s="52">
        <v>46797196</v>
      </c>
      <c r="E214" s="28">
        <v>13011</v>
      </c>
      <c r="F214" s="29">
        <v>4116</v>
      </c>
      <c r="G214" s="384" t="s">
        <v>348</v>
      </c>
      <c r="H214" s="384">
        <v>-42649848</v>
      </c>
      <c r="I214" s="390"/>
      <c r="J214" s="387">
        <v>42649848</v>
      </c>
      <c r="K214" s="391"/>
    </row>
    <row r="215" spans="1:11" x14ac:dyDescent="0.25">
      <c r="A215" s="43">
        <v>42163</v>
      </c>
      <c r="B215" s="107" t="s">
        <v>238</v>
      </c>
      <c r="C215" s="20">
        <v>505.56599999999997</v>
      </c>
      <c r="D215" s="52">
        <v>505566</v>
      </c>
      <c r="E215" s="28">
        <v>13011</v>
      </c>
      <c r="F215" s="29">
        <v>4116</v>
      </c>
      <c r="G215" s="45"/>
      <c r="I215" s="390"/>
      <c r="J215" s="387"/>
      <c r="K215" s="391"/>
    </row>
    <row r="216" spans="1:11" x14ac:dyDescent="0.25">
      <c r="A216" s="43">
        <v>42271</v>
      </c>
      <c r="B216" s="107" t="s">
        <v>423</v>
      </c>
      <c r="C216" s="20">
        <v>12309</v>
      </c>
      <c r="D216" s="52">
        <v>12309000</v>
      </c>
      <c r="E216" s="28">
        <v>13015</v>
      </c>
      <c r="F216" s="29">
        <v>4116</v>
      </c>
      <c r="G216" s="45"/>
      <c r="I216" s="390"/>
      <c r="J216" s="387"/>
      <c r="K216" s="391"/>
    </row>
    <row r="217" spans="1:11" x14ac:dyDescent="0.25">
      <c r="A217" s="43">
        <v>42312</v>
      </c>
      <c r="B217" s="107" t="s">
        <v>594</v>
      </c>
      <c r="C217" s="20">
        <v>-1500</v>
      </c>
      <c r="D217" s="52">
        <v>-1500000</v>
      </c>
      <c r="E217" s="28">
        <v>13011</v>
      </c>
      <c r="F217" s="29">
        <v>4116</v>
      </c>
      <c r="G217" s="45"/>
      <c r="I217" s="390"/>
      <c r="J217" s="387"/>
      <c r="K217" s="391"/>
    </row>
    <row r="218" spans="1:11" x14ac:dyDescent="0.25">
      <c r="A218" s="43"/>
      <c r="B218" s="44" t="s">
        <v>196</v>
      </c>
      <c r="C218" s="175">
        <v>181.30393000000001</v>
      </c>
      <c r="D218" s="175">
        <v>181303.93</v>
      </c>
      <c r="E218" s="28">
        <v>13233</v>
      </c>
      <c r="F218" s="29">
        <v>4116</v>
      </c>
      <c r="G218" s="45"/>
      <c r="I218" s="390"/>
      <c r="J218" s="387">
        <v>181303.93</v>
      </c>
      <c r="K218" s="391"/>
    </row>
    <row r="219" spans="1:11" x14ac:dyDescent="0.25">
      <c r="A219" s="43"/>
      <c r="B219" s="44" t="s">
        <v>203</v>
      </c>
      <c r="C219" s="175">
        <v>327.72257999999999</v>
      </c>
      <c r="D219" s="175">
        <v>327722.58</v>
      </c>
      <c r="E219" s="28">
        <v>13233</v>
      </c>
      <c r="F219" s="29">
        <v>4116</v>
      </c>
      <c r="G219" s="45"/>
      <c r="I219" s="390"/>
      <c r="J219" s="387">
        <v>327722.58</v>
      </c>
      <c r="K219" s="391"/>
    </row>
    <row r="220" spans="1:11" x14ac:dyDescent="0.25">
      <c r="A220" s="43"/>
      <c r="B220" s="58"/>
      <c r="C220" s="46"/>
      <c r="D220" s="358"/>
      <c r="E220" s="28"/>
      <c r="F220" s="29"/>
      <c r="G220" s="45"/>
      <c r="I220" s="390"/>
      <c r="J220" s="387"/>
      <c r="K220" s="391"/>
    </row>
    <row r="221" spans="1:11" x14ac:dyDescent="0.25">
      <c r="A221" s="43"/>
      <c r="B221" s="273" t="s">
        <v>38</v>
      </c>
      <c r="C221" s="30">
        <f>+C222+C223</f>
        <v>600</v>
      </c>
      <c r="D221" s="30">
        <f>+D222+D223</f>
        <v>747200</v>
      </c>
      <c r="E221" s="28"/>
      <c r="F221" s="29"/>
      <c r="G221" s="45"/>
      <c r="I221" s="390"/>
      <c r="J221" s="387"/>
      <c r="K221" s="391"/>
    </row>
    <row r="222" spans="1:11" x14ac:dyDescent="0.25">
      <c r="A222" s="43">
        <v>42051</v>
      </c>
      <c r="B222" s="107" t="s">
        <v>39</v>
      </c>
      <c r="C222" s="46">
        <v>600</v>
      </c>
      <c r="D222" s="46">
        <v>600000</v>
      </c>
      <c r="E222" s="28">
        <v>22005</v>
      </c>
      <c r="F222" s="29" t="s">
        <v>18</v>
      </c>
      <c r="G222" s="45"/>
      <c r="I222" s="390"/>
      <c r="J222" s="387"/>
      <c r="K222" s="391"/>
    </row>
    <row r="223" spans="1:11" x14ac:dyDescent="0.25">
      <c r="A223" s="43">
        <v>42324</v>
      </c>
      <c r="B223" s="107" t="s">
        <v>607</v>
      </c>
      <c r="C223" s="46"/>
      <c r="D223" s="46">
        <v>147200</v>
      </c>
      <c r="E223" s="28">
        <v>22003</v>
      </c>
      <c r="F223" s="29">
        <v>4116</v>
      </c>
      <c r="G223" s="45"/>
      <c r="I223" s="390"/>
      <c r="J223" s="387"/>
      <c r="K223" s="391"/>
    </row>
    <row r="224" spans="1:11" x14ac:dyDescent="0.25">
      <c r="A224" s="43"/>
      <c r="B224" s="276"/>
      <c r="C224" s="46"/>
      <c r="D224" s="46"/>
      <c r="E224" s="28"/>
      <c r="F224" s="29"/>
      <c r="G224" s="45"/>
      <c r="I224" s="390"/>
      <c r="J224" s="387"/>
      <c r="K224" s="391"/>
    </row>
    <row r="225" spans="1:11" x14ac:dyDescent="0.25">
      <c r="A225" s="43"/>
      <c r="B225" s="273" t="s">
        <v>40</v>
      </c>
      <c r="C225" s="30">
        <f>SUM(C226:C245)</f>
        <v>2103.1956699999996</v>
      </c>
      <c r="D225" s="30">
        <f>SUM(D226:D245)</f>
        <v>2233578.67</v>
      </c>
      <c r="E225" s="28"/>
      <c r="F225" s="29"/>
      <c r="G225" s="45"/>
      <c r="I225" s="390"/>
      <c r="J225" s="387"/>
      <c r="K225" s="391"/>
    </row>
    <row r="226" spans="1:11" x14ac:dyDescent="0.25">
      <c r="A226" s="43">
        <v>42081</v>
      </c>
      <c r="B226" s="276" t="s">
        <v>118</v>
      </c>
      <c r="C226" s="46">
        <v>134.988</v>
      </c>
      <c r="D226" s="47">
        <v>134988</v>
      </c>
      <c r="E226" s="28">
        <v>14023</v>
      </c>
      <c r="F226" s="29">
        <v>4116</v>
      </c>
      <c r="G226" s="45"/>
      <c r="I226" s="390"/>
      <c r="J226" s="387"/>
      <c r="K226" s="391"/>
    </row>
    <row r="227" spans="1:11" x14ac:dyDescent="0.25">
      <c r="A227" s="43">
        <v>42082</v>
      </c>
      <c r="B227" s="276" t="s">
        <v>119</v>
      </c>
      <c r="C227" s="46">
        <v>72</v>
      </c>
      <c r="D227" s="47">
        <v>72000</v>
      </c>
      <c r="E227" s="28">
        <v>14336</v>
      </c>
      <c r="F227" s="29">
        <v>4116</v>
      </c>
      <c r="G227" s="45"/>
      <c r="I227" s="390"/>
      <c r="J227" s="387"/>
      <c r="K227" s="391"/>
    </row>
    <row r="228" spans="1:11" x14ac:dyDescent="0.25">
      <c r="A228" s="43">
        <v>42087</v>
      </c>
      <c r="B228" s="276" t="s">
        <v>118</v>
      </c>
      <c r="C228" s="46">
        <v>0.8</v>
      </c>
      <c r="D228" s="47">
        <v>800</v>
      </c>
      <c r="E228" s="28">
        <v>14023</v>
      </c>
      <c r="F228" s="29">
        <v>4116</v>
      </c>
      <c r="G228" s="45"/>
      <c r="I228" s="390"/>
      <c r="J228" s="387"/>
      <c r="K228" s="391"/>
    </row>
    <row r="229" spans="1:11" x14ac:dyDescent="0.25">
      <c r="A229" s="43">
        <v>42090</v>
      </c>
      <c r="B229" s="276" t="s">
        <v>118</v>
      </c>
      <c r="C229" s="46">
        <v>66.06</v>
      </c>
      <c r="D229" s="47">
        <v>66060</v>
      </c>
      <c r="E229" s="28">
        <v>14023</v>
      </c>
      <c r="F229" s="29">
        <v>4116</v>
      </c>
      <c r="G229" s="45"/>
      <c r="I229" s="390"/>
      <c r="J229" s="387"/>
      <c r="K229" s="391"/>
    </row>
    <row r="230" spans="1:11" x14ac:dyDescent="0.25">
      <c r="A230" s="43">
        <v>42096</v>
      </c>
      <c r="B230" s="276" t="s">
        <v>136</v>
      </c>
      <c r="C230" s="46">
        <v>72</v>
      </c>
      <c r="D230" s="47">
        <v>72000</v>
      </c>
      <c r="E230" s="28">
        <v>14336</v>
      </c>
      <c r="F230" s="29">
        <v>4116</v>
      </c>
      <c r="G230" s="45"/>
      <c r="I230" s="390"/>
      <c r="J230" s="387"/>
      <c r="K230" s="391"/>
    </row>
    <row r="231" spans="1:11" x14ac:dyDescent="0.25">
      <c r="A231" s="43">
        <v>42096</v>
      </c>
      <c r="B231" s="276" t="s">
        <v>137</v>
      </c>
      <c r="C231" s="46">
        <v>72</v>
      </c>
      <c r="D231" s="47">
        <v>72000</v>
      </c>
      <c r="E231" s="28">
        <v>14336</v>
      </c>
      <c r="F231" s="29">
        <v>4116</v>
      </c>
      <c r="G231" s="45"/>
      <c r="I231" s="390"/>
      <c r="J231" s="387"/>
      <c r="K231" s="391"/>
    </row>
    <row r="232" spans="1:11" x14ac:dyDescent="0.25">
      <c r="A232" s="43">
        <v>42123</v>
      </c>
      <c r="B232" s="276" t="s">
        <v>153</v>
      </c>
      <c r="C232" s="46">
        <v>72</v>
      </c>
      <c r="D232" s="47">
        <v>72000</v>
      </c>
      <c r="E232" s="28">
        <v>14336</v>
      </c>
      <c r="F232" s="29">
        <v>4116</v>
      </c>
      <c r="G232" s="45"/>
      <c r="I232" s="390"/>
      <c r="J232" s="387"/>
      <c r="K232" s="391"/>
    </row>
    <row r="233" spans="1:11" x14ac:dyDescent="0.25">
      <c r="A233" s="43">
        <v>42128</v>
      </c>
      <c r="B233" s="276" t="s">
        <v>118</v>
      </c>
      <c r="C233" s="46">
        <v>65.341999999999999</v>
      </c>
      <c r="D233" s="47">
        <v>65342</v>
      </c>
      <c r="E233" s="28">
        <v>14023</v>
      </c>
      <c r="F233" s="29">
        <v>4116</v>
      </c>
      <c r="G233" s="45"/>
      <c r="I233" s="390"/>
      <c r="J233" s="387"/>
      <c r="K233" s="391"/>
    </row>
    <row r="234" spans="1:11" x14ac:dyDescent="0.25">
      <c r="A234" s="43">
        <v>42152</v>
      </c>
      <c r="B234" s="276" t="s">
        <v>118</v>
      </c>
      <c r="C234" s="46">
        <v>69.66</v>
      </c>
      <c r="D234" s="47">
        <v>69660</v>
      </c>
      <c r="E234" s="28">
        <v>14023</v>
      </c>
      <c r="F234" s="29">
        <v>4116</v>
      </c>
      <c r="G234" s="45"/>
      <c r="I234" s="390"/>
      <c r="J234" s="387"/>
      <c r="K234" s="391"/>
    </row>
    <row r="235" spans="1:11" x14ac:dyDescent="0.25">
      <c r="A235" s="43">
        <v>42166</v>
      </c>
      <c r="B235" s="276" t="s">
        <v>229</v>
      </c>
      <c r="C235" s="46">
        <v>721</v>
      </c>
      <c r="D235" s="47">
        <f>757000-36000</f>
        <v>721000</v>
      </c>
      <c r="E235" s="28">
        <v>14018</v>
      </c>
      <c r="F235" s="29">
        <v>4116</v>
      </c>
      <c r="G235" s="45"/>
      <c r="I235" s="390"/>
      <c r="J235" s="387"/>
      <c r="K235" s="391"/>
    </row>
    <row r="236" spans="1:11" x14ac:dyDescent="0.25">
      <c r="A236" s="43">
        <v>42181</v>
      </c>
      <c r="B236" s="276" t="s">
        <v>247</v>
      </c>
      <c r="C236" s="46">
        <v>102.74966999999999</v>
      </c>
      <c r="D236" s="47">
        <v>102749.67</v>
      </c>
      <c r="E236" s="28">
        <v>14013</v>
      </c>
      <c r="F236" s="29">
        <v>4116</v>
      </c>
      <c r="G236" s="45"/>
      <c r="I236" s="390"/>
      <c r="J236" s="387"/>
      <c r="K236" s="391"/>
    </row>
    <row r="237" spans="1:11" x14ac:dyDescent="0.25">
      <c r="A237" s="43">
        <v>42184</v>
      </c>
      <c r="B237" s="276" t="s">
        <v>118</v>
      </c>
      <c r="C237" s="46">
        <f>69.6456+12.2904</f>
        <v>81.936000000000007</v>
      </c>
      <c r="D237" s="47">
        <v>81936</v>
      </c>
      <c r="E237" s="28">
        <v>14023</v>
      </c>
      <c r="F237" s="29">
        <v>4116</v>
      </c>
      <c r="G237" s="45"/>
      <c r="I237" s="390"/>
      <c r="J237" s="387"/>
      <c r="K237" s="391"/>
    </row>
    <row r="238" spans="1:11" x14ac:dyDescent="0.25">
      <c r="A238" s="43">
        <v>42213</v>
      </c>
      <c r="B238" s="276" t="s">
        <v>118</v>
      </c>
      <c r="C238" s="46">
        <v>67.016000000000005</v>
      </c>
      <c r="D238" s="47">
        <v>67016</v>
      </c>
      <c r="E238" s="28">
        <v>14023</v>
      </c>
      <c r="F238" s="29">
        <v>4116</v>
      </c>
      <c r="G238" s="45"/>
      <c r="I238" s="390"/>
      <c r="J238" s="402"/>
      <c r="K238" s="391"/>
    </row>
    <row r="239" spans="1:11" x14ac:dyDescent="0.25">
      <c r="A239" s="43">
        <v>42241</v>
      </c>
      <c r="B239" s="276" t="s">
        <v>118</v>
      </c>
      <c r="C239" s="46">
        <v>69.228999999999999</v>
      </c>
      <c r="D239" s="47">
        <f>58844.65+10384.35</f>
        <v>69229</v>
      </c>
      <c r="E239" s="28">
        <v>14023</v>
      </c>
      <c r="F239" s="29">
        <v>4116</v>
      </c>
      <c r="G239" s="45"/>
      <c r="I239" s="390"/>
      <c r="J239" s="402"/>
      <c r="K239" s="391"/>
    </row>
    <row r="240" spans="1:11" x14ac:dyDescent="0.25">
      <c r="A240" s="43">
        <v>42278</v>
      </c>
      <c r="B240" s="276" t="s">
        <v>118</v>
      </c>
      <c r="C240" s="46">
        <v>75.543000000000006</v>
      </c>
      <c r="D240" s="47">
        <v>75543</v>
      </c>
      <c r="E240" s="28">
        <v>14023</v>
      </c>
      <c r="F240" s="29">
        <v>4116</v>
      </c>
      <c r="G240" s="45"/>
      <c r="I240" s="390"/>
      <c r="J240" s="402"/>
      <c r="K240" s="391"/>
    </row>
    <row r="241" spans="1:11" x14ac:dyDescent="0.25">
      <c r="A241" s="43">
        <v>42314</v>
      </c>
      <c r="B241" s="276" t="s">
        <v>118</v>
      </c>
      <c r="C241" s="46"/>
      <c r="D241" s="47">
        <v>67688</v>
      </c>
      <c r="E241" s="28">
        <v>14023</v>
      </c>
      <c r="F241" s="29">
        <v>4116</v>
      </c>
      <c r="G241" s="45"/>
      <c r="I241" s="390"/>
      <c r="J241" s="402"/>
      <c r="K241" s="391"/>
    </row>
    <row r="242" spans="1:11" x14ac:dyDescent="0.25">
      <c r="A242" s="43">
        <v>42335</v>
      </c>
      <c r="B242" s="276" t="s">
        <v>118</v>
      </c>
      <c r="C242" s="46"/>
      <c r="D242" s="47">
        <v>62695</v>
      </c>
      <c r="E242" s="28">
        <v>14023</v>
      </c>
      <c r="F242" s="29">
        <v>4116</v>
      </c>
      <c r="G242" s="45"/>
      <c r="I242" s="390"/>
      <c r="J242" s="402"/>
      <c r="K242" s="391"/>
    </row>
    <row r="243" spans="1:11" x14ac:dyDescent="0.25">
      <c r="A243" s="43"/>
      <c r="B243" s="276" t="s">
        <v>398</v>
      </c>
      <c r="C243" s="179">
        <v>300</v>
      </c>
      <c r="D243" s="179">
        <v>300000</v>
      </c>
      <c r="E243" s="28">
        <v>14336</v>
      </c>
      <c r="F243" s="29">
        <v>4116</v>
      </c>
      <c r="G243" s="384"/>
      <c r="H243" s="384"/>
      <c r="I243" s="390"/>
      <c r="J243" s="402">
        <v>300000</v>
      </c>
      <c r="K243" s="391"/>
    </row>
    <row r="244" spans="1:11" x14ac:dyDescent="0.25">
      <c r="A244" s="43"/>
      <c r="B244" s="276" t="s">
        <v>274</v>
      </c>
      <c r="C244" s="179">
        <v>36</v>
      </c>
      <c r="D244" s="179">
        <v>36000</v>
      </c>
      <c r="E244" s="28">
        <v>14018</v>
      </c>
      <c r="F244" s="29">
        <v>4116</v>
      </c>
      <c r="G244" s="45"/>
      <c r="I244" s="390"/>
      <c r="J244" s="402">
        <v>36000</v>
      </c>
      <c r="K244" s="391"/>
    </row>
    <row r="245" spans="1:11" x14ac:dyDescent="0.25">
      <c r="A245" s="43"/>
      <c r="B245" s="276" t="s">
        <v>113</v>
      </c>
      <c r="C245" s="179">
        <f>15.968+8.904</f>
        <v>24.872</v>
      </c>
      <c r="D245" s="179">
        <f>7480+8488+8904</f>
        <v>24872</v>
      </c>
      <c r="E245" s="28">
        <v>14137</v>
      </c>
      <c r="F245" s="29">
        <v>4116</v>
      </c>
      <c r="G245" s="45"/>
      <c r="I245" s="390"/>
      <c r="J245" s="387">
        <v>24872</v>
      </c>
      <c r="K245" s="391"/>
    </row>
    <row r="246" spans="1:11" x14ac:dyDescent="0.25">
      <c r="A246" s="43"/>
      <c r="B246" s="276"/>
      <c r="C246" s="46"/>
      <c r="D246" s="46"/>
      <c r="E246" s="28"/>
      <c r="F246" s="48"/>
      <c r="G246" s="45"/>
      <c r="I246" s="390"/>
      <c r="J246" s="387"/>
      <c r="K246" s="391"/>
    </row>
    <row r="247" spans="1:11" x14ac:dyDescent="0.25">
      <c r="A247" s="43"/>
      <c r="B247" s="273" t="s">
        <v>41</v>
      </c>
      <c r="C247" s="30">
        <f>+SUM(C248:C264)</f>
        <v>750.74800000000005</v>
      </c>
      <c r="D247" s="30">
        <f>+SUM(D248:D264)</f>
        <v>815773</v>
      </c>
      <c r="E247" s="28"/>
      <c r="F247" s="48"/>
      <c r="G247" s="45"/>
      <c r="I247" s="390"/>
      <c r="J247" s="387"/>
      <c r="K247" s="391"/>
    </row>
    <row r="248" spans="1:11" x14ac:dyDescent="0.25">
      <c r="A248" s="43">
        <v>42118</v>
      </c>
      <c r="B248" s="276" t="s">
        <v>93</v>
      </c>
      <c r="C248" s="46">
        <v>18.0625</v>
      </c>
      <c r="D248" s="46">
        <v>18062.5</v>
      </c>
      <c r="E248" s="28">
        <v>35019</v>
      </c>
      <c r="F248" s="48">
        <v>4116</v>
      </c>
      <c r="G248" s="45"/>
      <c r="I248" s="390"/>
      <c r="J248" s="387"/>
      <c r="K248" s="391"/>
    </row>
    <row r="249" spans="1:11" x14ac:dyDescent="0.25">
      <c r="A249" s="43">
        <v>42118</v>
      </c>
      <c r="B249" s="276" t="s">
        <v>94</v>
      </c>
      <c r="C249" s="46">
        <v>17.977499999999999</v>
      </c>
      <c r="D249" s="46">
        <v>17977.5</v>
      </c>
      <c r="E249" s="28">
        <v>35019</v>
      </c>
      <c r="F249" s="48">
        <v>4116</v>
      </c>
      <c r="G249" s="439"/>
      <c r="H249"/>
      <c r="I249" s="390"/>
      <c r="J249" s="387"/>
      <c r="K249" s="391"/>
    </row>
    <row r="250" spans="1:11" x14ac:dyDescent="0.25">
      <c r="A250" s="43">
        <v>42118</v>
      </c>
      <c r="B250" s="276" t="s">
        <v>95</v>
      </c>
      <c r="C250" s="46">
        <v>32.084000000000003</v>
      </c>
      <c r="D250" s="46">
        <v>32084</v>
      </c>
      <c r="E250" s="28">
        <v>35019</v>
      </c>
      <c r="F250" s="48">
        <v>4116</v>
      </c>
      <c r="G250" s="439"/>
      <c r="H250" s="440"/>
      <c r="I250" s="390"/>
      <c r="J250" s="387"/>
      <c r="K250" s="391"/>
    </row>
    <row r="251" spans="1:11" x14ac:dyDescent="0.25">
      <c r="A251" s="43">
        <v>42118</v>
      </c>
      <c r="B251" s="276" t="s">
        <v>95</v>
      </c>
      <c r="C251" s="46">
        <v>77</v>
      </c>
      <c r="D251" s="46">
        <v>77000</v>
      </c>
      <c r="E251" s="28">
        <v>35019</v>
      </c>
      <c r="F251" s="48">
        <v>4116</v>
      </c>
      <c r="G251" s="439"/>
      <c r="H251"/>
      <c r="I251" s="390"/>
      <c r="J251" s="387"/>
      <c r="K251" s="391"/>
    </row>
    <row r="252" spans="1:11" x14ac:dyDescent="0.25">
      <c r="A252" s="43">
        <v>42118</v>
      </c>
      <c r="B252" s="276" t="s">
        <v>92</v>
      </c>
      <c r="C252" s="46">
        <v>40.25</v>
      </c>
      <c r="D252" s="46">
        <v>40250</v>
      </c>
      <c r="E252" s="28">
        <v>35019</v>
      </c>
      <c r="F252" s="48">
        <v>4116</v>
      </c>
      <c r="G252" s="439"/>
      <c r="H252" s="440"/>
      <c r="I252" s="390"/>
      <c r="J252" s="387"/>
      <c r="K252" s="391"/>
    </row>
    <row r="253" spans="1:11" x14ac:dyDescent="0.25">
      <c r="A253" s="43">
        <v>42172</v>
      </c>
      <c r="B253" s="276" t="s">
        <v>100</v>
      </c>
      <c r="C253" s="46">
        <v>140</v>
      </c>
      <c r="D253" s="46">
        <v>140000</v>
      </c>
      <c r="E253" s="28">
        <v>35015</v>
      </c>
      <c r="F253" s="48">
        <v>4116</v>
      </c>
      <c r="G253" s="439"/>
      <c r="H253" s="440"/>
      <c r="I253" s="390"/>
      <c r="J253" s="387"/>
      <c r="K253" s="391"/>
    </row>
    <row r="254" spans="1:11" x14ac:dyDescent="0.25">
      <c r="A254" s="43">
        <v>42299</v>
      </c>
      <c r="B254" s="276" t="s">
        <v>93</v>
      </c>
      <c r="C254" s="46">
        <v>18.0625</v>
      </c>
      <c r="D254" s="46">
        <v>18062.5</v>
      </c>
      <c r="E254" s="28">
        <v>35019</v>
      </c>
      <c r="F254" s="48">
        <v>4116</v>
      </c>
      <c r="G254" s="439"/>
      <c r="H254" s="440"/>
      <c r="I254" s="390"/>
      <c r="J254" s="387"/>
      <c r="K254" s="391"/>
    </row>
    <row r="255" spans="1:11" x14ac:dyDescent="0.25">
      <c r="A255" s="43">
        <v>42299</v>
      </c>
      <c r="B255" s="276" t="s">
        <v>94</v>
      </c>
      <c r="C255" s="46">
        <v>17.977499999999999</v>
      </c>
      <c r="D255" s="46">
        <v>17977.5</v>
      </c>
      <c r="E255" s="28">
        <v>35019</v>
      </c>
      <c r="F255" s="48">
        <v>4116</v>
      </c>
      <c r="G255" s="45"/>
      <c r="I255" s="390"/>
      <c r="J255" s="387"/>
      <c r="K255" s="391"/>
    </row>
    <row r="256" spans="1:11" x14ac:dyDescent="0.25">
      <c r="A256" s="43">
        <v>42299</v>
      </c>
      <c r="B256" s="276" t="s">
        <v>95</v>
      </c>
      <c r="C256" s="46">
        <v>32.084000000000003</v>
      </c>
      <c r="D256" s="46">
        <v>32084</v>
      </c>
      <c r="E256" s="28">
        <v>35019</v>
      </c>
      <c r="F256" s="48">
        <v>4116</v>
      </c>
      <c r="G256" s="45"/>
      <c r="I256" s="390"/>
      <c r="J256" s="387"/>
      <c r="K256" s="391"/>
    </row>
    <row r="257" spans="1:11" x14ac:dyDescent="0.25">
      <c r="A257" s="43">
        <v>42300</v>
      </c>
      <c r="B257" s="276" t="s">
        <v>95</v>
      </c>
      <c r="C257" s="46">
        <v>77</v>
      </c>
      <c r="D257" s="46">
        <v>77000</v>
      </c>
      <c r="E257" s="28">
        <v>35019</v>
      </c>
      <c r="F257" s="48">
        <v>4116</v>
      </c>
      <c r="G257" s="45"/>
      <c r="I257" s="390"/>
      <c r="J257" s="387"/>
      <c r="K257" s="391"/>
    </row>
    <row r="258" spans="1:11" x14ac:dyDescent="0.25">
      <c r="A258" s="43">
        <v>42300</v>
      </c>
      <c r="B258" s="276" t="s">
        <v>92</v>
      </c>
      <c r="C258" s="46">
        <v>40.25</v>
      </c>
      <c r="D258" s="46">
        <v>40250</v>
      </c>
      <c r="E258" s="28">
        <v>35019</v>
      </c>
      <c r="F258" s="48">
        <v>4116</v>
      </c>
      <c r="G258" s="45"/>
      <c r="I258" s="390"/>
      <c r="J258" s="387"/>
      <c r="K258" s="391"/>
    </row>
    <row r="259" spans="1:11" x14ac:dyDescent="0.25">
      <c r="A259" s="43">
        <v>42300</v>
      </c>
      <c r="B259" s="276" t="s">
        <v>100</v>
      </c>
      <c r="C259" s="46">
        <v>140</v>
      </c>
      <c r="D259" s="46">
        <v>140000</v>
      </c>
      <c r="E259" s="28">
        <v>35015</v>
      </c>
      <c r="F259" s="48">
        <v>4116</v>
      </c>
      <c r="G259" s="45"/>
      <c r="I259" s="390"/>
      <c r="J259" s="387"/>
      <c r="K259" s="391"/>
    </row>
    <row r="260" spans="1:11" x14ac:dyDescent="0.25">
      <c r="A260" s="43">
        <v>42311</v>
      </c>
      <c r="B260" s="276" t="s">
        <v>590</v>
      </c>
      <c r="C260" s="46">
        <v>100</v>
      </c>
      <c r="D260" s="46">
        <v>100000</v>
      </c>
      <c r="E260" s="28">
        <v>35015</v>
      </c>
      <c r="F260" s="48">
        <v>4116</v>
      </c>
      <c r="G260" s="45"/>
      <c r="I260" s="390"/>
      <c r="J260" s="387"/>
      <c r="K260" s="391"/>
    </row>
    <row r="261" spans="1:11" x14ac:dyDescent="0.25">
      <c r="A261" s="43">
        <v>42332</v>
      </c>
      <c r="B261" s="276" t="s">
        <v>610</v>
      </c>
      <c r="C261" s="46">
        <v>0</v>
      </c>
      <c r="D261" s="46">
        <v>2022</v>
      </c>
      <c r="E261" s="28">
        <v>35019</v>
      </c>
      <c r="F261" s="48">
        <v>4116</v>
      </c>
      <c r="G261" s="45"/>
      <c r="I261" s="390"/>
      <c r="J261" s="387"/>
      <c r="K261" s="391"/>
    </row>
    <row r="262" spans="1:11" x14ac:dyDescent="0.25">
      <c r="A262" s="43">
        <v>42332</v>
      </c>
      <c r="B262" s="276" t="s">
        <v>611</v>
      </c>
      <c r="C262" s="46">
        <v>0</v>
      </c>
      <c r="D262" s="46">
        <v>6431</v>
      </c>
      <c r="E262" s="28">
        <v>35019</v>
      </c>
      <c r="F262" s="48">
        <v>4116</v>
      </c>
      <c r="G262" s="45"/>
      <c r="I262" s="390"/>
      <c r="J262" s="387"/>
      <c r="K262" s="391"/>
    </row>
    <row r="263" spans="1:11" x14ac:dyDescent="0.25">
      <c r="A263" s="43">
        <v>42332</v>
      </c>
      <c r="B263" s="276" t="s">
        <v>612</v>
      </c>
      <c r="C263" s="46">
        <v>0</v>
      </c>
      <c r="D263" s="46">
        <v>8572</v>
      </c>
      <c r="E263" s="28">
        <v>35019</v>
      </c>
      <c r="F263" s="48">
        <v>4116</v>
      </c>
      <c r="G263" s="45"/>
      <c r="I263" s="390"/>
      <c r="J263" s="387"/>
      <c r="K263" s="391"/>
    </row>
    <row r="264" spans="1:11" x14ac:dyDescent="0.25">
      <c r="A264" s="43">
        <v>42333</v>
      </c>
      <c r="B264" s="276" t="s">
        <v>613</v>
      </c>
      <c r="C264" s="46">
        <v>0</v>
      </c>
      <c r="D264" s="46">
        <v>48000</v>
      </c>
      <c r="E264" s="28">
        <v>35015</v>
      </c>
      <c r="F264" s="48">
        <v>4116</v>
      </c>
      <c r="G264" s="45"/>
      <c r="I264" s="390"/>
      <c r="J264" s="387"/>
      <c r="K264" s="391"/>
    </row>
    <row r="265" spans="1:11" x14ac:dyDescent="0.25">
      <c r="A265" s="43"/>
      <c r="B265" s="276"/>
      <c r="C265" s="46"/>
      <c r="D265" s="46"/>
      <c r="E265" s="28"/>
      <c r="F265" s="48"/>
      <c r="G265" s="45"/>
      <c r="I265" s="390"/>
      <c r="J265" s="387"/>
      <c r="K265" s="391"/>
    </row>
    <row r="266" spans="1:11" x14ac:dyDescent="0.25">
      <c r="A266" s="43"/>
      <c r="B266" s="273" t="s">
        <v>42</v>
      </c>
      <c r="C266" s="30">
        <f>+SUM(C267:C272)</f>
        <v>266.166</v>
      </c>
      <c r="D266" s="30">
        <f>+SUM(D267:D272)</f>
        <v>295166</v>
      </c>
      <c r="E266" s="28"/>
      <c r="F266" s="48"/>
      <c r="G266" s="45"/>
      <c r="I266" s="390"/>
      <c r="J266" s="387"/>
      <c r="K266" s="391"/>
    </row>
    <row r="267" spans="1:11" x14ac:dyDescent="0.25">
      <c r="A267" s="43">
        <v>42142</v>
      </c>
      <c r="B267" s="276" t="s">
        <v>43</v>
      </c>
      <c r="C267" s="46">
        <v>86.159000000000006</v>
      </c>
      <c r="D267" s="46">
        <v>86159</v>
      </c>
      <c r="E267" s="28">
        <v>29008</v>
      </c>
      <c r="F267" s="48">
        <v>4116</v>
      </c>
      <c r="G267" s="45"/>
      <c r="I267" s="390"/>
      <c r="J267" s="387"/>
      <c r="K267" s="391"/>
    </row>
    <row r="268" spans="1:11" x14ac:dyDescent="0.25">
      <c r="A268" s="43">
        <v>42157</v>
      </c>
      <c r="B268" s="276" t="s">
        <v>44</v>
      </c>
      <c r="C268" s="46">
        <v>10.5</v>
      </c>
      <c r="D268" s="46">
        <v>10500</v>
      </c>
      <c r="E268" s="28">
        <v>29004</v>
      </c>
      <c r="F268" s="48">
        <v>4116</v>
      </c>
      <c r="G268" s="45"/>
      <c r="I268" s="390"/>
      <c r="J268" s="387"/>
      <c r="K268" s="391"/>
    </row>
    <row r="269" spans="1:11" x14ac:dyDescent="0.25">
      <c r="A269" s="43">
        <v>42163</v>
      </c>
      <c r="B269" s="276" t="s">
        <v>43</v>
      </c>
      <c r="C269" s="46">
        <v>84.284999999999997</v>
      </c>
      <c r="D269" s="46">
        <v>84285</v>
      </c>
      <c r="E269" s="28">
        <v>29008</v>
      </c>
      <c r="F269" s="48">
        <v>4116</v>
      </c>
      <c r="G269" s="45"/>
      <c r="I269" s="390"/>
      <c r="J269" s="387"/>
      <c r="K269" s="391"/>
    </row>
    <row r="270" spans="1:11" x14ac:dyDescent="0.25">
      <c r="A270" s="43">
        <v>42278</v>
      </c>
      <c r="B270" s="276" t="s">
        <v>43</v>
      </c>
      <c r="C270" s="46">
        <v>85.221999999999994</v>
      </c>
      <c r="D270" s="46">
        <v>85222</v>
      </c>
      <c r="E270" s="28">
        <v>29008</v>
      </c>
      <c r="F270" s="48">
        <v>4116</v>
      </c>
      <c r="G270" s="45"/>
      <c r="I270" s="390"/>
      <c r="J270" s="387"/>
      <c r="K270" s="391"/>
    </row>
    <row r="271" spans="1:11" x14ac:dyDescent="0.25">
      <c r="A271" s="43" t="s">
        <v>614</v>
      </c>
      <c r="B271" s="276" t="s">
        <v>44</v>
      </c>
      <c r="C271" s="46">
        <v>0</v>
      </c>
      <c r="D271" s="46">
        <v>29000</v>
      </c>
      <c r="E271" s="28">
        <v>29004</v>
      </c>
      <c r="F271" s="48">
        <v>4116</v>
      </c>
      <c r="G271" s="45"/>
      <c r="I271" s="390"/>
      <c r="J271" s="387"/>
      <c r="K271" s="391"/>
    </row>
    <row r="272" spans="1:11" x14ac:dyDescent="0.25">
      <c r="A272" s="43"/>
      <c r="B272" s="276"/>
      <c r="C272" s="46"/>
      <c r="D272" s="46"/>
      <c r="E272" s="28"/>
      <c r="F272" s="48"/>
      <c r="G272" s="45"/>
      <c r="I272" s="390"/>
      <c r="J272" s="387"/>
      <c r="K272" s="391"/>
    </row>
    <row r="273" spans="1:12" x14ac:dyDescent="0.25">
      <c r="A273" s="43"/>
      <c r="B273" s="276"/>
      <c r="C273" s="46"/>
      <c r="D273" s="46"/>
      <c r="E273" s="28"/>
      <c r="F273" s="48"/>
      <c r="G273" s="45"/>
      <c r="I273" s="390"/>
      <c r="J273" s="387"/>
      <c r="K273" s="391"/>
    </row>
    <row r="274" spans="1:12" x14ac:dyDescent="0.25">
      <c r="A274" s="43"/>
      <c r="B274" s="273" t="s">
        <v>45</v>
      </c>
      <c r="C274" s="30">
        <f>+SUM(C275:C284)</f>
        <v>2792.4080999999996</v>
      </c>
      <c r="D274" s="30">
        <f>+SUM(D275:D284)</f>
        <v>6381333.5599999996</v>
      </c>
      <c r="E274" s="28"/>
      <c r="F274" s="48"/>
      <c r="G274" s="45"/>
      <c r="I274" s="390"/>
      <c r="J274" s="387"/>
      <c r="K274" s="391"/>
    </row>
    <row r="275" spans="1:12" x14ac:dyDescent="0.25">
      <c r="A275" s="43">
        <v>42057</v>
      </c>
      <c r="B275" s="276" t="s">
        <v>146</v>
      </c>
      <c r="C275" s="46">
        <v>466.28609999999998</v>
      </c>
      <c r="D275" s="46">
        <v>466286.1</v>
      </c>
      <c r="E275" s="28">
        <v>15319</v>
      </c>
      <c r="F275" s="48">
        <v>4116</v>
      </c>
      <c r="G275" s="45"/>
      <c r="I275" s="390"/>
      <c r="J275" s="387"/>
      <c r="K275" s="391"/>
    </row>
    <row r="276" spans="1:12" x14ac:dyDescent="0.25">
      <c r="A276" s="43">
        <v>42193</v>
      </c>
      <c r="B276" s="276" t="s">
        <v>279</v>
      </c>
      <c r="C276" s="46">
        <v>77.653800000000004</v>
      </c>
      <c r="D276" s="46">
        <v>77653.8</v>
      </c>
      <c r="E276" s="28">
        <v>15319</v>
      </c>
      <c r="F276" s="48">
        <v>4116</v>
      </c>
      <c r="G276" s="45"/>
      <c r="I276" s="390"/>
      <c r="J276" s="387"/>
      <c r="K276" s="391"/>
    </row>
    <row r="277" spans="1:12" x14ac:dyDescent="0.25">
      <c r="A277" s="43">
        <v>42272</v>
      </c>
      <c r="B277" s="276" t="s">
        <v>425</v>
      </c>
      <c r="C277" s="46">
        <v>931.58199999999999</v>
      </c>
      <c r="D277" s="46">
        <v>931582</v>
      </c>
      <c r="E277" s="28">
        <v>15065</v>
      </c>
      <c r="F277" s="48">
        <v>4116</v>
      </c>
      <c r="G277" s="45"/>
      <c r="I277" s="390"/>
      <c r="J277" s="387"/>
      <c r="K277" s="391"/>
    </row>
    <row r="278" spans="1:12" x14ac:dyDescent="0.25">
      <c r="A278" s="43"/>
      <c r="B278" s="44" t="s">
        <v>498</v>
      </c>
      <c r="C278" s="179">
        <v>0</v>
      </c>
      <c r="D278" s="179">
        <v>3333.55</v>
      </c>
      <c r="E278" s="28">
        <v>15319</v>
      </c>
      <c r="F278" s="48">
        <v>4116</v>
      </c>
      <c r="G278" s="45"/>
      <c r="I278" s="390"/>
      <c r="J278" s="387">
        <v>3333.55</v>
      </c>
      <c r="K278" s="391"/>
    </row>
    <row r="279" spans="1:12" x14ac:dyDescent="0.25">
      <c r="A279" s="43"/>
      <c r="B279" s="44" t="s">
        <v>620</v>
      </c>
      <c r="C279" s="179"/>
      <c r="D279" s="179">
        <v>4361.04</v>
      </c>
      <c r="E279" s="28">
        <v>15320</v>
      </c>
      <c r="F279" s="48">
        <v>4116</v>
      </c>
      <c r="G279" s="45"/>
      <c r="I279" s="390"/>
      <c r="J279" s="387"/>
      <c r="K279" s="391">
        <v>4361.04</v>
      </c>
    </row>
    <row r="280" spans="1:12" x14ac:dyDescent="0.25">
      <c r="A280" s="43"/>
      <c r="B280" s="44" t="s">
        <v>620</v>
      </c>
      <c r="C280" s="179"/>
      <c r="D280" s="179">
        <v>74137.84</v>
      </c>
      <c r="E280" s="28">
        <v>15321</v>
      </c>
      <c r="F280" s="48">
        <v>4116</v>
      </c>
      <c r="G280" s="45"/>
      <c r="I280" s="390"/>
      <c r="J280" s="387"/>
      <c r="K280" s="391">
        <v>74137.84</v>
      </c>
    </row>
    <row r="281" spans="1:12" x14ac:dyDescent="0.25">
      <c r="A281" s="43"/>
      <c r="B281" s="44" t="s">
        <v>617</v>
      </c>
      <c r="C281" s="179"/>
      <c r="D281" s="179">
        <v>3507093.03</v>
      </c>
      <c r="E281" s="28">
        <v>15319</v>
      </c>
      <c r="F281" s="48">
        <v>4116</v>
      </c>
      <c r="G281" s="45"/>
      <c r="I281" s="390"/>
      <c r="J281" s="387"/>
      <c r="K281" s="391">
        <v>3507093.03</v>
      </c>
    </row>
    <row r="282" spans="1:12" x14ac:dyDescent="0.25">
      <c r="A282" s="43"/>
      <c r="B282" s="276" t="s">
        <v>168</v>
      </c>
      <c r="C282" s="179">
        <v>26.2395</v>
      </c>
      <c r="D282" s="179">
        <v>26239.5</v>
      </c>
      <c r="E282" s="28">
        <v>15319</v>
      </c>
      <c r="F282" s="48">
        <v>4116</v>
      </c>
      <c r="G282" s="45"/>
      <c r="I282" s="390"/>
      <c r="J282" s="389">
        <v>26239.5</v>
      </c>
      <c r="K282" s="391"/>
    </row>
    <row r="283" spans="1:12" x14ac:dyDescent="0.25">
      <c r="A283" s="43"/>
      <c r="B283" s="276" t="s">
        <v>591</v>
      </c>
      <c r="C283" s="179">
        <v>1290.6467</v>
      </c>
      <c r="D283" s="179">
        <v>1290646.7</v>
      </c>
      <c r="E283" s="28">
        <v>15319</v>
      </c>
      <c r="F283" s="22">
        <v>4116</v>
      </c>
      <c r="G283" s="45"/>
      <c r="I283" s="390"/>
      <c r="J283" s="387">
        <v>1290646.7</v>
      </c>
      <c r="K283" s="391"/>
    </row>
    <row r="284" spans="1:12" x14ac:dyDescent="0.25">
      <c r="A284" s="43"/>
      <c r="B284" s="276"/>
      <c r="C284" s="350"/>
      <c r="D284" s="350"/>
      <c r="E284" s="28"/>
      <c r="F284" s="48"/>
      <c r="G284" s="45"/>
      <c r="I284" s="390"/>
      <c r="J284" s="387"/>
      <c r="K284" s="391"/>
    </row>
    <row r="285" spans="1:12" x14ac:dyDescent="0.25">
      <c r="A285" s="43"/>
      <c r="B285" s="273" t="s">
        <v>48</v>
      </c>
      <c r="C285" s="26">
        <f>SUM(C286:C350)</f>
        <v>113768.50556000001</v>
      </c>
      <c r="D285" s="26">
        <f>SUM(D286:D350)</f>
        <v>127626005.56</v>
      </c>
      <c r="E285" s="28"/>
      <c r="F285" s="22"/>
      <c r="G285" s="45"/>
      <c r="I285" s="390"/>
      <c r="J285" s="387"/>
      <c r="K285" s="391"/>
    </row>
    <row r="286" spans="1:12" x14ac:dyDescent="0.25">
      <c r="A286" s="43">
        <v>42046</v>
      </c>
      <c r="B286" s="276" t="s">
        <v>104</v>
      </c>
      <c r="C286" s="52">
        <v>345.49686000000003</v>
      </c>
      <c r="D286" s="350">
        <v>345496.86</v>
      </c>
      <c r="E286" s="28">
        <v>33030</v>
      </c>
      <c r="F286" s="48" t="s">
        <v>49</v>
      </c>
      <c r="G286" s="45"/>
      <c r="I286" s="390"/>
      <c r="J286" s="387"/>
      <c r="K286" s="391"/>
      <c r="L286" s="45">
        <f>+C286*1000-D286</f>
        <v>0</v>
      </c>
    </row>
    <row r="287" spans="1:12" x14ac:dyDescent="0.25">
      <c r="A287" s="43">
        <v>42096</v>
      </c>
      <c r="B287" s="276" t="s">
        <v>140</v>
      </c>
      <c r="C287" s="52">
        <v>90.980059999999995</v>
      </c>
      <c r="D287" s="350">
        <v>90980.06</v>
      </c>
      <c r="E287" s="28">
        <v>33030</v>
      </c>
      <c r="F287" s="48" t="s">
        <v>49</v>
      </c>
      <c r="G287" s="45"/>
      <c r="I287" s="390"/>
      <c r="J287" s="387"/>
      <c r="K287" s="391"/>
      <c r="L287" s="45">
        <f t="shared" ref="L287:L350" si="2">+C287*1000-D287</f>
        <v>0</v>
      </c>
    </row>
    <row r="288" spans="1:12" x14ac:dyDescent="0.25">
      <c r="A288" s="43">
        <v>42118</v>
      </c>
      <c r="B288" s="276" t="s">
        <v>334</v>
      </c>
      <c r="C288" s="52">
        <v>60346.559999999998</v>
      </c>
      <c r="D288" s="350">
        <v>60346560</v>
      </c>
      <c r="E288" s="28">
        <v>13305</v>
      </c>
      <c r="F288" s="48">
        <v>4122</v>
      </c>
      <c r="G288" s="384" t="s">
        <v>346</v>
      </c>
      <c r="H288" s="384">
        <v>-8464560</v>
      </c>
      <c r="I288" s="394"/>
      <c r="J288" s="387">
        <v>8464560</v>
      </c>
      <c r="K288" s="391"/>
      <c r="L288" s="45">
        <f t="shared" si="2"/>
        <v>0</v>
      </c>
    </row>
    <row r="289" spans="1:12" x14ac:dyDescent="0.25">
      <c r="A289" s="43">
        <v>42122</v>
      </c>
      <c r="B289" s="276" t="s">
        <v>150</v>
      </c>
      <c r="C289" s="350">
        <v>341.41081000000003</v>
      </c>
      <c r="D289" s="350">
        <v>341410.81</v>
      </c>
      <c r="E289" s="28">
        <v>33030</v>
      </c>
      <c r="F289" s="48">
        <v>4122</v>
      </c>
      <c r="G289" s="45"/>
      <c r="I289" s="390"/>
      <c r="J289" s="387"/>
      <c r="K289" s="391"/>
      <c r="L289" s="45">
        <f t="shared" si="2"/>
        <v>0</v>
      </c>
    </row>
    <row r="290" spans="1:12" x14ac:dyDescent="0.25">
      <c r="A290" s="43">
        <v>42138</v>
      </c>
      <c r="B290" s="276" t="s">
        <v>181</v>
      </c>
      <c r="C290" s="350">
        <v>41.08</v>
      </c>
      <c r="D290" s="350">
        <v>41080</v>
      </c>
      <c r="E290" s="28">
        <v>14011</v>
      </c>
      <c r="F290" s="48">
        <v>4122</v>
      </c>
      <c r="G290" s="45"/>
      <c r="I290" s="390"/>
      <c r="J290" s="387"/>
      <c r="K290" s="391"/>
      <c r="L290" s="45">
        <f t="shared" si="2"/>
        <v>0</v>
      </c>
    </row>
    <row r="291" spans="1:12" x14ac:dyDescent="0.25">
      <c r="A291" s="43">
        <v>42145</v>
      </c>
      <c r="B291" s="276" t="s">
        <v>200</v>
      </c>
      <c r="C291" s="52">
        <v>8.3298000000000005</v>
      </c>
      <c r="D291" s="350">
        <f>7080.33+1249.47</f>
        <v>8329.7999999999993</v>
      </c>
      <c r="E291" s="28">
        <v>33030</v>
      </c>
      <c r="F291" s="48">
        <v>4122</v>
      </c>
      <c r="G291" s="45"/>
      <c r="I291" s="390"/>
      <c r="J291" s="387"/>
      <c r="K291" s="391"/>
      <c r="L291" s="45">
        <f t="shared" si="2"/>
        <v>0</v>
      </c>
    </row>
    <row r="292" spans="1:12" x14ac:dyDescent="0.25">
      <c r="A292" s="43">
        <v>42145</v>
      </c>
      <c r="B292" s="276" t="s">
        <v>415</v>
      </c>
      <c r="C292" s="52">
        <v>1476.0851600000001</v>
      </c>
      <c r="D292" s="350">
        <f>1254672.38+221412.78</f>
        <v>1476085.16</v>
      </c>
      <c r="E292" s="28">
        <v>33030</v>
      </c>
      <c r="F292" s="48">
        <v>4122</v>
      </c>
      <c r="G292" s="45"/>
      <c r="I292" s="390"/>
      <c r="J292" s="387"/>
      <c r="K292" s="391"/>
      <c r="L292" s="45">
        <f t="shared" si="2"/>
        <v>0</v>
      </c>
    </row>
    <row r="293" spans="1:12" x14ac:dyDescent="0.25">
      <c r="A293" s="43">
        <v>42145</v>
      </c>
      <c r="B293" s="276" t="s">
        <v>202</v>
      </c>
      <c r="C293" s="52">
        <v>452.84152</v>
      </c>
      <c r="D293" s="350">
        <f>384915.29+67926.23</f>
        <v>452841.51999999996</v>
      </c>
      <c r="E293" s="28">
        <v>33030</v>
      </c>
      <c r="F293" s="48">
        <v>4122</v>
      </c>
      <c r="G293" s="45"/>
      <c r="I293" s="390"/>
      <c r="J293" s="387"/>
      <c r="K293" s="391"/>
      <c r="L293" s="45">
        <f t="shared" si="2"/>
        <v>0</v>
      </c>
    </row>
    <row r="294" spans="1:12" x14ac:dyDescent="0.25">
      <c r="A294" s="43">
        <v>42152</v>
      </c>
      <c r="B294" s="276" t="s">
        <v>181</v>
      </c>
      <c r="C294" s="52">
        <v>29.64</v>
      </c>
      <c r="D294" s="350">
        <v>29640</v>
      </c>
      <c r="E294" s="28">
        <v>14011</v>
      </c>
      <c r="F294" s="48">
        <v>4122</v>
      </c>
      <c r="G294" s="45"/>
      <c r="I294" s="390"/>
      <c r="J294" s="387"/>
      <c r="K294" s="391"/>
      <c r="L294" s="45">
        <f t="shared" si="2"/>
        <v>0</v>
      </c>
    </row>
    <row r="295" spans="1:12" x14ac:dyDescent="0.25">
      <c r="A295" s="43">
        <v>42160</v>
      </c>
      <c r="B295" s="276" t="s">
        <v>239</v>
      </c>
      <c r="C295" s="52">
        <v>100</v>
      </c>
      <c r="D295" s="350">
        <v>100000</v>
      </c>
      <c r="E295" s="28">
        <v>539</v>
      </c>
      <c r="F295" s="48">
        <v>4122</v>
      </c>
      <c r="G295" s="45"/>
      <c r="I295" s="390"/>
      <c r="J295" s="387"/>
      <c r="K295" s="391"/>
      <c r="L295" s="45">
        <f t="shared" si="2"/>
        <v>0</v>
      </c>
    </row>
    <row r="296" spans="1:12" x14ac:dyDescent="0.25">
      <c r="A296" s="43">
        <v>42160</v>
      </c>
      <c r="B296" s="276" t="s">
        <v>240</v>
      </c>
      <c r="C296" s="52">
        <v>98</v>
      </c>
      <c r="D296" s="350">
        <v>98000</v>
      </c>
      <c r="E296" s="28">
        <v>539</v>
      </c>
      <c r="F296" s="48">
        <v>4122</v>
      </c>
      <c r="G296" s="45"/>
      <c r="I296" s="390"/>
      <c r="J296" s="387"/>
      <c r="K296" s="391"/>
      <c r="L296" s="45">
        <f t="shared" si="2"/>
        <v>0</v>
      </c>
    </row>
    <row r="297" spans="1:12" x14ac:dyDescent="0.25">
      <c r="A297" s="43">
        <v>42173</v>
      </c>
      <c r="B297" s="276" t="s">
        <v>236</v>
      </c>
      <c r="C297" s="52">
        <v>100</v>
      </c>
      <c r="D297" s="350">
        <v>100000</v>
      </c>
      <c r="E297" s="28">
        <v>539</v>
      </c>
      <c r="F297" s="48">
        <v>4122</v>
      </c>
      <c r="G297" s="45"/>
      <c r="I297" s="390"/>
      <c r="J297" s="387"/>
      <c r="K297" s="391"/>
      <c r="L297" s="45">
        <f t="shared" si="2"/>
        <v>0</v>
      </c>
    </row>
    <row r="298" spans="1:12" x14ac:dyDescent="0.25">
      <c r="A298" s="43">
        <v>42178</v>
      </c>
      <c r="B298" s="276" t="s">
        <v>243</v>
      </c>
      <c r="C298" s="52">
        <v>81.797319999999999</v>
      </c>
      <c r="D298" s="350">
        <f>69527.72+12269.6</f>
        <v>81797.320000000007</v>
      </c>
      <c r="E298" s="28">
        <v>33030</v>
      </c>
      <c r="F298" s="48">
        <v>4122</v>
      </c>
      <c r="G298" s="45"/>
      <c r="I298" s="390"/>
      <c r="J298" s="387"/>
      <c r="K298" s="391"/>
      <c r="L298" s="45">
        <f t="shared" si="2"/>
        <v>0</v>
      </c>
    </row>
    <row r="299" spans="1:12" x14ac:dyDescent="0.25">
      <c r="A299" s="43">
        <v>42181</v>
      </c>
      <c r="B299" s="276" t="s">
        <v>250</v>
      </c>
      <c r="C299" s="52">
        <v>200</v>
      </c>
      <c r="D299" s="350">
        <v>200000</v>
      </c>
      <c r="E299" s="28">
        <v>539</v>
      </c>
      <c r="F299" s="48">
        <v>4122</v>
      </c>
      <c r="G299" s="45"/>
      <c r="I299" s="390"/>
      <c r="J299" s="387"/>
      <c r="K299" s="391"/>
      <c r="L299" s="45">
        <f t="shared" si="2"/>
        <v>0</v>
      </c>
    </row>
    <row r="300" spans="1:12" x14ac:dyDescent="0.25">
      <c r="A300" s="43">
        <v>42181</v>
      </c>
      <c r="B300" s="276" t="s">
        <v>252</v>
      </c>
      <c r="C300" s="52">
        <v>701.62408000000005</v>
      </c>
      <c r="D300" s="350">
        <v>701624.08</v>
      </c>
      <c r="E300" s="28">
        <v>33030</v>
      </c>
      <c r="F300" s="48">
        <v>4122</v>
      </c>
      <c r="G300" s="45"/>
      <c r="I300" s="390"/>
      <c r="J300" s="387"/>
      <c r="K300" s="391"/>
      <c r="L300" s="45">
        <f t="shared" si="2"/>
        <v>0</v>
      </c>
    </row>
    <row r="301" spans="1:12" x14ac:dyDescent="0.25">
      <c r="A301" s="43">
        <v>42181</v>
      </c>
      <c r="B301" s="276" t="s">
        <v>251</v>
      </c>
      <c r="C301" s="52">
        <v>93.395690000000002</v>
      </c>
      <c r="D301" s="350">
        <v>93395.69</v>
      </c>
      <c r="E301" s="28">
        <v>33030</v>
      </c>
      <c r="F301" s="48">
        <v>4122</v>
      </c>
      <c r="G301" s="45"/>
      <c r="I301" s="390"/>
      <c r="J301" s="387"/>
      <c r="K301" s="391"/>
      <c r="L301" s="45">
        <f t="shared" si="2"/>
        <v>0</v>
      </c>
    </row>
    <row r="302" spans="1:12" x14ac:dyDescent="0.25">
      <c r="A302" s="43">
        <v>42181</v>
      </c>
      <c r="B302" s="276" t="s">
        <v>253</v>
      </c>
      <c r="C302" s="52">
        <v>137.19474</v>
      </c>
      <c r="D302" s="350">
        <v>137194.74</v>
      </c>
      <c r="E302" s="28">
        <v>33030</v>
      </c>
      <c r="F302" s="48">
        <v>4122</v>
      </c>
      <c r="G302" s="45"/>
      <c r="I302" s="390"/>
      <c r="J302" s="387"/>
      <c r="K302" s="391"/>
      <c r="L302" s="45">
        <f t="shared" si="2"/>
        <v>0</v>
      </c>
    </row>
    <row r="303" spans="1:12" x14ac:dyDescent="0.25">
      <c r="A303" s="43">
        <v>42184</v>
      </c>
      <c r="B303" s="276" t="s">
        <v>254</v>
      </c>
      <c r="C303" s="52">
        <v>276.28805999999997</v>
      </c>
      <c r="D303" s="350">
        <v>276288.06</v>
      </c>
      <c r="E303" s="28">
        <v>33030</v>
      </c>
      <c r="F303" s="48">
        <v>4122</v>
      </c>
      <c r="G303" s="45"/>
      <c r="I303" s="390"/>
      <c r="J303" s="387"/>
      <c r="K303" s="391"/>
      <c r="L303" s="45">
        <f t="shared" si="2"/>
        <v>0</v>
      </c>
    </row>
    <row r="304" spans="1:12" x14ac:dyDescent="0.25">
      <c r="A304" s="43">
        <v>42184</v>
      </c>
      <c r="B304" s="276" t="s">
        <v>150</v>
      </c>
      <c r="C304" s="52">
        <v>371.08757000000003</v>
      </c>
      <c r="D304" s="350">
        <v>371087.57</v>
      </c>
      <c r="E304" s="28">
        <v>33030</v>
      </c>
      <c r="F304" s="48">
        <v>4122</v>
      </c>
      <c r="G304" s="45"/>
      <c r="I304" s="390"/>
      <c r="J304" s="387"/>
      <c r="K304" s="391"/>
      <c r="L304" s="45">
        <f t="shared" si="2"/>
        <v>0</v>
      </c>
    </row>
    <row r="305" spans="1:12" x14ac:dyDescent="0.25">
      <c r="A305" s="43">
        <v>42184</v>
      </c>
      <c r="B305" s="276" t="s">
        <v>256</v>
      </c>
      <c r="C305" s="52">
        <v>120</v>
      </c>
      <c r="D305" s="350">
        <v>120000</v>
      </c>
      <c r="E305" s="28">
        <v>311</v>
      </c>
      <c r="F305" s="48">
        <v>4122</v>
      </c>
      <c r="G305" s="45"/>
      <c r="I305" s="390"/>
      <c r="J305" s="387"/>
      <c r="K305" s="391"/>
      <c r="L305" s="45">
        <f t="shared" si="2"/>
        <v>0</v>
      </c>
    </row>
    <row r="306" spans="1:12" x14ac:dyDescent="0.25">
      <c r="A306" s="43">
        <v>42184</v>
      </c>
      <c r="B306" s="276" t="s">
        <v>255</v>
      </c>
      <c r="C306" s="52">
        <v>60</v>
      </c>
      <c r="D306" s="350">
        <v>60000</v>
      </c>
      <c r="E306" s="28">
        <v>311</v>
      </c>
      <c r="F306" s="48">
        <v>4122</v>
      </c>
      <c r="G306" s="45"/>
      <c r="I306" s="390"/>
      <c r="J306" s="387"/>
      <c r="K306" s="391"/>
      <c r="L306" s="45">
        <f t="shared" si="2"/>
        <v>0</v>
      </c>
    </row>
    <row r="307" spans="1:12" x14ac:dyDescent="0.25">
      <c r="A307" s="43">
        <v>42187</v>
      </c>
      <c r="B307" s="276" t="s">
        <v>281</v>
      </c>
      <c r="C307" s="52">
        <v>50</v>
      </c>
      <c r="D307" s="350">
        <v>50000</v>
      </c>
      <c r="E307" s="28">
        <v>311</v>
      </c>
      <c r="F307" s="48">
        <v>4122</v>
      </c>
      <c r="G307" s="45"/>
      <c r="I307" s="390"/>
      <c r="J307" s="387"/>
      <c r="K307" s="391"/>
      <c r="L307" s="45">
        <f t="shared" si="2"/>
        <v>0</v>
      </c>
    </row>
    <row r="308" spans="1:12" x14ac:dyDescent="0.25">
      <c r="A308" s="43">
        <v>42187</v>
      </c>
      <c r="B308" s="276" t="s">
        <v>282</v>
      </c>
      <c r="C308" s="52">
        <v>50</v>
      </c>
      <c r="D308" s="350">
        <v>50000</v>
      </c>
      <c r="E308" s="28">
        <v>311</v>
      </c>
      <c r="F308" s="48">
        <v>4122</v>
      </c>
      <c r="G308" s="45"/>
      <c r="I308" s="390"/>
      <c r="J308" s="387"/>
      <c r="K308" s="391"/>
      <c r="L308" s="45">
        <f t="shared" si="2"/>
        <v>0</v>
      </c>
    </row>
    <row r="309" spans="1:12" x14ac:dyDescent="0.25">
      <c r="A309" s="43">
        <v>42192</v>
      </c>
      <c r="B309" s="276" t="s">
        <v>285</v>
      </c>
      <c r="C309" s="52">
        <v>100</v>
      </c>
      <c r="D309" s="350">
        <v>100000</v>
      </c>
      <c r="E309" s="28">
        <v>331</v>
      </c>
      <c r="F309" s="48">
        <v>4122</v>
      </c>
      <c r="G309" s="45"/>
      <c r="I309" s="390"/>
      <c r="J309" s="387"/>
      <c r="K309" s="391"/>
      <c r="L309" s="45">
        <f t="shared" si="2"/>
        <v>0</v>
      </c>
    </row>
    <row r="310" spans="1:12" x14ac:dyDescent="0.25">
      <c r="A310" s="43">
        <v>42192</v>
      </c>
      <c r="B310" s="276" t="s">
        <v>286</v>
      </c>
      <c r="C310" s="52">
        <v>100</v>
      </c>
      <c r="D310" s="350">
        <v>100000</v>
      </c>
      <c r="E310" s="28">
        <v>331</v>
      </c>
      <c r="F310" s="48">
        <v>4122</v>
      </c>
      <c r="G310" s="45"/>
      <c r="I310" s="390"/>
      <c r="J310" s="387"/>
      <c r="K310" s="391"/>
      <c r="L310" s="45">
        <f t="shared" si="2"/>
        <v>0</v>
      </c>
    </row>
    <row r="311" spans="1:12" x14ac:dyDescent="0.25">
      <c r="A311" s="43">
        <v>42192</v>
      </c>
      <c r="B311" s="276" t="s">
        <v>287</v>
      </c>
      <c r="C311" s="52">
        <v>200</v>
      </c>
      <c r="D311" s="350">
        <v>200000</v>
      </c>
      <c r="E311" s="28">
        <v>331</v>
      </c>
      <c r="F311" s="48">
        <v>4122</v>
      </c>
      <c r="G311" s="45"/>
      <c r="I311" s="390"/>
      <c r="J311" s="387"/>
      <c r="K311" s="391"/>
      <c r="L311" s="45">
        <f t="shared" si="2"/>
        <v>0</v>
      </c>
    </row>
    <row r="312" spans="1:12" x14ac:dyDescent="0.25">
      <c r="A312" s="43">
        <v>42192</v>
      </c>
      <c r="B312" s="276" t="s">
        <v>288</v>
      </c>
      <c r="C312" s="52">
        <v>600</v>
      </c>
      <c r="D312" s="350">
        <v>600000</v>
      </c>
      <c r="E312" s="28">
        <v>331</v>
      </c>
      <c r="F312" s="48">
        <v>4122</v>
      </c>
      <c r="G312" s="45"/>
      <c r="I312" s="390"/>
      <c r="J312" s="387"/>
      <c r="K312" s="391"/>
      <c r="L312" s="45">
        <f t="shared" si="2"/>
        <v>0</v>
      </c>
    </row>
    <row r="313" spans="1:12" x14ac:dyDescent="0.25">
      <c r="A313" s="43">
        <v>42192</v>
      </c>
      <c r="B313" s="276" t="s">
        <v>414</v>
      </c>
      <c r="C313" s="52">
        <v>400</v>
      </c>
      <c r="D313" s="350">
        <v>400000</v>
      </c>
      <c r="E313" s="28">
        <v>331</v>
      </c>
      <c r="F313" s="48">
        <v>4122</v>
      </c>
      <c r="G313" s="45"/>
      <c r="I313" s="390"/>
      <c r="J313" s="387"/>
      <c r="K313" s="391"/>
      <c r="L313" s="45">
        <f t="shared" si="2"/>
        <v>0</v>
      </c>
    </row>
    <row r="314" spans="1:12" x14ac:dyDescent="0.25">
      <c r="A314" s="43">
        <v>42192</v>
      </c>
      <c r="B314" s="276" t="s">
        <v>290</v>
      </c>
      <c r="C314" s="52">
        <v>600</v>
      </c>
      <c r="D314" s="350">
        <v>600000</v>
      </c>
      <c r="E314" s="28">
        <v>331</v>
      </c>
      <c r="F314" s="48">
        <v>4122</v>
      </c>
      <c r="G314" s="45"/>
      <c r="I314" s="390"/>
      <c r="J314" s="387"/>
      <c r="K314" s="391"/>
      <c r="L314" s="45">
        <f t="shared" si="2"/>
        <v>0</v>
      </c>
    </row>
    <row r="315" spans="1:12" x14ac:dyDescent="0.25">
      <c r="A315" s="43">
        <v>42192</v>
      </c>
      <c r="B315" s="276" t="s">
        <v>291</v>
      </c>
      <c r="C315" s="52">
        <v>600</v>
      </c>
      <c r="D315" s="350">
        <v>600000</v>
      </c>
      <c r="E315" s="28">
        <v>331</v>
      </c>
      <c r="F315" s="48">
        <v>4122</v>
      </c>
      <c r="G315" s="45"/>
      <c r="I315" s="390"/>
      <c r="J315" s="387"/>
      <c r="K315" s="391"/>
      <c r="L315" s="45">
        <f t="shared" si="2"/>
        <v>0</v>
      </c>
    </row>
    <row r="316" spans="1:12" x14ac:dyDescent="0.25">
      <c r="A316" s="43">
        <v>42192</v>
      </c>
      <c r="B316" s="276" t="s">
        <v>292</v>
      </c>
      <c r="C316" s="52">
        <v>600</v>
      </c>
      <c r="D316" s="350">
        <v>600000</v>
      </c>
      <c r="E316" s="28">
        <v>331</v>
      </c>
      <c r="F316" s="48">
        <v>4122</v>
      </c>
      <c r="G316" s="45"/>
      <c r="I316" s="390"/>
      <c r="J316" s="387"/>
      <c r="K316" s="391"/>
      <c r="L316" s="45">
        <f t="shared" si="2"/>
        <v>0</v>
      </c>
    </row>
    <row r="317" spans="1:12" x14ac:dyDescent="0.25">
      <c r="A317" s="43">
        <v>42192</v>
      </c>
      <c r="B317" s="276" t="s">
        <v>293</v>
      </c>
      <c r="C317" s="52">
        <v>600</v>
      </c>
      <c r="D317" s="350">
        <v>600000</v>
      </c>
      <c r="E317" s="28">
        <v>331</v>
      </c>
      <c r="F317" s="48">
        <v>4122</v>
      </c>
      <c r="G317" s="45"/>
      <c r="I317" s="390"/>
      <c r="J317" s="387"/>
      <c r="K317" s="391"/>
      <c r="L317" s="45">
        <f t="shared" si="2"/>
        <v>0</v>
      </c>
    </row>
    <row r="318" spans="1:12" x14ac:dyDescent="0.25">
      <c r="A318" s="43">
        <v>42213</v>
      </c>
      <c r="B318" s="276" t="s">
        <v>333</v>
      </c>
      <c r="C318" s="52">
        <v>40231.040000000001</v>
      </c>
      <c r="D318" s="350">
        <v>40231040</v>
      </c>
      <c r="E318" s="28">
        <v>13305</v>
      </c>
      <c r="F318" s="48">
        <v>4122</v>
      </c>
      <c r="G318" s="384" t="s">
        <v>346</v>
      </c>
      <c r="H318" s="384">
        <f>-3646440-1996600</f>
        <v>-5643040</v>
      </c>
      <c r="I318" s="394"/>
      <c r="J318" s="387">
        <v>5643040</v>
      </c>
      <c r="K318" s="391"/>
      <c r="L318" s="45">
        <f t="shared" si="2"/>
        <v>0</v>
      </c>
    </row>
    <row r="319" spans="1:12" x14ac:dyDescent="0.25">
      <c r="A319" s="43">
        <v>42254</v>
      </c>
      <c r="B319" s="276" t="s">
        <v>432</v>
      </c>
      <c r="C319" s="350">
        <v>15</v>
      </c>
      <c r="D319" s="350">
        <v>15000</v>
      </c>
      <c r="E319" s="28">
        <v>359</v>
      </c>
      <c r="F319" s="48">
        <v>4122</v>
      </c>
      <c r="G319" s="45"/>
      <c r="I319" s="390"/>
      <c r="J319" s="387"/>
      <c r="K319" s="391"/>
      <c r="L319" s="45">
        <f t="shared" si="2"/>
        <v>0</v>
      </c>
    </row>
    <row r="320" spans="1:12" x14ac:dyDescent="0.25">
      <c r="A320" s="43">
        <v>42256</v>
      </c>
      <c r="B320" s="276" t="s">
        <v>420</v>
      </c>
      <c r="C320" s="52">
        <v>60</v>
      </c>
      <c r="D320" s="350">
        <v>60000</v>
      </c>
      <c r="E320" s="28">
        <v>214</v>
      </c>
      <c r="F320" s="48">
        <v>4122</v>
      </c>
      <c r="G320" s="45"/>
      <c r="I320" s="390"/>
      <c r="J320" s="387"/>
      <c r="K320" s="391"/>
      <c r="L320" s="45">
        <f t="shared" si="2"/>
        <v>0</v>
      </c>
    </row>
    <row r="321" spans="1:12" x14ac:dyDescent="0.25">
      <c r="A321" s="43">
        <v>42291</v>
      </c>
      <c r="B321" s="276" t="s">
        <v>532</v>
      </c>
      <c r="C321" s="52">
        <v>37</v>
      </c>
      <c r="D321" s="350">
        <v>37000</v>
      </c>
      <c r="E321" s="28">
        <v>331</v>
      </c>
      <c r="F321" s="48">
        <v>4122</v>
      </c>
      <c r="G321" s="45"/>
      <c r="I321" s="390"/>
      <c r="J321" s="387"/>
      <c r="K321" s="391"/>
      <c r="L321" s="45">
        <f t="shared" si="2"/>
        <v>0</v>
      </c>
    </row>
    <row r="322" spans="1:12" x14ac:dyDescent="0.25">
      <c r="A322" s="43">
        <v>42291</v>
      </c>
      <c r="B322" s="276" t="s">
        <v>533</v>
      </c>
      <c r="C322" s="52">
        <v>61</v>
      </c>
      <c r="D322" s="350">
        <v>61000</v>
      </c>
      <c r="E322" s="28">
        <v>331</v>
      </c>
      <c r="F322" s="48">
        <v>4122</v>
      </c>
      <c r="G322" s="45"/>
      <c r="I322" s="390"/>
      <c r="J322" s="387"/>
      <c r="K322" s="391"/>
      <c r="L322" s="45">
        <f t="shared" si="2"/>
        <v>0</v>
      </c>
    </row>
    <row r="323" spans="1:12" x14ac:dyDescent="0.25">
      <c r="A323" s="43">
        <v>42291</v>
      </c>
      <c r="B323" s="276" t="s">
        <v>534</v>
      </c>
      <c r="C323" s="52">
        <v>40</v>
      </c>
      <c r="D323" s="350">
        <v>40000</v>
      </c>
      <c r="E323" s="28">
        <v>331</v>
      </c>
      <c r="F323" s="48">
        <v>4122</v>
      </c>
      <c r="G323" s="45"/>
      <c r="I323" s="390"/>
      <c r="J323" s="387"/>
      <c r="K323" s="391"/>
      <c r="L323" s="45">
        <f t="shared" si="2"/>
        <v>0</v>
      </c>
    </row>
    <row r="324" spans="1:12" x14ac:dyDescent="0.25">
      <c r="A324" s="43">
        <v>42291</v>
      </c>
      <c r="B324" s="276" t="s">
        <v>535</v>
      </c>
      <c r="C324" s="52">
        <v>30</v>
      </c>
      <c r="D324" s="350">
        <v>30000</v>
      </c>
      <c r="E324" s="28">
        <v>331</v>
      </c>
      <c r="F324" s="48">
        <v>4122</v>
      </c>
      <c r="G324" s="45"/>
      <c r="I324" s="390"/>
      <c r="J324" s="387"/>
      <c r="K324" s="391"/>
      <c r="L324" s="45">
        <f t="shared" si="2"/>
        <v>0</v>
      </c>
    </row>
    <row r="325" spans="1:12" x14ac:dyDescent="0.25">
      <c r="A325" s="43">
        <v>42318</v>
      </c>
      <c r="B325" s="276" t="s">
        <v>599</v>
      </c>
      <c r="C325" s="52"/>
      <c r="D325" s="350">
        <v>75000</v>
      </c>
      <c r="E325" s="28">
        <v>331</v>
      </c>
      <c r="F325" s="48">
        <v>4122</v>
      </c>
      <c r="G325" s="45"/>
      <c r="I325" s="390"/>
      <c r="J325" s="387"/>
      <c r="K325" s="391"/>
      <c r="L325" s="45">
        <f t="shared" si="2"/>
        <v>-75000</v>
      </c>
    </row>
    <row r="326" spans="1:12" x14ac:dyDescent="0.25">
      <c r="A326" s="43">
        <v>42331</v>
      </c>
      <c r="B326" s="276" t="s">
        <v>333</v>
      </c>
      <c r="C326" s="52"/>
      <c r="D326" s="350">
        <f>11762800+1648000+271700</f>
        <v>13682500</v>
      </c>
      <c r="E326" s="28">
        <v>13305</v>
      </c>
      <c r="F326" s="48">
        <v>4122</v>
      </c>
      <c r="G326" s="384" t="s">
        <v>347</v>
      </c>
      <c r="H326" s="384">
        <v>1919700</v>
      </c>
      <c r="I326" s="390"/>
      <c r="J326" s="387"/>
      <c r="K326" s="391"/>
      <c r="L326" s="45">
        <f t="shared" si="2"/>
        <v>-13682500</v>
      </c>
    </row>
    <row r="327" spans="1:12" x14ac:dyDescent="0.25">
      <c r="A327" s="43"/>
      <c r="B327" s="276" t="s">
        <v>309</v>
      </c>
      <c r="C327" s="175">
        <v>50</v>
      </c>
      <c r="D327" s="423">
        <v>50000</v>
      </c>
      <c r="E327" s="28">
        <v>551</v>
      </c>
      <c r="F327" s="48">
        <v>4122</v>
      </c>
      <c r="G327" s="45"/>
      <c r="H327" s="384"/>
      <c r="I327" s="390"/>
      <c r="J327" s="387">
        <v>50000</v>
      </c>
      <c r="K327" s="395"/>
      <c r="L327" s="45">
        <f t="shared" si="2"/>
        <v>0</v>
      </c>
    </row>
    <row r="328" spans="1:12" x14ac:dyDescent="0.25">
      <c r="A328" s="43"/>
      <c r="B328" s="276" t="s">
        <v>311</v>
      </c>
      <c r="C328" s="175">
        <v>130</v>
      </c>
      <c r="D328" s="423">
        <v>130000</v>
      </c>
      <c r="E328" s="28">
        <v>551</v>
      </c>
      <c r="F328" s="48">
        <v>4122</v>
      </c>
      <c r="G328" s="384"/>
      <c r="H328" s="384"/>
      <c r="I328" s="390"/>
      <c r="J328" s="387">
        <v>130000</v>
      </c>
      <c r="K328" s="395"/>
      <c r="L328" s="45">
        <f t="shared" si="2"/>
        <v>0</v>
      </c>
    </row>
    <row r="329" spans="1:12" x14ac:dyDescent="0.25">
      <c r="A329" s="43"/>
      <c r="B329" s="276" t="s">
        <v>589</v>
      </c>
      <c r="C329" s="197">
        <v>50</v>
      </c>
      <c r="D329" s="197">
        <v>50000</v>
      </c>
      <c r="E329" s="28">
        <v>331</v>
      </c>
      <c r="F329" s="48">
        <v>4122</v>
      </c>
      <c r="G329" s="384"/>
      <c r="H329" s="269"/>
      <c r="I329" s="390"/>
      <c r="J329" s="387">
        <v>50000</v>
      </c>
      <c r="K329" s="391"/>
      <c r="L329" s="45">
        <f t="shared" si="2"/>
        <v>0</v>
      </c>
    </row>
    <row r="330" spans="1:12" x14ac:dyDescent="0.25">
      <c r="A330" s="43"/>
      <c r="B330" s="276" t="s">
        <v>249</v>
      </c>
      <c r="C330" s="175">
        <v>60</v>
      </c>
      <c r="D330" s="423">
        <v>60000</v>
      </c>
      <c r="E330" s="28">
        <v>539</v>
      </c>
      <c r="F330" s="48">
        <v>4122</v>
      </c>
      <c r="G330" s="45"/>
      <c r="I330" s="390"/>
      <c r="J330" s="387">
        <v>60000</v>
      </c>
      <c r="K330" s="391"/>
      <c r="L330" s="45">
        <f t="shared" si="2"/>
        <v>0</v>
      </c>
    </row>
    <row r="331" spans="1:12" x14ac:dyDescent="0.25">
      <c r="A331" s="43"/>
      <c r="B331" s="276" t="s">
        <v>421</v>
      </c>
      <c r="C331" s="175">
        <v>70</v>
      </c>
      <c r="D331" s="423">
        <v>70000</v>
      </c>
      <c r="E331" s="22">
        <v>551</v>
      </c>
      <c r="F331" s="48">
        <v>4122</v>
      </c>
      <c r="G331" s="384"/>
      <c r="H331" s="384"/>
      <c r="I331" s="390"/>
      <c r="J331" s="387">
        <v>70000</v>
      </c>
      <c r="K331" s="391"/>
      <c r="L331" s="45">
        <f t="shared" si="2"/>
        <v>0</v>
      </c>
    </row>
    <row r="332" spans="1:12" x14ac:dyDescent="0.25">
      <c r="A332" s="43"/>
      <c r="B332" s="276" t="s">
        <v>69</v>
      </c>
      <c r="C332" s="175">
        <f>674.88547+191.22315+33.74527</f>
        <v>899.85389000000009</v>
      </c>
      <c r="D332" s="423">
        <f>674885.47+224968.42</f>
        <v>899853.89</v>
      </c>
      <c r="E332" s="22">
        <v>33030</v>
      </c>
      <c r="F332" s="48">
        <v>4122</v>
      </c>
      <c r="G332" s="45"/>
      <c r="I332" s="390"/>
      <c r="J332" s="387">
        <f>674885.47+224968.42</f>
        <v>899853.89</v>
      </c>
      <c r="K332" s="391"/>
      <c r="L332" s="45">
        <f t="shared" si="2"/>
        <v>0</v>
      </c>
    </row>
    <row r="333" spans="1:12" x14ac:dyDescent="0.25">
      <c r="A333" s="43"/>
      <c r="B333" s="276" t="s">
        <v>259</v>
      </c>
      <c r="C333" s="175">
        <v>35</v>
      </c>
      <c r="D333" s="423">
        <v>35000</v>
      </c>
      <c r="E333" s="22">
        <v>539</v>
      </c>
      <c r="F333" s="48">
        <v>4122</v>
      </c>
      <c r="G333" s="45"/>
      <c r="I333" s="390"/>
      <c r="J333" s="387">
        <v>35000</v>
      </c>
      <c r="K333" s="391"/>
      <c r="L333" s="45">
        <f t="shared" si="2"/>
        <v>0</v>
      </c>
    </row>
    <row r="334" spans="1:12" x14ac:dyDescent="0.25">
      <c r="A334" s="43"/>
      <c r="B334" s="276" t="s">
        <v>139</v>
      </c>
      <c r="C334" s="175">
        <f>669.36+446.24+138.2</f>
        <v>1253.8</v>
      </c>
      <c r="D334" s="423">
        <f>669360+446240+138200</f>
        <v>1253800</v>
      </c>
      <c r="E334" s="22">
        <v>13305</v>
      </c>
      <c r="F334" s="48">
        <v>4122</v>
      </c>
      <c r="G334" s="45"/>
      <c r="I334" s="390"/>
      <c r="J334" s="387">
        <f>669360+446240+138200</f>
        <v>1253800</v>
      </c>
      <c r="K334" s="391"/>
      <c r="L334" s="45">
        <f t="shared" si="2"/>
        <v>0</v>
      </c>
    </row>
    <row r="335" spans="1:12" x14ac:dyDescent="0.25">
      <c r="A335" s="43"/>
      <c r="B335" s="276" t="s">
        <v>151</v>
      </c>
      <c r="C335" s="175">
        <v>964</v>
      </c>
      <c r="D335" s="423">
        <f>578400+385600</f>
        <v>964000</v>
      </c>
      <c r="E335" s="22">
        <v>13305</v>
      </c>
      <c r="F335" s="48">
        <v>4122</v>
      </c>
      <c r="G335" s="45"/>
      <c r="I335" s="390"/>
      <c r="J335" s="387">
        <f>578400+385600</f>
        <v>964000</v>
      </c>
      <c r="K335" s="391"/>
      <c r="L335" s="45">
        <f t="shared" si="2"/>
        <v>0</v>
      </c>
    </row>
    <row r="336" spans="1:12" x14ac:dyDescent="0.25">
      <c r="A336" s="43"/>
      <c r="B336" s="276" t="s">
        <v>332</v>
      </c>
      <c r="C336" s="175">
        <v>80</v>
      </c>
      <c r="D336" s="423">
        <v>80000</v>
      </c>
      <c r="E336" s="22">
        <v>551</v>
      </c>
      <c r="F336" s="48">
        <v>4122</v>
      </c>
      <c r="G336" s="384"/>
      <c r="H336" s="384"/>
      <c r="I336" s="390"/>
      <c r="J336" s="387">
        <v>80000</v>
      </c>
      <c r="K336" s="391"/>
      <c r="L336" s="45">
        <f t="shared" si="2"/>
        <v>0</v>
      </c>
    </row>
    <row r="337" spans="1:12" x14ac:dyDescent="0.25">
      <c r="A337" s="43"/>
      <c r="B337" s="276" t="s">
        <v>600</v>
      </c>
      <c r="C337" s="175">
        <v>60</v>
      </c>
      <c r="D337" s="423">
        <v>60000</v>
      </c>
      <c r="E337" s="22">
        <v>331</v>
      </c>
      <c r="F337" s="48">
        <v>4122</v>
      </c>
      <c r="G337" s="384"/>
      <c r="H337" s="384"/>
      <c r="I337" s="390"/>
      <c r="J337" s="387">
        <v>60000</v>
      </c>
      <c r="K337" s="391"/>
      <c r="L337" s="45">
        <f t="shared" si="2"/>
        <v>0</v>
      </c>
    </row>
    <row r="338" spans="1:12" x14ac:dyDescent="0.25">
      <c r="A338" s="43"/>
      <c r="B338" s="276" t="s">
        <v>304</v>
      </c>
      <c r="C338" s="175">
        <v>55</v>
      </c>
      <c r="D338" s="423">
        <v>55000</v>
      </c>
      <c r="E338" s="22">
        <v>551</v>
      </c>
      <c r="F338" s="48">
        <v>4122</v>
      </c>
      <c r="G338" s="384"/>
      <c r="H338" s="384"/>
      <c r="I338" s="390"/>
      <c r="J338" s="387">
        <v>55000</v>
      </c>
      <c r="K338" s="391"/>
      <c r="L338" s="45">
        <f t="shared" si="2"/>
        <v>0</v>
      </c>
    </row>
    <row r="339" spans="1:12" x14ac:dyDescent="0.25">
      <c r="A339" s="43"/>
      <c r="B339" s="276" t="s">
        <v>619</v>
      </c>
      <c r="C339" s="175"/>
      <c r="D339" s="423">
        <v>50000</v>
      </c>
      <c r="E339" s="22">
        <v>331</v>
      </c>
      <c r="F339" s="48">
        <v>4122</v>
      </c>
      <c r="G339" s="384" t="s">
        <v>64</v>
      </c>
      <c r="H339" s="384"/>
      <c r="I339" s="390">
        <v>50000</v>
      </c>
      <c r="J339" s="387"/>
      <c r="K339" s="391"/>
      <c r="L339" s="45">
        <f t="shared" si="2"/>
        <v>-50000</v>
      </c>
    </row>
    <row r="340" spans="1:12" x14ac:dyDescent="0.25">
      <c r="A340" s="43"/>
      <c r="B340" s="276" t="s">
        <v>426</v>
      </c>
      <c r="C340" s="175">
        <v>70</v>
      </c>
      <c r="D340" s="423">
        <v>70000</v>
      </c>
      <c r="E340" s="22">
        <v>101</v>
      </c>
      <c r="F340" s="48">
        <v>4122</v>
      </c>
      <c r="G340" s="384"/>
      <c r="H340" s="384"/>
      <c r="I340" s="390"/>
      <c r="J340" s="387">
        <v>70000</v>
      </c>
      <c r="K340" s="391"/>
      <c r="L340" s="45">
        <f t="shared" si="2"/>
        <v>0</v>
      </c>
    </row>
    <row r="341" spans="1:12" x14ac:dyDescent="0.25">
      <c r="A341" s="43"/>
      <c r="B341" s="276" t="s">
        <v>561</v>
      </c>
      <c r="C341" s="175">
        <v>0</v>
      </c>
      <c r="D341" s="423">
        <v>50000</v>
      </c>
      <c r="E341" s="22">
        <v>439</v>
      </c>
      <c r="F341" s="48">
        <v>4122</v>
      </c>
      <c r="G341" s="384" t="s">
        <v>64</v>
      </c>
      <c r="H341" s="384"/>
      <c r="I341" s="390">
        <v>50000</v>
      </c>
      <c r="J341" s="387"/>
      <c r="K341" s="391"/>
      <c r="L341" s="45">
        <f t="shared" si="2"/>
        <v>-50000</v>
      </c>
    </row>
    <row r="342" spans="1:12" x14ac:dyDescent="0.25">
      <c r="A342" s="43"/>
      <c r="B342" s="276" t="s">
        <v>331</v>
      </c>
      <c r="C342" s="175">
        <v>90</v>
      </c>
      <c r="D342" s="423">
        <v>90000</v>
      </c>
      <c r="E342" s="22">
        <v>551</v>
      </c>
      <c r="F342" s="48">
        <v>4122</v>
      </c>
      <c r="G342" s="384"/>
      <c r="H342" s="384"/>
      <c r="I342" s="390"/>
      <c r="J342" s="387">
        <v>90000</v>
      </c>
      <c r="K342" s="391"/>
      <c r="L342" s="45">
        <f t="shared" si="2"/>
        <v>0</v>
      </c>
    </row>
    <row r="343" spans="1:12" x14ac:dyDescent="0.25">
      <c r="A343" s="43"/>
      <c r="B343" s="276" t="s">
        <v>310</v>
      </c>
      <c r="C343" s="175">
        <v>55</v>
      </c>
      <c r="D343" s="423">
        <v>55000</v>
      </c>
      <c r="E343" s="22">
        <v>551</v>
      </c>
      <c r="F343" s="48">
        <v>4122</v>
      </c>
      <c r="G343" s="384"/>
      <c r="H343" s="384"/>
      <c r="I343" s="390"/>
      <c r="J343" s="387">
        <v>55000</v>
      </c>
      <c r="K343" s="391"/>
      <c r="L343" s="45">
        <f t="shared" si="2"/>
        <v>0</v>
      </c>
    </row>
    <row r="344" spans="1:12" x14ac:dyDescent="0.25">
      <c r="A344" s="43"/>
      <c r="B344" s="276"/>
      <c r="C344" s="350"/>
      <c r="D344" s="350"/>
      <c r="E344" s="28"/>
      <c r="F344" s="48">
        <v>4122</v>
      </c>
      <c r="G344" s="45"/>
      <c r="H344" s="269"/>
      <c r="I344" s="390"/>
      <c r="J344" s="387"/>
      <c r="K344" s="391"/>
      <c r="L344" s="45">
        <f t="shared" si="2"/>
        <v>0</v>
      </c>
    </row>
    <row r="345" spans="1:12" x14ac:dyDescent="0.25">
      <c r="A345" s="43"/>
      <c r="B345" s="276"/>
      <c r="C345" s="350"/>
      <c r="D345" s="350"/>
      <c r="E345" s="28"/>
      <c r="F345" s="48">
        <v>4122</v>
      </c>
      <c r="G345" s="45"/>
      <c r="H345" s="269"/>
      <c r="I345" s="390"/>
      <c r="J345" s="387"/>
      <c r="K345" s="391"/>
      <c r="L345" s="45">
        <f t="shared" si="2"/>
        <v>0</v>
      </c>
    </row>
    <row r="346" spans="1:12" x14ac:dyDescent="0.25">
      <c r="A346" s="43"/>
      <c r="B346" s="276"/>
      <c r="C346" s="350"/>
      <c r="D346" s="350"/>
      <c r="E346" s="28"/>
      <c r="F346" s="48">
        <v>4122</v>
      </c>
      <c r="G346" s="45"/>
      <c r="H346" s="269"/>
      <c r="I346" s="390"/>
      <c r="J346" s="387"/>
      <c r="K346" s="391"/>
      <c r="L346" s="45">
        <f t="shared" si="2"/>
        <v>0</v>
      </c>
    </row>
    <row r="347" spans="1:12" x14ac:dyDescent="0.25">
      <c r="A347" s="43"/>
      <c r="B347" s="276"/>
      <c r="C347" s="350"/>
      <c r="D347" s="350"/>
      <c r="E347" s="28"/>
      <c r="F347" s="48">
        <v>4122</v>
      </c>
      <c r="G347" s="45"/>
      <c r="I347" s="390"/>
      <c r="J347" s="387"/>
      <c r="K347" s="391"/>
      <c r="L347" s="45">
        <f t="shared" si="2"/>
        <v>0</v>
      </c>
    </row>
    <row r="348" spans="1:12" x14ac:dyDescent="0.25">
      <c r="A348" s="43"/>
      <c r="B348" s="276"/>
      <c r="C348" s="350"/>
      <c r="D348" s="350"/>
      <c r="E348" s="28"/>
      <c r="F348" s="48">
        <v>4122</v>
      </c>
      <c r="G348" s="45"/>
      <c r="I348" s="390"/>
      <c r="J348" s="387"/>
      <c r="K348" s="391"/>
      <c r="L348" s="45">
        <f t="shared" si="2"/>
        <v>0</v>
      </c>
    </row>
    <row r="349" spans="1:12" x14ac:dyDescent="0.25">
      <c r="A349" s="43"/>
      <c r="B349" s="276"/>
      <c r="C349" s="350"/>
      <c r="D349" s="350"/>
      <c r="E349" s="28"/>
      <c r="F349" s="48">
        <v>4122</v>
      </c>
      <c r="G349" s="45"/>
      <c r="I349" s="390"/>
      <c r="J349" s="387"/>
      <c r="K349" s="391"/>
      <c r="L349" s="45">
        <f t="shared" si="2"/>
        <v>0</v>
      </c>
    </row>
    <row r="350" spans="1:12" x14ac:dyDescent="0.25">
      <c r="A350" s="43"/>
      <c r="B350" s="276"/>
      <c r="C350" s="350"/>
      <c r="D350" s="350"/>
      <c r="E350" s="28"/>
      <c r="F350" s="29"/>
      <c r="G350" s="45"/>
      <c r="I350" s="390"/>
      <c r="J350" s="387"/>
      <c r="K350" s="391"/>
      <c r="L350" s="45">
        <f t="shared" si="2"/>
        <v>0</v>
      </c>
    </row>
    <row r="351" spans="1:12" x14ac:dyDescent="0.25">
      <c r="A351" s="43"/>
      <c r="B351" s="31" t="s">
        <v>50</v>
      </c>
      <c r="C351" s="26">
        <f>+SUM(C352:C355)</f>
        <v>1808.6522100000002</v>
      </c>
      <c r="D351" s="26">
        <f>+SUM(D352:D355)</f>
        <v>3370208.3499999996</v>
      </c>
      <c r="E351" s="28"/>
      <c r="F351" s="29"/>
      <c r="G351" s="45"/>
      <c r="I351" s="390"/>
      <c r="J351" s="387"/>
      <c r="K351" s="391"/>
      <c r="L351" s="45">
        <f t="shared" ref="L351:L414" si="3">+C351*1000-D351</f>
        <v>-1561556.1399999994</v>
      </c>
    </row>
    <row r="352" spans="1:12" x14ac:dyDescent="0.25">
      <c r="A352" s="272">
        <v>42101</v>
      </c>
      <c r="B352" s="276" t="s">
        <v>138</v>
      </c>
      <c r="C352" s="52">
        <v>131.06369000000001</v>
      </c>
      <c r="D352" s="350">
        <v>131063.69</v>
      </c>
      <c r="E352" s="22">
        <v>86005</v>
      </c>
      <c r="F352" s="48">
        <v>4123</v>
      </c>
      <c r="G352" s="45"/>
      <c r="I352" s="390"/>
      <c r="J352" s="387"/>
      <c r="K352" s="391"/>
      <c r="L352" s="45">
        <f t="shared" si="3"/>
        <v>0</v>
      </c>
    </row>
    <row r="353" spans="1:12" x14ac:dyDescent="0.25">
      <c r="A353" s="287">
        <v>42131</v>
      </c>
      <c r="B353" s="276" t="s">
        <v>417</v>
      </c>
      <c r="C353" s="52">
        <v>853.73328000000004</v>
      </c>
      <c r="D353" s="350">
        <v>853733.28</v>
      </c>
      <c r="E353" s="62">
        <v>86005</v>
      </c>
      <c r="F353" s="48">
        <v>4123</v>
      </c>
      <c r="G353" s="45"/>
      <c r="I353" s="390"/>
      <c r="J353" s="387"/>
      <c r="K353" s="391"/>
      <c r="L353" s="45">
        <f t="shared" si="3"/>
        <v>0</v>
      </c>
    </row>
    <row r="354" spans="1:12" x14ac:dyDescent="0.25">
      <c r="A354" s="287">
        <v>42178</v>
      </c>
      <c r="B354" s="276" t="s">
        <v>245</v>
      </c>
      <c r="C354" s="52">
        <v>823.85523999999998</v>
      </c>
      <c r="D354" s="350">
        <v>823855.24</v>
      </c>
      <c r="E354" s="62">
        <v>86005</v>
      </c>
      <c r="F354" s="48">
        <v>4123</v>
      </c>
      <c r="G354" s="45"/>
      <c r="I354" s="390"/>
      <c r="J354" s="387"/>
      <c r="K354" s="391"/>
      <c r="L354" s="45">
        <f t="shared" si="3"/>
        <v>0</v>
      </c>
    </row>
    <row r="355" spans="1:12" x14ac:dyDescent="0.25">
      <c r="A355" s="43">
        <v>42324</v>
      </c>
      <c r="B355" s="276" t="s">
        <v>604</v>
      </c>
      <c r="C355" s="46"/>
      <c r="D355" s="350">
        <v>1561556.14</v>
      </c>
      <c r="E355" s="28">
        <v>86005</v>
      </c>
      <c r="F355" s="48">
        <v>4123</v>
      </c>
      <c r="G355" s="45"/>
      <c r="I355" s="390"/>
      <c r="J355" s="387"/>
      <c r="K355" s="391"/>
      <c r="L355" s="45">
        <f t="shared" si="3"/>
        <v>-1561556.14</v>
      </c>
    </row>
    <row r="356" spans="1:12" x14ac:dyDescent="0.25">
      <c r="A356" s="43"/>
      <c r="B356" s="44"/>
      <c r="C356" s="46"/>
      <c r="D356" s="351"/>
      <c r="E356" s="28"/>
      <c r="F356" s="48"/>
      <c r="G356" s="45"/>
      <c r="I356" s="390"/>
      <c r="J356" s="387"/>
      <c r="K356" s="391"/>
      <c r="L356" s="45">
        <f t="shared" si="3"/>
        <v>0</v>
      </c>
    </row>
    <row r="357" spans="1:12" x14ac:dyDescent="0.25">
      <c r="A357" s="43"/>
      <c r="B357" s="293" t="s">
        <v>52</v>
      </c>
      <c r="C357" s="30">
        <f>+SUM(C358:C361)</f>
        <v>2377</v>
      </c>
      <c r="D357" s="30">
        <f>+SUM(D358:D361)</f>
        <v>2400018.1000000006</v>
      </c>
      <c r="E357" s="28"/>
      <c r="F357" s="48"/>
      <c r="G357" s="45"/>
      <c r="I357" s="390"/>
      <c r="J357" s="387"/>
      <c r="K357" s="391"/>
      <c r="L357" s="45">
        <f t="shared" si="3"/>
        <v>-23018.100000000559</v>
      </c>
    </row>
    <row r="358" spans="1:12" x14ac:dyDescent="0.25">
      <c r="A358" s="43">
        <v>42075</v>
      </c>
      <c r="B358" s="276" t="s">
        <v>124</v>
      </c>
      <c r="C358" s="52">
        <v>582</v>
      </c>
      <c r="D358" s="350">
        <v>581714.24</v>
      </c>
      <c r="E358" s="28"/>
      <c r="F358" s="48">
        <v>4152</v>
      </c>
      <c r="G358" s="45"/>
      <c r="I358" s="390"/>
      <c r="J358" s="387"/>
      <c r="K358" s="391"/>
      <c r="L358" s="45">
        <f t="shared" si="3"/>
        <v>285.76000000000931</v>
      </c>
    </row>
    <row r="359" spans="1:12" x14ac:dyDescent="0.25">
      <c r="A359" s="43">
        <v>42174</v>
      </c>
      <c r="B359" s="276" t="s">
        <v>244</v>
      </c>
      <c r="C359" s="52">
        <v>1795</v>
      </c>
      <c r="D359" s="350">
        <v>1794728.87</v>
      </c>
      <c r="E359" s="28"/>
      <c r="F359" s="48">
        <v>4152</v>
      </c>
      <c r="G359" s="45"/>
      <c r="I359" s="390"/>
      <c r="J359" s="387"/>
      <c r="K359" s="391"/>
      <c r="L359" s="45">
        <f t="shared" si="3"/>
        <v>271.12999999988824</v>
      </c>
    </row>
    <row r="360" spans="1:12" x14ac:dyDescent="0.25">
      <c r="A360" s="43">
        <v>42233</v>
      </c>
      <c r="B360" s="276" t="s">
        <v>402</v>
      </c>
      <c r="C360" s="52">
        <v>0</v>
      </c>
      <c r="D360" s="350">
        <v>23574.99</v>
      </c>
      <c r="E360" s="28"/>
      <c r="F360" s="48">
        <v>4152</v>
      </c>
      <c r="G360" s="45"/>
      <c r="I360" s="390"/>
      <c r="J360" s="387"/>
      <c r="K360" s="391"/>
      <c r="L360" s="45">
        <f t="shared" si="3"/>
        <v>-23574.99</v>
      </c>
    </row>
    <row r="361" spans="1:12" x14ac:dyDescent="0.25">
      <c r="A361" s="43"/>
      <c r="B361" s="276"/>
      <c r="C361" s="52"/>
      <c r="D361" s="350"/>
      <c r="E361" s="28"/>
      <c r="F361" s="48">
        <v>4152</v>
      </c>
      <c r="G361" s="45"/>
      <c r="I361" s="390"/>
      <c r="J361" s="387"/>
      <c r="K361" s="391"/>
      <c r="L361" s="45">
        <f t="shared" si="3"/>
        <v>0</v>
      </c>
    </row>
    <row r="362" spans="1:12" x14ac:dyDescent="0.25">
      <c r="A362" s="43"/>
      <c r="B362" s="276"/>
      <c r="C362" s="46"/>
      <c r="D362" s="350"/>
      <c r="E362" s="28"/>
      <c r="F362" s="48"/>
      <c r="G362" s="45"/>
      <c r="I362" s="390"/>
      <c r="J362" s="387"/>
      <c r="K362" s="391"/>
      <c r="L362" s="45">
        <f t="shared" si="3"/>
        <v>0</v>
      </c>
    </row>
    <row r="363" spans="1:12" x14ac:dyDescent="0.25">
      <c r="A363" s="43"/>
      <c r="B363" s="294" t="s">
        <v>53</v>
      </c>
      <c r="C363" s="26">
        <f>+C357+C351+C285+C274+C266+C247+C225+C221+C213+C204+C103+C64+C60+C30+C26+C13+C7</f>
        <v>299671.23799999995</v>
      </c>
      <c r="D363" s="26">
        <f>+D357+D351+D285+D274+D266+D247+D225+D221+D213+D204+D103+D64+D60+D30+D26+D13+D7</f>
        <v>315681197.44999999</v>
      </c>
      <c r="E363" s="71"/>
      <c r="F363" s="22"/>
      <c r="G363" s="45"/>
      <c r="I363" s="390"/>
      <c r="J363" s="387"/>
      <c r="K363" s="391"/>
      <c r="L363" s="45">
        <f t="shared" si="3"/>
        <v>-16009959.450000048</v>
      </c>
    </row>
    <row r="364" spans="1:12" ht="16.5" thickBot="1" x14ac:dyDescent="0.3">
      <c r="A364" s="296"/>
      <c r="B364" s="297"/>
      <c r="C364" s="74"/>
      <c r="D364" s="74"/>
      <c r="E364" s="76"/>
      <c r="F364" s="77"/>
      <c r="G364" s="45"/>
      <c r="I364" s="390"/>
      <c r="J364" s="387"/>
      <c r="K364" s="391"/>
      <c r="L364" s="45">
        <f t="shared" si="3"/>
        <v>0</v>
      </c>
    </row>
    <row r="365" spans="1:12" x14ac:dyDescent="0.25">
      <c r="A365" s="300"/>
      <c r="B365" s="79"/>
      <c r="C365" s="7"/>
      <c r="D365" s="7"/>
      <c r="E365" s="80"/>
      <c r="F365" s="80"/>
      <c r="G365" s="45"/>
      <c r="I365" s="390"/>
      <c r="J365" s="387"/>
      <c r="K365" s="391"/>
      <c r="L365" s="45">
        <f t="shared" si="3"/>
        <v>0</v>
      </c>
    </row>
    <row r="366" spans="1:12" ht="16.5" thickBot="1" x14ac:dyDescent="0.3">
      <c r="A366" s="300"/>
      <c r="B366" s="79"/>
      <c r="C366" s="7"/>
      <c r="D366" s="7"/>
      <c r="E366" s="80"/>
      <c r="F366" s="80"/>
      <c r="G366" s="45"/>
      <c r="I366" s="390"/>
      <c r="J366" s="387"/>
      <c r="K366" s="391"/>
      <c r="L366" s="45">
        <f t="shared" si="3"/>
        <v>0</v>
      </c>
    </row>
    <row r="367" spans="1:12" ht="15.6" customHeight="1" x14ac:dyDescent="0.25">
      <c r="A367" s="690" t="s">
        <v>141</v>
      </c>
      <c r="B367" s="5"/>
      <c r="C367" s="4"/>
      <c r="D367" s="4"/>
      <c r="E367" s="81"/>
      <c r="F367" s="81"/>
      <c r="G367" s="45"/>
      <c r="I367" s="390"/>
      <c r="J367" s="387"/>
      <c r="K367" s="391"/>
      <c r="L367" s="45">
        <f t="shared" si="3"/>
        <v>0</v>
      </c>
    </row>
    <row r="368" spans="1:12" ht="16.5" thickBot="1" x14ac:dyDescent="0.3">
      <c r="A368" s="691"/>
      <c r="B368" s="10" t="s">
        <v>54</v>
      </c>
      <c r="C368" s="9" t="s">
        <v>3</v>
      </c>
      <c r="D368" s="9" t="s">
        <v>4</v>
      </c>
      <c r="E368" s="82" t="s">
        <v>5</v>
      </c>
      <c r="F368" s="82" t="s">
        <v>6</v>
      </c>
      <c r="G368" s="45"/>
      <c r="I368" s="390"/>
      <c r="J368" s="387"/>
      <c r="K368" s="391"/>
      <c r="L368" s="45" t="e">
        <f t="shared" si="3"/>
        <v>#VALUE!</v>
      </c>
    </row>
    <row r="369" spans="1:12" x14ac:dyDescent="0.25">
      <c r="A369" s="43"/>
      <c r="B369" s="273" t="s">
        <v>14</v>
      </c>
      <c r="C369" s="39">
        <f>+SUM(C370:C401)</f>
        <v>2124.97579</v>
      </c>
      <c r="D369" s="39">
        <f>+SUM(D370:D401)</f>
        <v>2350727.2500000005</v>
      </c>
      <c r="E369" s="48"/>
      <c r="F369" s="48"/>
      <c r="G369" s="45"/>
      <c r="I369" s="390"/>
      <c r="J369" s="387"/>
      <c r="K369" s="391"/>
      <c r="L369" s="45">
        <f t="shared" si="3"/>
        <v>-225751.46000000043</v>
      </c>
    </row>
    <row r="370" spans="1:12" x14ac:dyDescent="0.25">
      <c r="A370" s="43">
        <v>42069</v>
      </c>
      <c r="B370" s="44" t="s">
        <v>114</v>
      </c>
      <c r="C370" s="52">
        <v>141.55572000000001</v>
      </c>
      <c r="D370" s="20">
        <v>141555.72</v>
      </c>
      <c r="E370" s="48">
        <v>90877</v>
      </c>
      <c r="F370" s="48">
        <v>4213</v>
      </c>
      <c r="G370" s="45">
        <f>+D369</f>
        <v>2350727.2500000005</v>
      </c>
      <c r="I370" s="390"/>
      <c r="J370" s="387"/>
      <c r="K370" s="391"/>
      <c r="L370" s="45">
        <f t="shared" si="3"/>
        <v>0</v>
      </c>
    </row>
    <row r="371" spans="1:12" x14ac:dyDescent="0.25">
      <c r="A371" s="43">
        <v>42114</v>
      </c>
      <c r="B371" s="44" t="s">
        <v>156</v>
      </c>
      <c r="C371" s="52">
        <v>47.117789999999999</v>
      </c>
      <c r="D371" s="20">
        <v>47117.79</v>
      </c>
      <c r="E371" s="48">
        <v>90877</v>
      </c>
      <c r="F371" s="48">
        <v>4213</v>
      </c>
      <c r="G371" s="45">
        <f>+SUM(I370:J401)</f>
        <v>1347415.04</v>
      </c>
      <c r="I371" s="390"/>
      <c r="J371" s="387"/>
      <c r="K371" s="391"/>
      <c r="L371" s="45">
        <f t="shared" si="3"/>
        <v>0</v>
      </c>
    </row>
    <row r="372" spans="1:12" x14ac:dyDescent="0.25">
      <c r="A372" s="43">
        <v>42142</v>
      </c>
      <c r="B372" s="44" t="s">
        <v>169</v>
      </c>
      <c r="C372" s="52">
        <v>21.145890000000001</v>
      </c>
      <c r="D372" s="20">
        <v>21145.89</v>
      </c>
      <c r="E372" s="48">
        <v>90877</v>
      </c>
      <c r="F372" s="48">
        <v>4213</v>
      </c>
      <c r="G372" s="45">
        <f>+G370-G371</f>
        <v>1003312.2100000004</v>
      </c>
      <c r="I372" s="390"/>
      <c r="J372" s="387"/>
      <c r="K372" s="391"/>
      <c r="L372" s="45">
        <f t="shared" si="3"/>
        <v>0</v>
      </c>
    </row>
    <row r="373" spans="1:12" x14ac:dyDescent="0.25">
      <c r="A373" s="43">
        <v>42150</v>
      </c>
      <c r="B373" s="44" t="s">
        <v>218</v>
      </c>
      <c r="C373" s="52">
        <v>32.193080000000002</v>
      </c>
      <c r="D373" s="20">
        <v>32193.08</v>
      </c>
      <c r="E373" s="48">
        <v>90877</v>
      </c>
      <c r="F373" s="48">
        <v>4213</v>
      </c>
      <c r="G373" s="45">
        <f>890205.77-G372</f>
        <v>-113106.44000000041</v>
      </c>
      <c r="I373" s="390"/>
      <c r="J373" s="387"/>
      <c r="K373" s="391"/>
      <c r="L373" s="45">
        <f t="shared" si="3"/>
        <v>0</v>
      </c>
    </row>
    <row r="374" spans="1:12" x14ac:dyDescent="0.25">
      <c r="A374" s="43">
        <v>42150</v>
      </c>
      <c r="B374" s="44" t="s">
        <v>219</v>
      </c>
      <c r="C374" s="52">
        <v>21.296060000000001</v>
      </c>
      <c r="D374" s="20">
        <v>21296.06</v>
      </c>
      <c r="E374" s="48">
        <v>90877</v>
      </c>
      <c r="F374" s="48">
        <v>4213</v>
      </c>
      <c r="G374" s="45"/>
      <c r="I374" s="390"/>
      <c r="J374" s="387"/>
      <c r="K374" s="391"/>
      <c r="L374" s="45">
        <f t="shared" si="3"/>
        <v>0</v>
      </c>
    </row>
    <row r="375" spans="1:12" x14ac:dyDescent="0.25">
      <c r="A375" s="43">
        <v>42167</v>
      </c>
      <c r="B375" s="44" t="s">
        <v>232</v>
      </c>
      <c r="C375" s="52">
        <v>28.64677</v>
      </c>
      <c r="D375" s="20">
        <v>28646.77</v>
      </c>
      <c r="E375" s="48">
        <v>90877</v>
      </c>
      <c r="F375" s="48">
        <v>4213</v>
      </c>
      <c r="G375" s="45"/>
      <c r="I375" s="390"/>
      <c r="J375" s="387"/>
      <c r="K375" s="391"/>
      <c r="L375" s="45">
        <f t="shared" si="3"/>
        <v>0</v>
      </c>
    </row>
    <row r="376" spans="1:12" x14ac:dyDescent="0.25">
      <c r="A376" s="43">
        <v>42199</v>
      </c>
      <c r="B376" s="44" t="s">
        <v>280</v>
      </c>
      <c r="C376" s="52">
        <v>120.05096</v>
      </c>
      <c r="D376" s="20">
        <v>120050.96</v>
      </c>
      <c r="E376" s="48">
        <v>90877</v>
      </c>
      <c r="F376" s="48">
        <v>4213</v>
      </c>
      <c r="G376" s="45"/>
      <c r="I376" s="390"/>
      <c r="J376" s="387"/>
      <c r="K376" s="391"/>
      <c r="L376" s="45">
        <f t="shared" si="3"/>
        <v>0</v>
      </c>
    </row>
    <row r="377" spans="1:12" x14ac:dyDescent="0.25">
      <c r="A377" s="43">
        <v>42195</v>
      </c>
      <c r="B377" s="44" t="s">
        <v>294</v>
      </c>
      <c r="C377" s="52">
        <v>20.106369999999998</v>
      </c>
      <c r="D377" s="20">
        <v>20106.37</v>
      </c>
      <c r="E377" s="48">
        <v>90877</v>
      </c>
      <c r="F377" s="48">
        <v>4213</v>
      </c>
      <c r="G377" s="45"/>
      <c r="I377" s="390"/>
      <c r="J377" s="387"/>
      <c r="K377" s="391"/>
      <c r="L377" s="45">
        <f t="shared" si="3"/>
        <v>0</v>
      </c>
    </row>
    <row r="378" spans="1:12" x14ac:dyDescent="0.25">
      <c r="A378" s="43">
        <v>42205</v>
      </c>
      <c r="B378" s="44" t="s">
        <v>303</v>
      </c>
      <c r="C378" s="52">
        <v>19.5185</v>
      </c>
      <c r="D378" s="20">
        <v>19518.5</v>
      </c>
      <c r="E378" s="48">
        <v>90877</v>
      </c>
      <c r="F378" s="48">
        <v>4213</v>
      </c>
      <c r="G378" s="45"/>
      <c r="I378" s="390"/>
      <c r="J378" s="387"/>
      <c r="K378" s="391"/>
      <c r="L378" s="45">
        <f t="shared" si="3"/>
        <v>0</v>
      </c>
    </row>
    <row r="379" spans="1:12" x14ac:dyDescent="0.25">
      <c r="A379" s="43">
        <v>42209</v>
      </c>
      <c r="B379" s="44" t="s">
        <v>330</v>
      </c>
      <c r="C379" s="52">
        <v>20.354620000000001</v>
      </c>
      <c r="D379" s="20">
        <v>20354.62</v>
      </c>
      <c r="E379" s="48">
        <v>90877</v>
      </c>
      <c r="F379" s="48">
        <v>4213</v>
      </c>
      <c r="G379" s="45"/>
      <c r="I379" s="390"/>
      <c r="J379" s="387"/>
      <c r="K379" s="391"/>
      <c r="L379" s="45">
        <f t="shared" si="3"/>
        <v>0</v>
      </c>
    </row>
    <row r="380" spans="1:12" x14ac:dyDescent="0.25">
      <c r="A380" s="43">
        <v>42220</v>
      </c>
      <c r="B380" s="44" t="s">
        <v>343</v>
      </c>
      <c r="C380" s="52">
        <v>72.443290000000005</v>
      </c>
      <c r="D380" s="20">
        <v>72443.289999999994</v>
      </c>
      <c r="E380" s="48">
        <v>90877</v>
      </c>
      <c r="F380" s="48">
        <v>4213</v>
      </c>
      <c r="G380" s="45"/>
      <c r="I380" s="390"/>
      <c r="J380" s="387"/>
      <c r="K380" s="391"/>
      <c r="L380" s="45">
        <f t="shared" si="3"/>
        <v>0</v>
      </c>
    </row>
    <row r="381" spans="1:12" x14ac:dyDescent="0.25">
      <c r="A381" s="43">
        <v>42222</v>
      </c>
      <c r="B381" s="44" t="s">
        <v>368</v>
      </c>
      <c r="C381" s="52">
        <v>214.12066999999999</v>
      </c>
      <c r="D381" s="20">
        <v>214120.67</v>
      </c>
      <c r="E381" s="48">
        <v>90877</v>
      </c>
      <c r="F381" s="48">
        <v>4213</v>
      </c>
      <c r="G381" s="45"/>
      <c r="I381" s="390"/>
      <c r="J381" s="387"/>
      <c r="K381" s="391"/>
      <c r="L381" s="45">
        <f t="shared" si="3"/>
        <v>0</v>
      </c>
    </row>
    <row r="382" spans="1:12" x14ac:dyDescent="0.25">
      <c r="A382" s="43">
        <v>42226</v>
      </c>
      <c r="B382" s="44" t="s">
        <v>218</v>
      </c>
      <c r="C382" s="52">
        <v>7.7073600000000004</v>
      </c>
      <c r="D382" s="20">
        <v>7707.36</v>
      </c>
      <c r="E382" s="48">
        <v>90877</v>
      </c>
      <c r="F382" s="48">
        <v>4213</v>
      </c>
      <c r="G382" s="45"/>
      <c r="I382" s="390"/>
      <c r="J382" s="387"/>
      <c r="K382" s="391"/>
      <c r="L382" s="45">
        <f t="shared" si="3"/>
        <v>0</v>
      </c>
    </row>
    <row r="383" spans="1:12" x14ac:dyDescent="0.25">
      <c r="A383" s="43">
        <v>42251</v>
      </c>
      <c r="B383" s="44" t="s">
        <v>330</v>
      </c>
      <c r="C383" s="20">
        <v>0.30249999999999999</v>
      </c>
      <c r="D383" s="20">
        <v>302.5</v>
      </c>
      <c r="E383" s="48">
        <v>90877</v>
      </c>
      <c r="F383" s="48">
        <v>4213</v>
      </c>
      <c r="G383" s="45"/>
      <c r="I383" s="390"/>
      <c r="J383" s="387"/>
      <c r="K383" s="391"/>
      <c r="L383" s="45">
        <f t="shared" si="3"/>
        <v>0</v>
      </c>
    </row>
    <row r="384" spans="1:12" x14ac:dyDescent="0.25">
      <c r="A384" s="43">
        <v>42283</v>
      </c>
      <c r="B384" s="44" t="s">
        <v>232</v>
      </c>
      <c r="C384" s="20">
        <v>0.30249999999999999</v>
      </c>
      <c r="D384" s="20">
        <v>302.5</v>
      </c>
      <c r="E384" s="48">
        <v>90877</v>
      </c>
      <c r="F384" s="48">
        <v>4213</v>
      </c>
      <c r="G384" s="45"/>
      <c r="I384" s="390"/>
      <c r="J384" s="387"/>
      <c r="K384" s="391"/>
      <c r="L384" s="45">
        <f t="shared" si="3"/>
        <v>0</v>
      </c>
    </row>
    <row r="385" spans="1:12" x14ac:dyDescent="0.25">
      <c r="A385" s="43">
        <v>42283</v>
      </c>
      <c r="B385" s="44" t="s">
        <v>536</v>
      </c>
      <c r="C385" s="20">
        <v>10.69867</v>
      </c>
      <c r="D385" s="20">
        <v>10698.67</v>
      </c>
      <c r="E385" s="48">
        <v>90877</v>
      </c>
      <c r="F385" s="48">
        <v>4213</v>
      </c>
      <c r="G385" s="45"/>
      <c r="I385" s="390"/>
      <c r="J385" s="387"/>
      <c r="K385" s="391"/>
      <c r="L385" s="45">
        <f t="shared" si="3"/>
        <v>0</v>
      </c>
    </row>
    <row r="386" spans="1:12" x14ac:dyDescent="0.25">
      <c r="A386" s="43">
        <v>42334</v>
      </c>
      <c r="B386" s="44" t="s">
        <v>615</v>
      </c>
      <c r="C386" s="20"/>
      <c r="D386" s="20">
        <v>26439.35</v>
      </c>
      <c r="E386" s="48">
        <v>90877</v>
      </c>
      <c r="F386" s="48">
        <v>4213</v>
      </c>
      <c r="G386" s="45"/>
      <c r="I386" s="390"/>
      <c r="J386" s="387"/>
      <c r="K386" s="391"/>
      <c r="L386" s="45">
        <f t="shared" si="3"/>
        <v>-26439.35</v>
      </c>
    </row>
    <row r="387" spans="1:12" x14ac:dyDescent="0.25">
      <c r="A387" s="43">
        <v>42335</v>
      </c>
      <c r="B387" s="44" t="s">
        <v>616</v>
      </c>
      <c r="C387" s="20"/>
      <c r="D387" s="20">
        <v>113106.44</v>
      </c>
      <c r="E387" s="48">
        <v>90877</v>
      </c>
      <c r="F387" s="48">
        <v>4213</v>
      </c>
      <c r="G387" s="45"/>
      <c r="I387" s="390"/>
      <c r="J387" s="387"/>
      <c r="K387" s="391"/>
      <c r="L387" s="45">
        <f t="shared" si="3"/>
        <v>-113106.44</v>
      </c>
    </row>
    <row r="388" spans="1:12" x14ac:dyDescent="0.25">
      <c r="A388" s="43"/>
      <c r="B388" s="44"/>
      <c r="C388" s="20"/>
      <c r="D388" s="20"/>
      <c r="E388" s="48"/>
      <c r="F388" s="48"/>
      <c r="G388" s="45">
        <f>+D389-C389*1000</f>
        <v>0</v>
      </c>
      <c r="I388" s="390"/>
      <c r="J388" s="387"/>
      <c r="K388" s="391"/>
      <c r="L388" s="45">
        <f t="shared" si="3"/>
        <v>0</v>
      </c>
    </row>
    <row r="389" spans="1:12" x14ac:dyDescent="0.25">
      <c r="A389" s="43"/>
      <c r="B389" s="44" t="s">
        <v>380</v>
      </c>
      <c r="C389" s="174">
        <f>105.33132+20.01755</f>
        <v>125.34887000000001</v>
      </c>
      <c r="D389" s="174">
        <f>105331.32+20017.55</f>
        <v>125348.87000000001</v>
      </c>
      <c r="E389" s="48">
        <v>90877</v>
      </c>
      <c r="F389" s="48">
        <v>4213</v>
      </c>
      <c r="G389" s="384" t="s">
        <v>64</v>
      </c>
      <c r="I389" s="390">
        <f>105331.32+20017.55</f>
        <v>125348.87000000001</v>
      </c>
      <c r="J389" s="389"/>
      <c r="K389" s="391"/>
      <c r="L389" s="45">
        <f t="shared" si="3"/>
        <v>0</v>
      </c>
    </row>
    <row r="390" spans="1:12" x14ac:dyDescent="0.25">
      <c r="A390" s="43"/>
      <c r="B390" s="44" t="s">
        <v>121</v>
      </c>
      <c r="C390" s="174">
        <v>0.97499999999999998</v>
      </c>
      <c r="D390" s="174">
        <v>975</v>
      </c>
      <c r="E390" s="48">
        <v>90877</v>
      </c>
      <c r="F390" s="48">
        <v>4213</v>
      </c>
      <c r="G390" s="45"/>
      <c r="I390" s="390"/>
      <c r="J390" s="389">
        <v>975</v>
      </c>
      <c r="K390" s="391"/>
      <c r="L390" s="45">
        <f t="shared" si="3"/>
        <v>0</v>
      </c>
    </row>
    <row r="391" spans="1:12" x14ac:dyDescent="0.25">
      <c r="A391" s="43"/>
      <c r="B391" s="44" t="s">
        <v>301</v>
      </c>
      <c r="C391" s="174">
        <v>1.42302</v>
      </c>
      <c r="D391" s="174">
        <v>1423.02</v>
      </c>
      <c r="E391" s="48">
        <v>90877</v>
      </c>
      <c r="F391" s="48">
        <v>4213</v>
      </c>
      <c r="G391" s="45"/>
      <c r="I391" s="404"/>
      <c r="J391" s="389">
        <v>1423.02</v>
      </c>
      <c r="K391" s="391"/>
      <c r="L391" s="45">
        <f t="shared" si="3"/>
        <v>0</v>
      </c>
    </row>
    <row r="392" spans="1:12" x14ac:dyDescent="0.25">
      <c r="A392" s="43"/>
      <c r="B392" s="44" t="s">
        <v>418</v>
      </c>
      <c r="C392" s="174">
        <f>54.1373+24.18255</f>
        <v>78.319850000000002</v>
      </c>
      <c r="D392" s="174">
        <f>54137.3+24182.55+17992.65</f>
        <v>96312.5</v>
      </c>
      <c r="E392" s="48">
        <v>90877</v>
      </c>
      <c r="F392" s="48">
        <v>4213</v>
      </c>
      <c r="G392" s="45"/>
      <c r="I392" s="404"/>
      <c r="J392" s="389">
        <f>54137.3+24182.55</f>
        <v>78319.850000000006</v>
      </c>
      <c r="K392" s="391">
        <v>17992.650000000001</v>
      </c>
      <c r="L392" s="45">
        <f t="shared" si="3"/>
        <v>-17992.649999999994</v>
      </c>
    </row>
    <row r="393" spans="1:12" x14ac:dyDescent="0.25">
      <c r="A393" s="43"/>
      <c r="B393" s="44" t="s">
        <v>110</v>
      </c>
      <c r="C393" s="174">
        <v>392.03399999999999</v>
      </c>
      <c r="D393" s="174">
        <v>392034</v>
      </c>
      <c r="E393" s="48">
        <v>90909</v>
      </c>
      <c r="F393" s="48">
        <v>4213</v>
      </c>
      <c r="G393" s="384" t="s">
        <v>64</v>
      </c>
      <c r="I393" s="404">
        <v>392034</v>
      </c>
      <c r="J393" s="387"/>
      <c r="K393" s="391"/>
      <c r="L393" s="45">
        <f t="shared" si="3"/>
        <v>0</v>
      </c>
    </row>
    <row r="394" spans="1:12" x14ac:dyDescent="0.25">
      <c r="A394" s="43"/>
      <c r="B394" s="44" t="s">
        <v>538</v>
      </c>
      <c r="C394" s="174">
        <v>53.892980000000001</v>
      </c>
      <c r="D394" s="174">
        <v>53892.98</v>
      </c>
      <c r="E394" s="48">
        <v>90877</v>
      </c>
      <c r="F394" s="48">
        <v>4213</v>
      </c>
      <c r="G394" s="45"/>
      <c r="I394" s="404"/>
      <c r="J394" s="387">
        <v>53892.98</v>
      </c>
      <c r="K394" s="391"/>
      <c r="L394" s="45">
        <f t="shared" si="3"/>
        <v>0</v>
      </c>
    </row>
    <row r="395" spans="1:12" x14ac:dyDescent="0.25">
      <c r="A395" s="43"/>
      <c r="B395" s="44" t="s">
        <v>283</v>
      </c>
      <c r="C395" s="174">
        <f>277.85216+324.51602</f>
        <v>602.36818000000005</v>
      </c>
      <c r="D395" s="174">
        <f>217082.01+60770.15+324516.02</f>
        <v>602368.18000000005</v>
      </c>
      <c r="E395" s="48">
        <v>90877</v>
      </c>
      <c r="F395" s="48">
        <v>4213</v>
      </c>
      <c r="G395" s="45"/>
      <c r="I395" s="390"/>
      <c r="J395" s="389">
        <f>217082.01+60770.15+324516.02</f>
        <v>602368.18000000005</v>
      </c>
      <c r="K395" s="391"/>
      <c r="L395" s="45">
        <f t="shared" si="3"/>
        <v>0</v>
      </c>
    </row>
    <row r="396" spans="1:12" x14ac:dyDescent="0.25">
      <c r="A396" s="43"/>
      <c r="B396" s="44" t="s">
        <v>499</v>
      </c>
      <c r="C396" s="174">
        <v>0.30249999999999999</v>
      </c>
      <c r="D396" s="174">
        <v>302.5</v>
      </c>
      <c r="E396" s="48">
        <v>90877</v>
      </c>
      <c r="F396" s="48">
        <v>4213</v>
      </c>
      <c r="G396" s="45"/>
      <c r="I396" s="390"/>
      <c r="J396" s="45">
        <v>302.5</v>
      </c>
      <c r="K396" s="391"/>
      <c r="L396" s="45">
        <f t="shared" si="3"/>
        <v>0</v>
      </c>
    </row>
    <row r="397" spans="1:12" x14ac:dyDescent="0.25">
      <c r="A397" s="43"/>
      <c r="B397" s="44" t="s">
        <v>360</v>
      </c>
      <c r="C397" s="174">
        <v>9.3895999999999997</v>
      </c>
      <c r="D397" s="174">
        <v>9389.6</v>
      </c>
      <c r="E397" s="48">
        <v>90877</v>
      </c>
      <c r="F397" s="48">
        <v>4213</v>
      </c>
      <c r="G397" s="45"/>
      <c r="I397" s="390"/>
      <c r="J397" s="402">
        <v>9389.6</v>
      </c>
      <c r="K397" s="391"/>
      <c r="L397" s="45">
        <f t="shared" si="3"/>
        <v>0</v>
      </c>
    </row>
    <row r="398" spans="1:12" x14ac:dyDescent="0.25">
      <c r="A398" s="43"/>
      <c r="B398" s="44" t="s">
        <v>228</v>
      </c>
      <c r="C398" s="174">
        <v>2.125</v>
      </c>
      <c r="D398" s="174">
        <v>2125</v>
      </c>
      <c r="E398" s="48">
        <v>90877</v>
      </c>
      <c r="F398" s="48">
        <v>4213</v>
      </c>
      <c r="G398" s="45"/>
      <c r="I398" s="390"/>
      <c r="J398" s="389">
        <v>2125</v>
      </c>
      <c r="K398" s="391"/>
      <c r="L398" s="45">
        <f t="shared" si="3"/>
        <v>0</v>
      </c>
    </row>
    <row r="399" spans="1:12" x14ac:dyDescent="0.25">
      <c r="A399" s="43"/>
      <c r="B399" s="44" t="s">
        <v>230</v>
      </c>
      <c r="C399" s="174">
        <v>3.4999799999999999</v>
      </c>
      <c r="D399" s="174">
        <v>3499.98</v>
      </c>
      <c r="E399" s="48">
        <v>90877</v>
      </c>
      <c r="F399" s="48">
        <v>4213</v>
      </c>
      <c r="G399" s="45"/>
      <c r="I399" s="390"/>
      <c r="J399" s="389">
        <v>3499.98</v>
      </c>
      <c r="K399" s="391"/>
      <c r="L399" s="45">
        <f t="shared" si="3"/>
        <v>0</v>
      </c>
    </row>
    <row r="400" spans="1:12" x14ac:dyDescent="0.25">
      <c r="A400" s="43"/>
      <c r="B400" s="44" t="s">
        <v>396</v>
      </c>
      <c r="C400" s="174">
        <v>77.736059999999995</v>
      </c>
      <c r="D400" s="174">
        <v>77736.06</v>
      </c>
      <c r="E400" s="48">
        <v>90877</v>
      </c>
      <c r="F400" s="48">
        <v>4213</v>
      </c>
      <c r="G400" s="384"/>
      <c r="I400" s="390"/>
      <c r="J400" s="387">
        <v>77736.06</v>
      </c>
      <c r="K400" s="391"/>
      <c r="L400" s="45">
        <f t="shared" si="3"/>
        <v>0</v>
      </c>
    </row>
    <row r="401" spans="1:12" x14ac:dyDescent="0.25">
      <c r="A401" s="43"/>
      <c r="B401" s="44" t="s">
        <v>608</v>
      </c>
      <c r="C401" s="174"/>
      <c r="D401" s="174">
        <v>68213.02</v>
      </c>
      <c r="E401" s="48">
        <v>90877</v>
      </c>
      <c r="F401" s="48">
        <v>4213</v>
      </c>
      <c r="G401" s="384"/>
      <c r="I401" s="390"/>
      <c r="J401" s="387"/>
      <c r="K401" s="391">
        <v>68213.02</v>
      </c>
      <c r="L401" s="45">
        <f t="shared" si="3"/>
        <v>-68213.02</v>
      </c>
    </row>
    <row r="402" spans="1:12" x14ac:dyDescent="0.25">
      <c r="A402" s="43"/>
      <c r="B402" s="44"/>
      <c r="C402" s="20"/>
      <c r="D402" s="20"/>
      <c r="E402" s="48"/>
      <c r="F402" s="48"/>
      <c r="G402" s="45"/>
      <c r="I402" s="390"/>
      <c r="J402" s="387"/>
      <c r="K402" s="391"/>
      <c r="L402" s="45">
        <f t="shared" si="3"/>
        <v>0</v>
      </c>
    </row>
    <row r="403" spans="1:12" x14ac:dyDescent="0.25">
      <c r="A403" s="43"/>
      <c r="B403" s="285" t="s">
        <v>33</v>
      </c>
      <c r="C403" s="39">
        <f>+C404</f>
        <v>100</v>
      </c>
      <c r="D403" s="39">
        <f>+D404</f>
        <v>100000</v>
      </c>
      <c r="E403" s="48"/>
      <c r="F403" s="48"/>
      <c r="G403" s="45"/>
      <c r="I403" s="390"/>
      <c r="J403" s="387"/>
      <c r="K403" s="391"/>
      <c r="L403" s="45">
        <f t="shared" si="3"/>
        <v>0</v>
      </c>
    </row>
    <row r="404" spans="1:12" x14ac:dyDescent="0.25">
      <c r="A404" s="43">
        <v>42244</v>
      </c>
      <c r="B404" s="44" t="s">
        <v>322</v>
      </c>
      <c r="C404" s="20">
        <v>100</v>
      </c>
      <c r="D404" s="20">
        <v>100000</v>
      </c>
      <c r="E404" s="48">
        <v>34941</v>
      </c>
      <c r="F404" s="48">
        <v>4216</v>
      </c>
      <c r="G404" s="45">
        <f>+D403+D445+D453+D406</f>
        <v>80216978.61999999</v>
      </c>
      <c r="I404" s="390"/>
      <c r="J404" s="387"/>
      <c r="K404" s="391"/>
      <c r="L404" s="45">
        <f t="shared" si="3"/>
        <v>0</v>
      </c>
    </row>
    <row r="405" spans="1:12" x14ac:dyDescent="0.25">
      <c r="A405" s="43"/>
      <c r="B405" s="44"/>
      <c r="C405" s="20"/>
      <c r="D405" s="39"/>
      <c r="E405" s="48"/>
      <c r="F405" s="48"/>
      <c r="G405" s="45">
        <f>+SUM(I404:J455)</f>
        <v>22517239.219999999</v>
      </c>
      <c r="I405" s="390"/>
      <c r="J405" s="387"/>
      <c r="K405" s="391"/>
      <c r="L405" s="45">
        <f t="shared" si="3"/>
        <v>0</v>
      </c>
    </row>
    <row r="406" spans="1:12" x14ac:dyDescent="0.25">
      <c r="A406" s="43"/>
      <c r="B406" s="273" t="s">
        <v>45</v>
      </c>
      <c r="C406" s="39">
        <f>+SUM(C407:C443)</f>
        <v>36994.02337000001</v>
      </c>
      <c r="D406" s="39">
        <f>+SUM(D407:D443)</f>
        <v>40831815.019999996</v>
      </c>
      <c r="E406" s="48"/>
      <c r="F406" s="48"/>
      <c r="G406" s="45">
        <f>+G404-G405</f>
        <v>57699739.399999991</v>
      </c>
      <c r="I406" s="390"/>
      <c r="J406" s="387"/>
      <c r="K406" s="391"/>
      <c r="L406" s="45">
        <f t="shared" si="3"/>
        <v>-3837791.6499999836</v>
      </c>
    </row>
    <row r="407" spans="1:12" x14ac:dyDescent="0.25">
      <c r="A407" s="43">
        <v>42114</v>
      </c>
      <c r="B407" s="44" t="s">
        <v>156</v>
      </c>
      <c r="C407" s="52">
        <v>801.00243</v>
      </c>
      <c r="D407" s="20">
        <v>801002.43</v>
      </c>
      <c r="E407" s="48">
        <v>15827</v>
      </c>
      <c r="F407" s="48">
        <v>4216</v>
      </c>
      <c r="G407" s="45">
        <v>55776929.770000003</v>
      </c>
      <c r="I407" s="390"/>
      <c r="J407" s="387"/>
      <c r="K407" s="391"/>
      <c r="L407" s="45">
        <f t="shared" si="3"/>
        <v>0</v>
      </c>
    </row>
    <row r="408" spans="1:12" x14ac:dyDescent="0.25">
      <c r="A408" s="43">
        <v>42139</v>
      </c>
      <c r="B408" s="44" t="s">
        <v>169</v>
      </c>
      <c r="C408" s="52">
        <v>359.48018999999999</v>
      </c>
      <c r="D408" s="20">
        <v>359480.19</v>
      </c>
      <c r="E408" s="48">
        <v>15835</v>
      </c>
      <c r="F408" s="48">
        <v>4216</v>
      </c>
      <c r="G408" s="45">
        <f>-G406+G407</f>
        <v>-1922809.6299999878</v>
      </c>
      <c r="I408" s="390"/>
      <c r="J408" s="387"/>
      <c r="K408" s="391"/>
      <c r="L408" s="45">
        <f t="shared" si="3"/>
        <v>0</v>
      </c>
    </row>
    <row r="409" spans="1:12" x14ac:dyDescent="0.25">
      <c r="A409" s="43">
        <v>42150</v>
      </c>
      <c r="B409" s="44" t="s">
        <v>218</v>
      </c>
      <c r="C409" s="52">
        <v>547.28240000000005</v>
      </c>
      <c r="D409" s="20">
        <v>547282.4</v>
      </c>
      <c r="E409" s="48">
        <v>15835</v>
      </c>
      <c r="F409" s="48">
        <v>4216</v>
      </c>
      <c r="G409" s="439"/>
      <c r="I409" s="390"/>
      <c r="J409" s="387"/>
      <c r="K409" s="391"/>
      <c r="L409" s="45">
        <f t="shared" si="3"/>
        <v>0</v>
      </c>
    </row>
    <row r="410" spans="1:12" x14ac:dyDescent="0.25">
      <c r="A410" s="43">
        <v>42150</v>
      </c>
      <c r="B410" s="44" t="s">
        <v>219</v>
      </c>
      <c r="C410" s="52">
        <v>362.03313000000003</v>
      </c>
      <c r="D410" s="20">
        <v>362033.13</v>
      </c>
      <c r="E410" s="48">
        <v>15835</v>
      </c>
      <c r="F410" s="48">
        <v>4216</v>
      </c>
      <c r="G410" s="439"/>
      <c r="I410" s="390"/>
      <c r="J410" s="387"/>
      <c r="K410" s="391"/>
      <c r="L410" s="45">
        <f t="shared" si="3"/>
        <v>0</v>
      </c>
    </row>
    <row r="411" spans="1:12" x14ac:dyDescent="0.25">
      <c r="A411" s="43">
        <v>42167</v>
      </c>
      <c r="B411" s="44" t="s">
        <v>232</v>
      </c>
      <c r="C411" s="52">
        <v>486.99520000000001</v>
      </c>
      <c r="D411" s="20">
        <v>486995.20000000001</v>
      </c>
      <c r="E411" s="48">
        <v>15835</v>
      </c>
      <c r="F411" s="48">
        <v>4216</v>
      </c>
      <c r="G411" s="439"/>
      <c r="I411" s="390"/>
      <c r="J411" s="387"/>
      <c r="K411" s="391"/>
      <c r="L411" s="45">
        <f t="shared" si="3"/>
        <v>0</v>
      </c>
    </row>
    <row r="412" spans="1:12" x14ac:dyDescent="0.25">
      <c r="A412" s="43">
        <v>42198</v>
      </c>
      <c r="B412" s="44" t="s">
        <v>280</v>
      </c>
      <c r="C412" s="52">
        <v>2040.8663899999999</v>
      </c>
      <c r="D412" s="20">
        <v>2040866.39</v>
      </c>
      <c r="E412" s="48">
        <v>15835</v>
      </c>
      <c r="F412" s="48">
        <v>4216</v>
      </c>
      <c r="G412" s="439"/>
      <c r="I412" s="390"/>
      <c r="J412" s="387"/>
      <c r="K412" s="391"/>
      <c r="L412" s="45">
        <f t="shared" si="3"/>
        <v>0</v>
      </c>
    </row>
    <row r="413" spans="1:12" x14ac:dyDescent="0.25">
      <c r="A413" s="43">
        <v>42194</v>
      </c>
      <c r="B413" s="44" t="s">
        <v>294</v>
      </c>
      <c r="C413" s="52">
        <v>341.80831999999998</v>
      </c>
      <c r="D413" s="20">
        <v>341808.32</v>
      </c>
      <c r="E413" s="48">
        <v>15835</v>
      </c>
      <c r="F413" s="48">
        <v>4216</v>
      </c>
      <c r="G413" s="439"/>
      <c r="I413" s="390"/>
      <c r="J413" s="387"/>
      <c r="K413" s="391"/>
      <c r="L413" s="45">
        <f t="shared" si="3"/>
        <v>0</v>
      </c>
    </row>
    <row r="414" spans="1:12" x14ac:dyDescent="0.25">
      <c r="A414" s="43">
        <v>42205</v>
      </c>
      <c r="B414" s="44" t="s">
        <v>303</v>
      </c>
      <c r="C414" s="52">
        <v>331.81452999999999</v>
      </c>
      <c r="D414" s="20">
        <v>331814.53000000003</v>
      </c>
      <c r="E414" s="48">
        <v>15835</v>
      </c>
      <c r="F414" s="48">
        <v>4216</v>
      </c>
      <c r="G414" s="45"/>
      <c r="I414" s="390"/>
      <c r="J414" s="387"/>
      <c r="K414" s="391"/>
      <c r="L414" s="45">
        <f t="shared" si="3"/>
        <v>0</v>
      </c>
    </row>
    <row r="415" spans="1:12" x14ac:dyDescent="0.25">
      <c r="A415" s="43">
        <v>42209</v>
      </c>
      <c r="B415" s="44" t="s">
        <v>329</v>
      </c>
      <c r="C415" s="52">
        <v>346.02866999999998</v>
      </c>
      <c r="D415" s="20">
        <v>346028.67</v>
      </c>
      <c r="E415" s="48">
        <v>15835</v>
      </c>
      <c r="F415" s="48">
        <v>4216</v>
      </c>
      <c r="G415" s="45"/>
      <c r="I415" s="390"/>
      <c r="J415" s="387"/>
      <c r="K415" s="391"/>
      <c r="L415" s="45">
        <f t="shared" ref="L415:L439" si="4">+C415*1000-D415</f>
        <v>0</v>
      </c>
    </row>
    <row r="416" spans="1:12" x14ac:dyDescent="0.25">
      <c r="A416" s="43">
        <v>42220</v>
      </c>
      <c r="B416" s="44" t="s">
        <v>343</v>
      </c>
      <c r="C416" s="52">
        <v>1231.53595</v>
      </c>
      <c r="D416" s="20">
        <v>1231535.95</v>
      </c>
      <c r="E416" s="48">
        <v>15835</v>
      </c>
      <c r="F416" s="48">
        <v>4216</v>
      </c>
      <c r="G416" s="45"/>
      <c r="I416" s="390"/>
      <c r="J416" s="387"/>
      <c r="K416" s="391"/>
      <c r="L416" s="45">
        <f t="shared" si="4"/>
        <v>0</v>
      </c>
    </row>
    <row r="417" spans="1:12" x14ac:dyDescent="0.25">
      <c r="A417" s="43">
        <v>42222</v>
      </c>
      <c r="B417" s="44" t="s">
        <v>368</v>
      </c>
      <c r="C417" s="52">
        <v>3640.0515500000001</v>
      </c>
      <c r="D417" s="20">
        <v>3640051.55</v>
      </c>
      <c r="E417" s="48">
        <v>15835</v>
      </c>
      <c r="F417" s="48">
        <v>4216</v>
      </c>
      <c r="G417" s="45"/>
      <c r="I417" s="390"/>
      <c r="J417" s="387"/>
      <c r="K417" s="391"/>
      <c r="L417" s="45">
        <f t="shared" si="4"/>
        <v>0</v>
      </c>
    </row>
    <row r="418" spans="1:12" x14ac:dyDescent="0.25">
      <c r="A418" s="43">
        <v>42223</v>
      </c>
      <c r="B418" s="44" t="s">
        <v>218</v>
      </c>
      <c r="C418" s="52">
        <v>131.02522999999999</v>
      </c>
      <c r="D418" s="20">
        <v>131025.23</v>
      </c>
      <c r="E418" s="48">
        <v>15835</v>
      </c>
      <c r="F418" s="48">
        <v>4216</v>
      </c>
      <c r="G418" s="45"/>
      <c r="I418" s="390"/>
      <c r="J418" s="387"/>
      <c r="K418" s="391"/>
      <c r="L418" s="45">
        <f t="shared" si="4"/>
        <v>0</v>
      </c>
    </row>
    <row r="419" spans="1:12" x14ac:dyDescent="0.25">
      <c r="A419" s="43">
        <v>42251</v>
      </c>
      <c r="B419" s="44" t="s">
        <v>329</v>
      </c>
      <c r="C419" s="52">
        <v>5.1425000000000001</v>
      </c>
      <c r="D419" s="20">
        <v>5142.5</v>
      </c>
      <c r="E419" s="48">
        <v>15835</v>
      </c>
      <c r="F419" s="48">
        <v>4216</v>
      </c>
      <c r="G419" s="45"/>
      <c r="I419" s="390"/>
      <c r="J419" s="387"/>
      <c r="K419" s="391"/>
      <c r="L419" s="45">
        <f t="shared" si="4"/>
        <v>0</v>
      </c>
    </row>
    <row r="420" spans="1:12" x14ac:dyDescent="0.25">
      <c r="A420" s="43">
        <v>42279</v>
      </c>
      <c r="B420" s="44" t="s">
        <v>232</v>
      </c>
      <c r="C420" s="52">
        <v>5.1425000000000001</v>
      </c>
      <c r="D420" s="20">
        <v>5142.5</v>
      </c>
      <c r="E420" s="48">
        <v>15835</v>
      </c>
      <c r="F420" s="48">
        <v>4216</v>
      </c>
      <c r="G420" s="45"/>
      <c r="I420" s="390"/>
      <c r="J420" s="387"/>
      <c r="K420" s="391"/>
      <c r="L420" s="45">
        <f t="shared" si="4"/>
        <v>0</v>
      </c>
    </row>
    <row r="421" spans="1:12" x14ac:dyDescent="0.25">
      <c r="A421" s="43">
        <v>42279</v>
      </c>
      <c r="B421" s="44" t="s">
        <v>536</v>
      </c>
      <c r="C421" s="52">
        <v>181.87738999999999</v>
      </c>
      <c r="D421" s="20">
        <v>181877.39</v>
      </c>
      <c r="E421" s="48">
        <v>15835</v>
      </c>
      <c r="F421" s="48">
        <v>4216</v>
      </c>
      <c r="G421" s="45"/>
      <c r="I421" s="390"/>
      <c r="J421" s="387"/>
      <c r="K421" s="391"/>
      <c r="L421" s="45">
        <f t="shared" si="4"/>
        <v>0</v>
      </c>
    </row>
    <row r="422" spans="1:12" x14ac:dyDescent="0.25">
      <c r="A422" s="43">
        <v>42285</v>
      </c>
      <c r="B422" s="44" t="s">
        <v>537</v>
      </c>
      <c r="C422" s="52">
        <v>381.30919999999998</v>
      </c>
      <c r="D422" s="20">
        <v>381309.2</v>
      </c>
      <c r="E422" s="48">
        <v>15828</v>
      </c>
      <c r="F422" s="48">
        <v>4216</v>
      </c>
      <c r="G422" s="45"/>
      <c r="I422" s="390"/>
      <c r="J422" s="387"/>
      <c r="K422" s="391"/>
      <c r="L422" s="45">
        <f t="shared" si="4"/>
        <v>0</v>
      </c>
    </row>
    <row r="423" spans="1:12" x14ac:dyDescent="0.25">
      <c r="A423" s="43">
        <v>42285</v>
      </c>
      <c r="B423" s="44" t="s">
        <v>537</v>
      </c>
      <c r="C423" s="52">
        <v>6482.2565699999996</v>
      </c>
      <c r="D423" s="20">
        <v>6482256.5700000003</v>
      </c>
      <c r="E423" s="48">
        <v>15829</v>
      </c>
      <c r="F423" s="48">
        <v>4216</v>
      </c>
      <c r="G423" s="45"/>
      <c r="I423" s="390"/>
      <c r="J423" s="387"/>
      <c r="K423" s="391"/>
      <c r="L423" s="45">
        <f t="shared" si="4"/>
        <v>0</v>
      </c>
    </row>
    <row r="424" spans="1:12" x14ac:dyDescent="0.25">
      <c r="A424" s="43">
        <v>42334</v>
      </c>
      <c r="B424" s="44" t="s">
        <v>615</v>
      </c>
      <c r="C424" s="52"/>
      <c r="D424" s="20">
        <v>449473.95</v>
      </c>
      <c r="E424" s="48">
        <v>15827</v>
      </c>
      <c r="F424" s="48">
        <v>4216</v>
      </c>
      <c r="G424" s="45"/>
      <c r="I424" s="390"/>
      <c r="J424" s="387"/>
      <c r="K424" s="391"/>
      <c r="L424" s="45">
        <f t="shared" si="4"/>
        <v>-449473.95</v>
      </c>
    </row>
    <row r="425" spans="1:12" x14ac:dyDescent="0.25">
      <c r="A425" s="43">
        <v>42335</v>
      </c>
      <c r="B425" s="44" t="s">
        <v>616</v>
      </c>
      <c r="C425" s="52"/>
      <c r="D425" s="20">
        <v>1922809.63</v>
      </c>
      <c r="E425" s="48">
        <v>15827</v>
      </c>
      <c r="F425" s="48">
        <v>4216</v>
      </c>
      <c r="G425" s="45"/>
      <c r="I425" s="390"/>
      <c r="J425" s="387"/>
      <c r="K425" s="391"/>
      <c r="L425" s="45">
        <f t="shared" si="4"/>
        <v>-1922809.63</v>
      </c>
    </row>
    <row r="426" spans="1:12" x14ac:dyDescent="0.25">
      <c r="A426" s="43"/>
      <c r="B426" s="44"/>
      <c r="C426" s="52"/>
      <c r="D426" s="458"/>
      <c r="E426" s="48"/>
      <c r="F426" s="48"/>
      <c r="G426" s="45"/>
      <c r="I426" s="390"/>
      <c r="J426" s="387"/>
      <c r="K426" s="391"/>
      <c r="L426" s="45">
        <f t="shared" si="4"/>
        <v>0</v>
      </c>
    </row>
    <row r="427" spans="1:12" x14ac:dyDescent="0.25">
      <c r="A427" s="43"/>
      <c r="B427" s="44" t="s">
        <v>380</v>
      </c>
      <c r="C427" s="174">
        <f>1790.63256+340.29843</f>
        <v>2130.9309899999998</v>
      </c>
      <c r="D427" s="174">
        <f>1790632.56+340298.43</f>
        <v>2130930.9900000002</v>
      </c>
      <c r="E427" s="48">
        <v>15835</v>
      </c>
      <c r="F427" s="48">
        <v>4216</v>
      </c>
      <c r="G427" s="384" t="s">
        <v>64</v>
      </c>
      <c r="I427" s="390">
        <f>1790632.56+340298.43</f>
        <v>2130930.9900000002</v>
      </c>
      <c r="J427" s="387"/>
      <c r="K427" s="391"/>
      <c r="L427" s="45">
        <f t="shared" si="4"/>
        <v>0</v>
      </c>
    </row>
    <row r="428" spans="1:12" x14ac:dyDescent="0.25">
      <c r="A428" s="43"/>
      <c r="B428" s="44" t="s">
        <v>121</v>
      </c>
      <c r="C428" s="174">
        <v>16.574999999999999</v>
      </c>
      <c r="D428" s="174">
        <v>16575</v>
      </c>
      <c r="E428" s="48">
        <v>15835</v>
      </c>
      <c r="F428" s="48">
        <v>4216</v>
      </c>
      <c r="G428" s="45"/>
      <c r="I428" s="390"/>
      <c r="J428" s="402">
        <v>16575</v>
      </c>
      <c r="K428" s="391"/>
      <c r="L428" s="45">
        <f t="shared" si="4"/>
        <v>0</v>
      </c>
    </row>
    <row r="429" spans="1:12" x14ac:dyDescent="0.25">
      <c r="A429" s="43"/>
      <c r="B429" s="44" t="s">
        <v>502</v>
      </c>
      <c r="C429" s="174">
        <v>24.19134</v>
      </c>
      <c r="D429" s="174">
        <v>24191.34</v>
      </c>
      <c r="E429" s="48">
        <v>15835</v>
      </c>
      <c r="F429" s="48">
        <v>4216</v>
      </c>
      <c r="G429" s="45"/>
      <c r="I429" s="390"/>
      <c r="J429" s="402">
        <v>24191.34</v>
      </c>
      <c r="K429" s="391"/>
      <c r="L429" s="45">
        <f t="shared" si="4"/>
        <v>0</v>
      </c>
    </row>
    <row r="430" spans="1:12" x14ac:dyDescent="0.25">
      <c r="A430" s="43"/>
      <c r="B430" s="44" t="s">
        <v>503</v>
      </c>
      <c r="C430" s="174">
        <f>920.3341+411.10335</f>
        <v>1331.4374499999999</v>
      </c>
      <c r="D430" s="174">
        <f>920334.1+411103.35+305875.05</f>
        <v>1637312.5</v>
      </c>
      <c r="E430" s="48">
        <v>15835</v>
      </c>
      <c r="F430" s="48">
        <v>4216</v>
      </c>
      <c r="G430" s="45"/>
      <c r="I430" s="390"/>
      <c r="J430" s="402">
        <f>920334.1+411103.35</f>
        <v>1331437.45</v>
      </c>
      <c r="K430" s="391">
        <v>305875.05</v>
      </c>
      <c r="L430" s="45">
        <f t="shared" si="4"/>
        <v>-305875.05000000005</v>
      </c>
    </row>
    <row r="431" spans="1:12" x14ac:dyDescent="0.25">
      <c r="A431" s="43"/>
      <c r="B431" s="44" t="s">
        <v>595</v>
      </c>
      <c r="C431" s="174">
        <v>98.822379999999995</v>
      </c>
      <c r="D431" s="174">
        <v>98822.38</v>
      </c>
      <c r="E431" s="48">
        <v>15828</v>
      </c>
      <c r="F431" s="48">
        <v>4216</v>
      </c>
      <c r="G431" s="45"/>
      <c r="I431" s="390"/>
      <c r="J431" s="402">
        <v>98822.38</v>
      </c>
      <c r="K431" s="391"/>
      <c r="L431" s="45">
        <f t="shared" si="4"/>
        <v>0</v>
      </c>
    </row>
    <row r="432" spans="1:12" x14ac:dyDescent="0.25">
      <c r="A432" s="43"/>
      <c r="B432" s="44" t="s">
        <v>595</v>
      </c>
      <c r="C432" s="174">
        <v>1679.98046</v>
      </c>
      <c r="D432" s="174">
        <v>1679980.46</v>
      </c>
      <c r="E432" s="48">
        <v>15829</v>
      </c>
      <c r="F432" s="48">
        <v>4216</v>
      </c>
      <c r="G432" s="45"/>
      <c r="I432" s="390"/>
      <c r="J432" s="402">
        <v>1679980.46</v>
      </c>
      <c r="K432" s="391"/>
      <c r="L432" s="45">
        <f t="shared" si="4"/>
        <v>0</v>
      </c>
    </row>
    <row r="433" spans="1:12" x14ac:dyDescent="0.25">
      <c r="A433" s="43"/>
      <c r="B433" s="44" t="s">
        <v>596</v>
      </c>
      <c r="C433" s="174">
        <v>78.104200000000006</v>
      </c>
      <c r="D433" s="174">
        <v>78104.2</v>
      </c>
      <c r="E433" s="48">
        <v>15828</v>
      </c>
      <c r="F433" s="48">
        <v>4216</v>
      </c>
      <c r="G433" s="45"/>
      <c r="I433" s="390"/>
      <c r="J433" s="402">
        <v>78104.2</v>
      </c>
      <c r="K433" s="391"/>
      <c r="L433" s="45">
        <f t="shared" si="4"/>
        <v>0</v>
      </c>
    </row>
    <row r="434" spans="1:12" x14ac:dyDescent="0.25">
      <c r="A434" s="43"/>
      <c r="B434" s="44" t="s">
        <v>596</v>
      </c>
      <c r="C434" s="174">
        <v>1327.7714000000001</v>
      </c>
      <c r="D434" s="174">
        <v>1327771.3999999999</v>
      </c>
      <c r="E434" s="48">
        <v>15829</v>
      </c>
      <c r="F434" s="48">
        <v>4216</v>
      </c>
      <c r="G434" s="45"/>
      <c r="I434" s="390"/>
      <c r="J434" s="402">
        <v>1327771.3999999999</v>
      </c>
      <c r="K434" s="391"/>
      <c r="L434" s="45">
        <f t="shared" si="4"/>
        <v>0</v>
      </c>
    </row>
    <row r="435" spans="1:12" x14ac:dyDescent="0.25">
      <c r="A435" s="43"/>
      <c r="B435" s="44" t="s">
        <v>538</v>
      </c>
      <c r="C435" s="174">
        <v>808.39481999999998</v>
      </c>
      <c r="D435" s="174">
        <v>808394.82</v>
      </c>
      <c r="E435" s="48">
        <v>15827</v>
      </c>
      <c r="F435" s="48">
        <v>4216</v>
      </c>
      <c r="G435" s="45"/>
      <c r="I435" s="390"/>
      <c r="J435" s="402">
        <v>808394.82</v>
      </c>
      <c r="K435" s="391"/>
      <c r="L435" s="45">
        <f t="shared" si="4"/>
        <v>0</v>
      </c>
    </row>
    <row r="436" spans="1:12" x14ac:dyDescent="0.25">
      <c r="A436" s="43"/>
      <c r="B436" s="44" t="s">
        <v>284</v>
      </c>
      <c r="C436" s="174">
        <f>4723.48694+5516.77245</f>
        <v>10240.259389999999</v>
      </c>
      <c r="D436" s="174">
        <f>3690394.27+1033092.67+5516772.45</f>
        <v>10240259.390000001</v>
      </c>
      <c r="E436" s="48">
        <v>15835</v>
      </c>
      <c r="F436" s="48">
        <v>4216</v>
      </c>
      <c r="G436" s="384"/>
      <c r="I436" s="390"/>
      <c r="J436" s="402">
        <f>3690394.27+1033092.67+5516772.45</f>
        <v>10240259.390000001</v>
      </c>
      <c r="K436" s="391"/>
      <c r="L436" s="45">
        <f t="shared" si="4"/>
        <v>0</v>
      </c>
    </row>
    <row r="437" spans="1:12" x14ac:dyDescent="0.25">
      <c r="A437" s="43"/>
      <c r="B437" s="44" t="s">
        <v>499</v>
      </c>
      <c r="C437" s="174">
        <v>5.1425000000000001</v>
      </c>
      <c r="D437" s="174">
        <v>5142.5</v>
      </c>
      <c r="E437" s="48">
        <v>15835</v>
      </c>
      <c r="F437" s="48">
        <v>4216</v>
      </c>
      <c r="G437" s="384"/>
      <c r="I437" s="390"/>
      <c r="J437" s="402">
        <v>5142.5</v>
      </c>
      <c r="K437" s="391"/>
      <c r="L437" s="45">
        <f t="shared" si="4"/>
        <v>0</v>
      </c>
    </row>
    <row r="438" spans="1:12" x14ac:dyDescent="0.25">
      <c r="A438" s="43"/>
      <c r="B438" s="44" t="s">
        <v>360</v>
      </c>
      <c r="C438" s="174">
        <v>159.6232</v>
      </c>
      <c r="D438" s="174">
        <v>159623.20000000001</v>
      </c>
      <c r="E438" s="48">
        <v>15835</v>
      </c>
      <c r="F438" s="48">
        <v>4216</v>
      </c>
      <c r="G438" s="45"/>
      <c r="I438" s="390"/>
      <c r="J438" s="45">
        <v>159623.20000000001</v>
      </c>
      <c r="K438" s="391"/>
      <c r="L438" s="45">
        <f t="shared" si="4"/>
        <v>0</v>
      </c>
    </row>
    <row r="439" spans="1:12" x14ac:dyDescent="0.25">
      <c r="A439" s="43"/>
      <c r="B439" s="44" t="s">
        <v>228</v>
      </c>
      <c r="C439" s="174">
        <v>36.125</v>
      </c>
      <c r="D439" s="174">
        <v>36125</v>
      </c>
      <c r="E439" s="48">
        <v>15835</v>
      </c>
      <c r="F439" s="48">
        <v>4216</v>
      </c>
      <c r="G439" s="45"/>
      <c r="I439" s="390"/>
      <c r="J439" s="402">
        <v>36125</v>
      </c>
      <c r="K439" s="391"/>
      <c r="L439" s="45">
        <f t="shared" si="4"/>
        <v>0</v>
      </c>
    </row>
    <row r="440" spans="1:12" x14ac:dyDescent="0.25">
      <c r="A440" s="43"/>
      <c r="B440" s="44" t="s">
        <v>230</v>
      </c>
      <c r="C440" s="174">
        <v>59.499980000000001</v>
      </c>
      <c r="D440" s="174">
        <v>59499.98</v>
      </c>
      <c r="E440" s="48">
        <v>15835</v>
      </c>
      <c r="F440" s="48">
        <v>4216</v>
      </c>
      <c r="G440" s="45"/>
      <c r="I440" s="390"/>
      <c r="J440" s="402">
        <v>59499.98</v>
      </c>
      <c r="K440" s="391"/>
      <c r="L440" s="45">
        <f t="shared" ref="L440:L442" si="5">+D440-I440-J440-K440</f>
        <v>0</v>
      </c>
    </row>
    <row r="441" spans="1:12" x14ac:dyDescent="0.25">
      <c r="A441" s="43"/>
      <c r="B441" s="44" t="s">
        <v>396</v>
      </c>
      <c r="C441" s="174">
        <v>1321.5131100000001</v>
      </c>
      <c r="D441" s="174">
        <v>1321513.1100000001</v>
      </c>
      <c r="E441" s="48">
        <v>15835</v>
      </c>
      <c r="F441" s="48">
        <v>4216</v>
      </c>
      <c r="G441" s="384"/>
      <c r="I441" s="390"/>
      <c r="J441" s="387">
        <v>1321513.1100000001</v>
      </c>
      <c r="K441" s="391"/>
      <c r="L441" s="45">
        <f t="shared" si="5"/>
        <v>0</v>
      </c>
    </row>
    <row r="442" spans="1:12" x14ac:dyDescent="0.25">
      <c r="A442" s="43"/>
      <c r="B442" s="44" t="s">
        <v>608</v>
      </c>
      <c r="C442" s="175">
        <v>0</v>
      </c>
      <c r="D442" s="174">
        <v>1159633.02</v>
      </c>
      <c r="E442" s="48">
        <v>15835</v>
      </c>
      <c r="F442" s="48">
        <v>4216</v>
      </c>
      <c r="G442" s="45"/>
      <c r="I442" s="390"/>
      <c r="J442" s="387"/>
      <c r="K442" s="391">
        <v>1159633.02</v>
      </c>
      <c r="L442" s="45">
        <f t="shared" si="5"/>
        <v>0</v>
      </c>
    </row>
    <row r="443" spans="1:12" x14ac:dyDescent="0.25">
      <c r="A443" s="43"/>
      <c r="B443" s="276"/>
      <c r="C443" s="52"/>
      <c r="D443" s="20"/>
      <c r="E443" s="48"/>
      <c r="F443" s="48"/>
      <c r="G443" s="45"/>
      <c r="I443" s="390"/>
      <c r="J443" s="387"/>
      <c r="K443" s="391"/>
    </row>
    <row r="444" spans="1:12" x14ac:dyDescent="0.25">
      <c r="A444" s="43"/>
      <c r="B444" s="276"/>
      <c r="C444" s="20"/>
      <c r="D444" s="20"/>
      <c r="E444" s="48"/>
      <c r="F444" s="48"/>
      <c r="G444" s="45"/>
      <c r="I444" s="390"/>
      <c r="J444" s="387"/>
      <c r="K444" s="391"/>
    </row>
    <row r="445" spans="1:12" x14ac:dyDescent="0.25">
      <c r="A445" s="43"/>
      <c r="B445" s="285" t="s">
        <v>91</v>
      </c>
      <c r="C445" s="39">
        <f>+SUM(C446:C451)</f>
        <v>38835.1636</v>
      </c>
      <c r="D445" s="39">
        <f>+SUM(D446:D451)</f>
        <v>38835163.599999994</v>
      </c>
      <c r="E445" s="48"/>
      <c r="F445" s="48"/>
      <c r="G445" s="45"/>
      <c r="I445" s="390"/>
      <c r="J445" s="387"/>
      <c r="K445" s="391"/>
    </row>
    <row r="446" spans="1:12" x14ac:dyDescent="0.25">
      <c r="A446" s="43">
        <v>42034</v>
      </c>
      <c r="B446" s="276" t="s">
        <v>103</v>
      </c>
      <c r="C446" s="20">
        <v>4395.5924400000004</v>
      </c>
      <c r="D446" s="20">
        <v>4395592.4400000004</v>
      </c>
      <c r="E446" s="48">
        <v>17871</v>
      </c>
      <c r="F446" s="48">
        <v>4216</v>
      </c>
      <c r="G446" s="45"/>
      <c r="I446" s="390"/>
      <c r="J446" s="387"/>
      <c r="K446" s="391"/>
    </row>
    <row r="447" spans="1:12" x14ac:dyDescent="0.25">
      <c r="A447" s="43">
        <v>42034</v>
      </c>
      <c r="B447" s="276" t="s">
        <v>103</v>
      </c>
      <c r="C447" s="20">
        <v>775.69277999999997</v>
      </c>
      <c r="D447" s="20">
        <v>775692.78</v>
      </c>
      <c r="E447" s="48">
        <v>17870</v>
      </c>
      <c r="F447" s="48">
        <v>4216</v>
      </c>
      <c r="G447" s="45"/>
      <c r="I447" s="390"/>
      <c r="J447" s="387"/>
      <c r="K447" s="391"/>
    </row>
    <row r="448" spans="1:12" x14ac:dyDescent="0.25">
      <c r="A448" s="43">
        <v>42151</v>
      </c>
      <c r="B448" s="276" t="s">
        <v>220</v>
      </c>
      <c r="C448" s="20">
        <v>22777.845359999999</v>
      </c>
      <c r="D448" s="20">
        <v>22777845.359999999</v>
      </c>
      <c r="E448" s="48">
        <v>17871</v>
      </c>
      <c r="F448" s="48">
        <v>4216</v>
      </c>
      <c r="G448" s="45"/>
      <c r="I448" s="390"/>
      <c r="J448" s="387"/>
      <c r="K448" s="391"/>
    </row>
    <row r="449" spans="1:12" x14ac:dyDescent="0.25">
      <c r="A449" s="43">
        <v>42250</v>
      </c>
      <c r="B449" s="276" t="s">
        <v>419</v>
      </c>
      <c r="C449" s="20">
        <v>1153.07475</v>
      </c>
      <c r="D449" s="20">
        <v>1153074.75</v>
      </c>
      <c r="E449" s="48">
        <v>17870</v>
      </c>
      <c r="F449" s="48">
        <v>4216</v>
      </c>
      <c r="G449" s="45"/>
      <c r="I449" s="390"/>
      <c r="J449" s="387"/>
      <c r="K449" s="391"/>
    </row>
    <row r="450" spans="1:12" x14ac:dyDescent="0.25">
      <c r="A450" s="43">
        <v>42250</v>
      </c>
      <c r="B450" s="276" t="s">
        <v>419</v>
      </c>
      <c r="C450" s="20">
        <v>6534.0902699999997</v>
      </c>
      <c r="D450" s="20">
        <v>6534090.2699999996</v>
      </c>
      <c r="E450" s="48">
        <v>17871</v>
      </c>
      <c r="F450" s="48">
        <v>4216</v>
      </c>
      <c r="G450" s="45"/>
      <c r="I450" s="390"/>
      <c r="J450" s="387"/>
      <c r="K450" s="391"/>
    </row>
    <row r="451" spans="1:12" x14ac:dyDescent="0.25">
      <c r="A451" s="43"/>
      <c r="B451" s="276" t="s">
        <v>541</v>
      </c>
      <c r="C451" s="174">
        <v>3198.8679999999999</v>
      </c>
      <c r="D451" s="174">
        <v>3198868</v>
      </c>
      <c r="E451" s="48">
        <v>17880</v>
      </c>
      <c r="F451" s="48">
        <v>4216</v>
      </c>
      <c r="G451" s="384"/>
      <c r="I451" s="390"/>
      <c r="J451" s="387">
        <v>3198868</v>
      </c>
      <c r="K451" s="391"/>
    </row>
    <row r="452" spans="1:12" x14ac:dyDescent="0.25">
      <c r="A452" s="43"/>
      <c r="B452" s="276"/>
      <c r="C452" s="20"/>
      <c r="D452" s="20"/>
      <c r="E452" s="48"/>
      <c r="F452" s="48"/>
      <c r="G452" s="45"/>
      <c r="I452" s="390"/>
      <c r="J452" s="387"/>
      <c r="K452" s="391"/>
    </row>
    <row r="453" spans="1:12" x14ac:dyDescent="0.25">
      <c r="A453" s="43"/>
      <c r="B453" s="31" t="s">
        <v>149</v>
      </c>
      <c r="C453" s="39">
        <f>+C454</f>
        <v>450</v>
      </c>
      <c r="D453" s="39">
        <f>+D454</f>
        <v>450000</v>
      </c>
      <c r="E453" s="48"/>
      <c r="F453" s="48"/>
      <c r="G453" s="45"/>
      <c r="I453" s="390"/>
      <c r="J453" s="387"/>
      <c r="K453" s="391"/>
    </row>
    <row r="454" spans="1:12" x14ac:dyDescent="0.25">
      <c r="A454" s="43">
        <v>42121</v>
      </c>
      <c r="B454" s="276" t="s">
        <v>155</v>
      </c>
      <c r="C454" s="20">
        <v>450</v>
      </c>
      <c r="D454" s="20">
        <v>450000</v>
      </c>
      <c r="E454" s="48">
        <v>35674</v>
      </c>
      <c r="F454" s="48">
        <v>4216</v>
      </c>
      <c r="G454" s="45"/>
      <c r="I454" s="390"/>
      <c r="J454" s="387"/>
      <c r="K454" s="391"/>
    </row>
    <row r="455" spans="1:12" x14ac:dyDescent="0.25">
      <c r="A455" s="43"/>
      <c r="B455" s="273"/>
      <c r="C455" s="39"/>
      <c r="D455" s="39"/>
      <c r="E455" s="48"/>
      <c r="F455" s="48"/>
      <c r="G455" s="45"/>
      <c r="I455" s="390"/>
      <c r="J455" s="387"/>
      <c r="K455" s="391"/>
    </row>
    <row r="456" spans="1:12" x14ac:dyDescent="0.25">
      <c r="A456" s="43"/>
      <c r="B456" s="273" t="s">
        <v>48</v>
      </c>
      <c r="C456" s="39">
        <f>SUM(C457:C465)</f>
        <v>3070</v>
      </c>
      <c r="D456" s="39">
        <f>SUM(D457:D465)</f>
        <v>3070000</v>
      </c>
      <c r="E456" s="48"/>
      <c r="F456" s="48"/>
      <c r="G456" s="45"/>
      <c r="I456" s="390"/>
      <c r="J456" s="387"/>
      <c r="K456" s="391"/>
    </row>
    <row r="457" spans="1:12" x14ac:dyDescent="0.25">
      <c r="A457" s="43"/>
      <c r="B457" s="44" t="s">
        <v>308</v>
      </c>
      <c r="C457" s="174">
        <v>200</v>
      </c>
      <c r="D457" s="423">
        <v>200000</v>
      </c>
      <c r="E457" s="48">
        <v>551</v>
      </c>
      <c r="F457" s="48">
        <v>4222</v>
      </c>
      <c r="G457" s="45"/>
      <c r="I457" s="390"/>
      <c r="J457" s="387">
        <v>200000</v>
      </c>
      <c r="K457" s="395"/>
      <c r="L457" s="45">
        <f>+D457-I457-J457-K457</f>
        <v>0</v>
      </c>
    </row>
    <row r="458" spans="1:12" x14ac:dyDescent="0.25">
      <c r="A458" s="43"/>
      <c r="B458" s="44" t="s">
        <v>305</v>
      </c>
      <c r="C458" s="174">
        <v>500</v>
      </c>
      <c r="D458" s="423">
        <v>500000</v>
      </c>
      <c r="E458" s="48">
        <v>551</v>
      </c>
      <c r="F458" s="48">
        <v>4222</v>
      </c>
      <c r="G458" s="45"/>
      <c r="I458" s="390"/>
      <c r="J458" s="387">
        <v>500000</v>
      </c>
      <c r="K458" s="395"/>
      <c r="L458" s="45">
        <f t="shared" ref="L458:L466" si="6">+D458-I458-J458-K458</f>
        <v>0</v>
      </c>
    </row>
    <row r="459" spans="1:12" x14ac:dyDescent="0.25">
      <c r="A459" s="43"/>
      <c r="B459" s="44" t="s">
        <v>312</v>
      </c>
      <c r="C459" s="174">
        <v>90</v>
      </c>
      <c r="D459" s="423">
        <v>90000</v>
      </c>
      <c r="E459" s="48">
        <v>551</v>
      </c>
      <c r="F459" s="48">
        <v>4222</v>
      </c>
      <c r="G459" s="45"/>
      <c r="I459" s="390"/>
      <c r="J459" s="387">
        <v>90000</v>
      </c>
      <c r="K459" s="395"/>
      <c r="L459" s="45">
        <f t="shared" si="6"/>
        <v>0</v>
      </c>
    </row>
    <row r="460" spans="1:12" x14ac:dyDescent="0.25">
      <c r="A460" s="43"/>
      <c r="B460" s="44" t="s">
        <v>345</v>
      </c>
      <c r="C460" s="174">
        <v>500</v>
      </c>
      <c r="D460" s="423">
        <v>500000</v>
      </c>
      <c r="E460" s="48">
        <v>551</v>
      </c>
      <c r="F460" s="48">
        <v>4222</v>
      </c>
      <c r="G460" s="45"/>
      <c r="I460" s="390"/>
      <c r="J460" s="387">
        <v>500000</v>
      </c>
      <c r="K460" s="395"/>
      <c r="L460" s="45">
        <f t="shared" si="6"/>
        <v>0</v>
      </c>
    </row>
    <row r="461" spans="1:12" x14ac:dyDescent="0.25">
      <c r="A461" s="43"/>
      <c r="B461" s="44" t="s">
        <v>306</v>
      </c>
      <c r="C461" s="174">
        <v>300</v>
      </c>
      <c r="D461" s="423">
        <v>300000</v>
      </c>
      <c r="E461" s="48">
        <v>551</v>
      </c>
      <c r="F461" s="48">
        <v>4222</v>
      </c>
      <c r="G461" s="45"/>
      <c r="I461" s="390"/>
      <c r="J461" s="387">
        <v>300000</v>
      </c>
      <c r="K461" s="395"/>
      <c r="L461" s="45">
        <f t="shared" si="6"/>
        <v>0</v>
      </c>
    </row>
    <row r="462" spans="1:12" x14ac:dyDescent="0.25">
      <c r="A462" s="43"/>
      <c r="B462" s="44" t="s">
        <v>313</v>
      </c>
      <c r="C462" s="174">
        <v>700</v>
      </c>
      <c r="D462" s="423">
        <v>700000</v>
      </c>
      <c r="E462" s="48">
        <v>551</v>
      </c>
      <c r="F462" s="48">
        <v>4222</v>
      </c>
      <c r="G462" s="45"/>
      <c r="I462" s="390"/>
      <c r="J462" s="387">
        <v>700000</v>
      </c>
      <c r="K462" s="395"/>
      <c r="L462" s="45">
        <f t="shared" si="6"/>
        <v>0</v>
      </c>
    </row>
    <row r="463" spans="1:12" x14ac:dyDescent="0.25">
      <c r="A463" s="43"/>
      <c r="B463" s="44" t="s">
        <v>302</v>
      </c>
      <c r="C463" s="179">
        <v>30</v>
      </c>
      <c r="D463" s="423">
        <v>30000</v>
      </c>
      <c r="E463" s="48">
        <v>433</v>
      </c>
      <c r="F463" s="48">
        <v>4222</v>
      </c>
      <c r="G463" s="45"/>
      <c r="I463" s="390"/>
      <c r="J463" s="387">
        <v>30000</v>
      </c>
      <c r="K463" s="391"/>
      <c r="L463" s="45">
        <f t="shared" si="6"/>
        <v>0</v>
      </c>
    </row>
    <row r="464" spans="1:12" x14ac:dyDescent="0.25">
      <c r="A464" s="43"/>
      <c r="B464" s="44" t="s">
        <v>561</v>
      </c>
      <c r="C464" s="174">
        <v>350</v>
      </c>
      <c r="D464" s="423">
        <v>350000</v>
      </c>
      <c r="E464" s="48">
        <v>439</v>
      </c>
      <c r="F464" s="48">
        <v>4222</v>
      </c>
      <c r="G464" s="160" t="s">
        <v>64</v>
      </c>
      <c r="I464" s="390">
        <v>350000</v>
      </c>
      <c r="J464" s="387"/>
      <c r="K464" s="391"/>
      <c r="L464" s="45">
        <f t="shared" si="6"/>
        <v>0</v>
      </c>
    </row>
    <row r="465" spans="1:12" x14ac:dyDescent="0.25">
      <c r="A465" s="43"/>
      <c r="B465" s="44" t="s">
        <v>307</v>
      </c>
      <c r="C465" s="174">
        <v>400</v>
      </c>
      <c r="D465" s="423">
        <v>400000</v>
      </c>
      <c r="E465" s="48">
        <v>551</v>
      </c>
      <c r="F465" s="48">
        <v>4222</v>
      </c>
      <c r="G465" s="45"/>
      <c r="I465" s="390"/>
      <c r="J465" s="387">
        <v>400000</v>
      </c>
      <c r="K465" s="395"/>
      <c r="L465" s="45">
        <f t="shared" si="6"/>
        <v>0</v>
      </c>
    </row>
    <row r="466" spans="1:12" x14ac:dyDescent="0.25">
      <c r="A466" s="43"/>
      <c r="B466" s="304"/>
      <c r="C466" s="52"/>
      <c r="D466" s="350"/>
      <c r="E466" s="22"/>
      <c r="F466" s="48"/>
      <c r="G466" s="45"/>
      <c r="I466" s="390"/>
      <c r="J466" s="387"/>
      <c r="K466" s="391"/>
      <c r="L466" s="45">
        <f t="shared" si="6"/>
        <v>0</v>
      </c>
    </row>
    <row r="467" spans="1:12" x14ac:dyDescent="0.25">
      <c r="A467" s="43"/>
      <c r="B467" s="31" t="s">
        <v>50</v>
      </c>
      <c r="C467" s="30">
        <f>+SUM(C468:C483)</f>
        <v>119097.11307999998</v>
      </c>
      <c r="D467" s="30">
        <f>+SUM(D468:D483)</f>
        <v>186882303.36000001</v>
      </c>
      <c r="E467" s="48"/>
      <c r="F467" s="48"/>
      <c r="G467" s="45"/>
      <c r="I467" s="390"/>
      <c r="J467" s="387"/>
      <c r="K467" s="391"/>
    </row>
    <row r="468" spans="1:12" x14ac:dyDescent="0.25">
      <c r="A468" s="43">
        <v>42073</v>
      </c>
      <c r="B468" s="276" t="s">
        <v>112</v>
      </c>
      <c r="C468" s="20">
        <v>24568.326000000001</v>
      </c>
      <c r="D468" s="20">
        <v>24568326</v>
      </c>
      <c r="E468" s="48">
        <v>86505</v>
      </c>
      <c r="F468" s="48">
        <v>4223</v>
      </c>
      <c r="G468" s="45"/>
      <c r="I468" s="390"/>
      <c r="J468" s="387"/>
      <c r="K468" s="391"/>
      <c r="L468" s="45">
        <f>+C468*1000-D468</f>
        <v>0</v>
      </c>
    </row>
    <row r="469" spans="1:12" x14ac:dyDescent="0.25">
      <c r="A469" s="43">
        <v>42073</v>
      </c>
      <c r="B469" s="276" t="s">
        <v>112</v>
      </c>
      <c r="C469" s="20">
        <v>2167.7934799999998</v>
      </c>
      <c r="D469" s="20">
        <v>2167793.48</v>
      </c>
      <c r="E469" s="48">
        <v>86501</v>
      </c>
      <c r="F469" s="48">
        <v>4223</v>
      </c>
      <c r="G469" s="45"/>
      <c r="I469" s="390"/>
      <c r="J469" s="387"/>
      <c r="K469" s="391"/>
      <c r="L469" s="45">
        <f t="shared" ref="L469:L484" si="7">+C469*1000-D469</f>
        <v>0</v>
      </c>
    </row>
    <row r="470" spans="1:12" x14ac:dyDescent="0.25">
      <c r="A470" s="43">
        <v>42087</v>
      </c>
      <c r="B470" s="44" t="s">
        <v>123</v>
      </c>
      <c r="C470" s="46">
        <v>17507.565600000002</v>
      </c>
      <c r="D470" s="46">
        <v>17507565.600000001</v>
      </c>
      <c r="E470" s="22">
        <v>86505</v>
      </c>
      <c r="F470" s="48">
        <v>4223</v>
      </c>
      <c r="G470" s="45"/>
      <c r="I470" s="390"/>
      <c r="J470" s="387"/>
      <c r="K470" s="391"/>
      <c r="L470" s="45">
        <f t="shared" si="7"/>
        <v>0</v>
      </c>
    </row>
    <row r="471" spans="1:12" x14ac:dyDescent="0.25">
      <c r="A471" s="43">
        <v>42101</v>
      </c>
      <c r="B471" s="44" t="s">
        <v>138</v>
      </c>
      <c r="C471" s="46">
        <v>3893.92481</v>
      </c>
      <c r="D471" s="46">
        <v>3893924.81</v>
      </c>
      <c r="E471" s="22">
        <v>86505</v>
      </c>
      <c r="F471" s="48">
        <v>4223</v>
      </c>
      <c r="G471" s="45"/>
      <c r="I471" s="390"/>
      <c r="J471" s="387"/>
      <c r="K471" s="391"/>
      <c r="L471" s="45">
        <f t="shared" si="7"/>
        <v>0</v>
      </c>
    </row>
    <row r="472" spans="1:12" x14ac:dyDescent="0.25">
      <c r="A472" s="43">
        <v>42122</v>
      </c>
      <c r="B472" s="44" t="s">
        <v>152</v>
      </c>
      <c r="C472" s="46">
        <v>4191.1944100000001</v>
      </c>
      <c r="D472" s="46">
        <v>4191194.41</v>
      </c>
      <c r="E472" s="22">
        <v>86505</v>
      </c>
      <c r="F472" s="48">
        <v>4223</v>
      </c>
      <c r="G472" s="45"/>
      <c r="I472" s="390"/>
      <c r="J472" s="387"/>
      <c r="K472" s="391"/>
      <c r="L472" s="45">
        <f t="shared" si="7"/>
        <v>0</v>
      </c>
    </row>
    <row r="473" spans="1:12" x14ac:dyDescent="0.25">
      <c r="A473" s="43">
        <v>42143</v>
      </c>
      <c r="B473" s="44" t="s">
        <v>171</v>
      </c>
      <c r="C473" s="46">
        <v>18985.09273</v>
      </c>
      <c r="D473" s="20">
        <v>18985092.73</v>
      </c>
      <c r="E473" s="22">
        <v>86505</v>
      </c>
      <c r="F473" s="48">
        <v>4223</v>
      </c>
      <c r="G473" s="45"/>
      <c r="I473" s="390"/>
      <c r="J473" s="387"/>
      <c r="K473" s="391"/>
      <c r="L473" s="45">
        <f t="shared" si="7"/>
        <v>0</v>
      </c>
    </row>
    <row r="474" spans="1:12" x14ac:dyDescent="0.25">
      <c r="A474" s="43">
        <v>42178</v>
      </c>
      <c r="B474" s="44" t="s">
        <v>246</v>
      </c>
      <c r="C474" s="46">
        <v>10777.64892</v>
      </c>
      <c r="D474" s="20">
        <v>10777648.92</v>
      </c>
      <c r="E474" s="22">
        <v>86505</v>
      </c>
      <c r="F474" s="48">
        <v>4223</v>
      </c>
      <c r="G474" s="45"/>
      <c r="H474" s="45">
        <f>190252511.71-I481-I482</f>
        <v>180655085.22</v>
      </c>
      <c r="I474" s="390"/>
      <c r="J474" s="387"/>
      <c r="K474" s="391"/>
      <c r="L474" s="45">
        <f t="shared" si="7"/>
        <v>0</v>
      </c>
    </row>
    <row r="475" spans="1:12" x14ac:dyDescent="0.25">
      <c r="A475" s="43">
        <v>42242</v>
      </c>
      <c r="B475" s="44" t="s">
        <v>393</v>
      </c>
      <c r="C475" s="46">
        <v>9577.3184600000004</v>
      </c>
      <c r="D475" s="20">
        <v>9577318.4600000009</v>
      </c>
      <c r="E475" s="22">
        <v>86505</v>
      </c>
      <c r="F475" s="48">
        <v>4223</v>
      </c>
      <c r="G475" s="45"/>
      <c r="I475" s="390"/>
      <c r="J475" s="387"/>
      <c r="K475" s="391"/>
      <c r="L475" s="45">
        <f t="shared" si="7"/>
        <v>0</v>
      </c>
    </row>
    <row r="476" spans="1:12" x14ac:dyDescent="0.25">
      <c r="A476" s="43">
        <v>42290</v>
      </c>
      <c r="B476" s="44" t="s">
        <v>539</v>
      </c>
      <c r="C476" s="46">
        <v>8424.0829799999992</v>
      </c>
      <c r="D476" s="20">
        <v>8424082.9800000004</v>
      </c>
      <c r="E476" s="22">
        <v>86505</v>
      </c>
      <c r="F476" s="48">
        <v>4223</v>
      </c>
      <c r="G476" s="45"/>
      <c r="I476" s="390"/>
      <c r="J476" s="387"/>
      <c r="K476" s="391"/>
      <c r="L476" s="45">
        <f t="shared" si="7"/>
        <v>0</v>
      </c>
    </row>
    <row r="477" spans="1:12" x14ac:dyDescent="0.25">
      <c r="A477" s="43">
        <v>42312</v>
      </c>
      <c r="B477" s="44" t="s">
        <v>602</v>
      </c>
      <c r="C477" s="46">
        <v>9406.7392</v>
      </c>
      <c r="D477" s="20">
        <v>9406739.1999999993</v>
      </c>
      <c r="E477" s="22">
        <v>86505</v>
      </c>
      <c r="F477" s="48">
        <v>4223</v>
      </c>
      <c r="G477" s="45"/>
      <c r="I477" s="390"/>
      <c r="J477" s="387"/>
      <c r="K477" s="391"/>
      <c r="L477" s="45">
        <f t="shared" si="7"/>
        <v>0</v>
      </c>
    </row>
    <row r="478" spans="1:12" x14ac:dyDescent="0.25">
      <c r="A478" s="43">
        <v>42324</v>
      </c>
      <c r="B478" s="44" t="s">
        <v>603</v>
      </c>
      <c r="C478" s="46"/>
      <c r="D478" s="20">
        <v>9908855.1699999999</v>
      </c>
      <c r="E478" s="22">
        <v>86505</v>
      </c>
      <c r="F478" s="48">
        <v>4223</v>
      </c>
      <c r="G478" s="45"/>
      <c r="I478" s="390"/>
      <c r="J478" s="387"/>
      <c r="K478" s="391"/>
      <c r="L478" s="45">
        <f t="shared" si="7"/>
        <v>-9908855.1699999999</v>
      </c>
    </row>
    <row r="479" spans="1:12" x14ac:dyDescent="0.25">
      <c r="A479" s="43">
        <v>42324</v>
      </c>
      <c r="B479" s="44" t="s">
        <v>604</v>
      </c>
      <c r="C479" s="46"/>
      <c r="D479" s="20">
        <v>6220052.7199999997</v>
      </c>
      <c r="E479" s="22">
        <v>86505</v>
      </c>
      <c r="F479" s="48">
        <v>4223</v>
      </c>
      <c r="G479" s="45"/>
      <c r="I479" s="390"/>
      <c r="J479" s="387"/>
      <c r="K479" s="391"/>
      <c r="L479" s="45">
        <f t="shared" si="7"/>
        <v>-6220052.7199999997</v>
      </c>
    </row>
    <row r="480" spans="1:12" x14ac:dyDescent="0.25">
      <c r="A480" s="43">
        <v>42331</v>
      </c>
      <c r="B480" s="44" t="s">
        <v>609</v>
      </c>
      <c r="C480" s="46"/>
      <c r="D480" s="20">
        <v>51656282.390000001</v>
      </c>
      <c r="E480" s="22">
        <v>86505</v>
      </c>
      <c r="F480" s="48">
        <v>4223</v>
      </c>
      <c r="G480" s="45"/>
      <c r="I480" s="390"/>
      <c r="J480" s="387"/>
      <c r="K480" s="391"/>
      <c r="L480" s="45">
        <f t="shared" si="7"/>
        <v>-51656282.390000001</v>
      </c>
    </row>
    <row r="481" spans="1:12" x14ac:dyDescent="0.25">
      <c r="A481" s="43"/>
      <c r="B481" s="44" t="s">
        <v>437</v>
      </c>
      <c r="C481" s="179">
        <v>3985.4986899999999</v>
      </c>
      <c r="D481" s="174">
        <v>3985498.69</v>
      </c>
      <c r="E481" s="22">
        <v>86505</v>
      </c>
      <c r="F481" s="48">
        <v>4223</v>
      </c>
      <c r="G481" s="384" t="s">
        <v>351</v>
      </c>
      <c r="I481" s="390">
        <v>3985498.69</v>
      </c>
      <c r="J481" s="387"/>
      <c r="K481" s="391"/>
      <c r="L481" s="45">
        <f t="shared" si="7"/>
        <v>0</v>
      </c>
    </row>
    <row r="482" spans="1:12" x14ac:dyDescent="0.25">
      <c r="A482" s="43"/>
      <c r="B482" s="44" t="s">
        <v>262</v>
      </c>
      <c r="C482" s="179">
        <v>5611.9278000000004</v>
      </c>
      <c r="D482" s="174">
        <v>5611927.7999999998</v>
      </c>
      <c r="E482" s="22">
        <v>86505</v>
      </c>
      <c r="F482" s="48">
        <v>4223</v>
      </c>
      <c r="G482" s="384" t="s">
        <v>351</v>
      </c>
      <c r="I482" s="404">
        <v>5611927.7999999998</v>
      </c>
      <c r="J482" s="387"/>
      <c r="K482" s="391"/>
      <c r="L482" s="45">
        <f t="shared" si="7"/>
        <v>0</v>
      </c>
    </row>
    <row r="483" spans="1:12" x14ac:dyDescent="0.25">
      <c r="A483" s="43"/>
      <c r="B483" s="44"/>
      <c r="C483" s="46"/>
      <c r="D483" s="20"/>
      <c r="E483" s="22"/>
      <c r="F483" s="48"/>
      <c r="G483" s="45"/>
      <c r="I483" s="390"/>
      <c r="J483" s="387"/>
      <c r="K483" s="391"/>
      <c r="L483" s="45">
        <f t="shared" si="7"/>
        <v>0</v>
      </c>
    </row>
    <row r="484" spans="1:12" x14ac:dyDescent="0.25">
      <c r="A484" s="43"/>
      <c r="B484" s="293" t="s">
        <v>52</v>
      </c>
      <c r="C484" s="39">
        <f>+C485</f>
        <v>877</v>
      </c>
      <c r="D484" s="39">
        <f>+D485</f>
        <v>876199.86</v>
      </c>
      <c r="E484" s="22"/>
      <c r="F484" s="48"/>
      <c r="G484" s="45"/>
      <c r="I484" s="390"/>
      <c r="J484" s="387"/>
      <c r="K484" s="391"/>
      <c r="L484" s="45">
        <f t="shared" si="7"/>
        <v>800.14000000001397</v>
      </c>
    </row>
    <row r="485" spans="1:12" x14ac:dyDescent="0.25">
      <c r="A485" s="43">
        <v>42174</v>
      </c>
      <c r="B485" s="44" t="s">
        <v>244</v>
      </c>
      <c r="C485" s="46">
        <v>877</v>
      </c>
      <c r="D485" s="20">
        <v>876199.86</v>
      </c>
      <c r="E485" s="22"/>
      <c r="F485" s="48">
        <v>4232</v>
      </c>
      <c r="G485" s="45"/>
      <c r="I485" s="390"/>
      <c r="J485" s="387"/>
      <c r="K485" s="391"/>
    </row>
    <row r="486" spans="1:12" x14ac:dyDescent="0.25">
      <c r="A486" s="43"/>
      <c r="B486" s="276"/>
      <c r="C486" s="46"/>
      <c r="D486" s="424"/>
      <c r="E486" s="48"/>
      <c r="F486" s="48"/>
      <c r="I486" s="390"/>
      <c r="J486" s="387"/>
      <c r="K486" s="391"/>
    </row>
    <row r="487" spans="1:12" x14ac:dyDescent="0.25">
      <c r="A487" s="43"/>
      <c r="B487" s="294" t="s">
        <v>55</v>
      </c>
      <c r="C487" s="26">
        <f>+C484+C467+C456+C453+C445+C406+C403+C369</f>
        <v>201548.27583999999</v>
      </c>
      <c r="D487" s="26">
        <f>+D484+D467+D456+D453+D445+D406+D403+D369</f>
        <v>273396209.09000003</v>
      </c>
      <c r="E487" s="71"/>
      <c r="F487" s="28"/>
      <c r="I487" s="390"/>
      <c r="J487" s="387"/>
      <c r="K487" s="391"/>
    </row>
    <row r="488" spans="1:12" ht="16.5" thickBot="1" x14ac:dyDescent="0.3">
      <c r="A488" s="296"/>
      <c r="B488" s="297"/>
      <c r="C488" s="74"/>
      <c r="D488" s="74"/>
      <c r="E488" s="76"/>
      <c r="F488" s="76"/>
      <c r="I488" s="390"/>
      <c r="J488" s="387"/>
      <c r="K488" s="391"/>
    </row>
    <row r="489" spans="1:12" ht="16.5" thickBot="1" x14ac:dyDescent="0.3">
      <c r="I489" s="405"/>
      <c r="J489" s="406"/>
      <c r="K489" s="407"/>
    </row>
    <row r="490" spans="1:12" ht="16.5" thickBot="1" x14ac:dyDescent="0.3">
      <c r="A490" s="307"/>
      <c r="B490" s="91"/>
      <c r="C490" s="90"/>
      <c r="D490" s="90"/>
      <c r="E490" s="92"/>
      <c r="F490" s="92"/>
      <c r="I490" s="408">
        <f>SUM(I7:I488)</f>
        <v>29423804.350000001</v>
      </c>
      <c r="J490" s="409">
        <f>SUM(J7:J488)</f>
        <v>92855500.960000008</v>
      </c>
      <c r="K490" s="401">
        <f>SUM(K7:K488)</f>
        <v>5450402.0600000005</v>
      </c>
    </row>
    <row r="491" spans="1:12" x14ac:dyDescent="0.25">
      <c r="A491" s="309"/>
      <c r="B491" s="310"/>
      <c r="C491" s="94"/>
      <c r="D491" s="4"/>
      <c r="E491" s="95"/>
      <c r="F491" s="165"/>
      <c r="G491" s="306"/>
      <c r="H491" s="269"/>
    </row>
    <row r="492" spans="1:12" ht="16.5" thickBot="1" x14ac:dyDescent="0.3">
      <c r="A492" s="309"/>
      <c r="B492" s="10" t="s">
        <v>56</v>
      </c>
      <c r="C492" s="9" t="s">
        <v>3</v>
      </c>
      <c r="D492" s="9" t="s">
        <v>4</v>
      </c>
      <c r="E492" s="95"/>
      <c r="F492" s="165"/>
      <c r="G492" s="306"/>
      <c r="H492" s="269"/>
    </row>
    <row r="493" spans="1:12" x14ac:dyDescent="0.25">
      <c r="A493" s="309"/>
      <c r="B493" s="313"/>
      <c r="C493" s="96"/>
      <c r="D493" s="361"/>
      <c r="E493" s="95"/>
      <c r="F493" s="165"/>
      <c r="G493" s="306"/>
      <c r="H493" s="269"/>
    </row>
    <row r="494" spans="1:12" x14ac:dyDescent="0.25">
      <c r="A494" s="314"/>
      <c r="B494" s="122" t="s">
        <v>57</v>
      </c>
      <c r="C494" s="99">
        <f>+C363</f>
        <v>299671.23799999995</v>
      </c>
      <c r="D494" s="358">
        <f>+D363</f>
        <v>315681197.44999999</v>
      </c>
      <c r="E494" s="95"/>
      <c r="F494" s="165"/>
      <c r="G494" s="306"/>
      <c r="H494" s="269"/>
      <c r="I494" s="319"/>
    </row>
    <row r="495" spans="1:12" x14ac:dyDescent="0.25">
      <c r="A495" s="314"/>
      <c r="B495" s="122" t="s">
        <v>58</v>
      </c>
      <c r="C495" s="99">
        <f>+C487</f>
        <v>201548.27583999999</v>
      </c>
      <c r="D495" s="99">
        <f>+D487</f>
        <v>273396209.09000003</v>
      </c>
      <c r="E495" s="95"/>
      <c r="F495" s="165"/>
      <c r="G495" s="306"/>
      <c r="H495" s="269"/>
    </row>
    <row r="496" spans="1:12" x14ac:dyDescent="0.25">
      <c r="A496" s="314"/>
      <c r="B496" s="122"/>
      <c r="C496" s="99"/>
      <c r="D496" s="358"/>
      <c r="E496" s="95"/>
      <c r="F496" s="165"/>
      <c r="G496" s="306"/>
      <c r="H496" s="269"/>
    </row>
    <row r="497" spans="1:14" x14ac:dyDescent="0.25">
      <c r="A497" s="314"/>
      <c r="B497" s="317" t="s">
        <v>59</v>
      </c>
      <c r="C497" s="102">
        <f>+C494+C495</f>
        <v>501219.51383999991</v>
      </c>
      <c r="D497" s="26">
        <f>SUM(D494:D495)</f>
        <v>589077406.53999996</v>
      </c>
      <c r="E497" s="95"/>
      <c r="F497" s="165"/>
      <c r="G497" s="45"/>
      <c r="H497" s="269"/>
    </row>
    <row r="498" spans="1:14" ht="16.5" thickBot="1" x14ac:dyDescent="0.3">
      <c r="A498" s="314"/>
      <c r="B498" s="318"/>
      <c r="C498" s="103"/>
      <c r="D498" s="103"/>
      <c r="E498" s="100"/>
      <c r="F498" s="80"/>
      <c r="G498" s="45"/>
      <c r="H498" s="269"/>
      <c r="I498" s="319"/>
      <c r="K498" s="367"/>
    </row>
    <row r="499" spans="1:14" x14ac:dyDescent="0.25">
      <c r="B499" s="45">
        <f>5142.5+302.5</f>
        <v>5445</v>
      </c>
      <c r="C499" s="38"/>
      <c r="D499" s="362"/>
      <c r="E499" s="1"/>
      <c r="F499" s="2"/>
      <c r="H499" s="269"/>
      <c r="I499" s="320"/>
    </row>
    <row r="500" spans="1:14" ht="16.5" thickBot="1" x14ac:dyDescent="0.3">
      <c r="B500" s="321">
        <f>36912917.42-36907772.42</f>
        <v>5145</v>
      </c>
      <c r="C500" s="131"/>
      <c r="D500" s="131"/>
      <c r="E500" s="87"/>
      <c r="F500" s="87"/>
      <c r="H500" s="269"/>
    </row>
    <row r="501" spans="1:14" ht="16.5" thickBot="1" x14ac:dyDescent="0.3">
      <c r="B501" s="322" t="s">
        <v>79</v>
      </c>
      <c r="C501" s="140" t="s">
        <v>80</v>
      </c>
      <c r="D501" s="140" t="s">
        <v>80</v>
      </c>
      <c r="E501" s="140" t="s">
        <v>82</v>
      </c>
      <c r="F501" s="140" t="s">
        <v>81</v>
      </c>
      <c r="G501" s="323" t="s">
        <v>83</v>
      </c>
      <c r="H501" s="324" t="s">
        <v>84</v>
      </c>
    </row>
    <row r="502" spans="1:14" s="329" customFormat="1" x14ac:dyDescent="0.25">
      <c r="A502" s="325"/>
      <c r="B502" s="412">
        <v>4111</v>
      </c>
      <c r="C502" s="425"/>
      <c r="D502" s="411"/>
      <c r="E502" s="141">
        <f t="shared" ref="E502:E514" si="8">SUMIF($F$7:$F$550,B502,$C$7:$C$550)</f>
        <v>0</v>
      </c>
      <c r="F502" s="141">
        <f t="shared" ref="F502:F514" si="9">SUMIF($F$7:$F$500,B502,$D$7:$D$500)</f>
        <v>0</v>
      </c>
      <c r="G502" s="328">
        <f>C502-E502*1000</f>
        <v>0</v>
      </c>
      <c r="H502" s="328">
        <f>+D502-F502</f>
        <v>0</v>
      </c>
      <c r="I502" s="185"/>
      <c r="J502" s="419"/>
      <c r="K502" s="419"/>
      <c r="L502" s="45"/>
      <c r="M502" s="45"/>
    </row>
    <row r="503" spans="1:14" x14ac:dyDescent="0.25">
      <c r="B503" s="412">
        <v>4113</v>
      </c>
      <c r="C503" s="425">
        <v>6042192.2599999998</v>
      </c>
      <c r="D503" s="411">
        <v>4985757.67</v>
      </c>
      <c r="E503" s="142">
        <f t="shared" si="8"/>
        <v>6042.1922600000007</v>
      </c>
      <c r="F503" s="141">
        <f t="shared" si="9"/>
        <v>4985757.6700000009</v>
      </c>
      <c r="G503" s="328">
        <f t="shared" ref="G503:G514" si="10">C503-E503*1000</f>
        <v>0</v>
      </c>
      <c r="H503" s="328">
        <f t="shared" ref="H503:H514" si="11">+D503-F503</f>
        <v>0</v>
      </c>
      <c r="I503" s="185"/>
      <c r="J503" s="419"/>
      <c r="K503" s="419"/>
      <c r="N503" s="329"/>
    </row>
    <row r="504" spans="1:14" x14ac:dyDescent="0.25">
      <c r="B504" s="412">
        <v>4116</v>
      </c>
      <c r="C504" s="425">
        <v>178560221.52000001</v>
      </c>
      <c r="D504" s="411">
        <v>177299207.77000001</v>
      </c>
      <c r="E504" s="142">
        <f t="shared" si="8"/>
        <v>175674.88797000001</v>
      </c>
      <c r="F504" s="141">
        <f t="shared" si="9"/>
        <v>177299207.77000001</v>
      </c>
      <c r="G504" s="328">
        <f t="shared" si="10"/>
        <v>2885333.5500000119</v>
      </c>
      <c r="H504" s="328">
        <f t="shared" si="11"/>
        <v>0</v>
      </c>
      <c r="I504" s="185"/>
      <c r="J504" s="419"/>
      <c r="K504" s="419"/>
      <c r="N504" s="329"/>
    </row>
    <row r="505" spans="1:14" x14ac:dyDescent="0.25">
      <c r="B505" s="412">
        <v>4119</v>
      </c>
      <c r="C505" s="425">
        <v>0</v>
      </c>
      <c r="D505" s="411"/>
      <c r="E505" s="142">
        <f t="shared" si="8"/>
        <v>0</v>
      </c>
      <c r="F505" s="141">
        <f t="shared" si="9"/>
        <v>0</v>
      </c>
      <c r="G505" s="328">
        <f>C505-E505*1000</f>
        <v>0</v>
      </c>
      <c r="H505" s="328">
        <f t="shared" si="11"/>
        <v>0</v>
      </c>
      <c r="I505" s="185"/>
      <c r="J505" s="419"/>
      <c r="K505" s="419"/>
      <c r="N505" s="329"/>
    </row>
    <row r="506" spans="1:14" x14ac:dyDescent="0.25">
      <c r="B506" s="412">
        <v>4122</v>
      </c>
      <c r="C506" s="425">
        <v>113808505.56</v>
      </c>
      <c r="D506" s="411">
        <v>127626005.56</v>
      </c>
      <c r="E506" s="142">
        <f>SUMIF($F$7:$F$550,B506,$C$7:$C$550)</f>
        <v>113768.50556000001</v>
      </c>
      <c r="F506" s="141">
        <f t="shared" si="9"/>
        <v>127626005.56</v>
      </c>
      <c r="G506" s="328">
        <f t="shared" si="10"/>
        <v>40000</v>
      </c>
      <c r="H506" s="328">
        <f t="shared" si="11"/>
        <v>0</v>
      </c>
      <c r="I506" s="185"/>
      <c r="J506" s="419"/>
      <c r="K506" s="419"/>
      <c r="N506" s="329"/>
    </row>
    <row r="507" spans="1:14" x14ac:dyDescent="0.25">
      <c r="B507" s="412">
        <v>4123</v>
      </c>
      <c r="C507" s="425">
        <v>1808652.21</v>
      </c>
      <c r="D507" s="411">
        <v>3370208.35</v>
      </c>
      <c r="E507" s="142">
        <f t="shared" si="8"/>
        <v>1808.6522100000002</v>
      </c>
      <c r="F507" s="141">
        <f t="shared" si="9"/>
        <v>3370208.3499999996</v>
      </c>
      <c r="G507" s="328">
        <f t="shared" si="10"/>
        <v>0</v>
      </c>
      <c r="H507" s="328">
        <f t="shared" si="11"/>
        <v>0</v>
      </c>
      <c r="I507" s="185"/>
      <c r="J507" s="419"/>
      <c r="K507" s="419"/>
      <c r="N507" s="329"/>
    </row>
    <row r="508" spans="1:14" x14ac:dyDescent="0.25">
      <c r="B508" s="412">
        <v>4151</v>
      </c>
      <c r="C508" s="425">
        <v>0</v>
      </c>
      <c r="D508" s="411"/>
      <c r="E508" s="142">
        <f t="shared" si="8"/>
        <v>0</v>
      </c>
      <c r="F508" s="141">
        <f t="shared" si="9"/>
        <v>0</v>
      </c>
      <c r="G508" s="328">
        <f t="shared" si="10"/>
        <v>0</v>
      </c>
      <c r="H508" s="328">
        <f t="shared" si="11"/>
        <v>0</v>
      </c>
      <c r="I508" s="185"/>
      <c r="J508" s="419"/>
      <c r="K508" s="419"/>
      <c r="N508" s="329"/>
    </row>
    <row r="509" spans="1:14" x14ac:dyDescent="0.25">
      <c r="B509" s="412">
        <v>4152</v>
      </c>
      <c r="C509" s="425">
        <v>2377000</v>
      </c>
      <c r="D509" s="411">
        <v>2400018.1</v>
      </c>
      <c r="E509" s="142">
        <f t="shared" si="8"/>
        <v>2377</v>
      </c>
      <c r="F509" s="141">
        <f t="shared" si="9"/>
        <v>2400018.1000000006</v>
      </c>
      <c r="G509" s="328">
        <f t="shared" si="10"/>
        <v>0</v>
      </c>
      <c r="H509" s="328">
        <f t="shared" si="11"/>
        <v>0</v>
      </c>
      <c r="I509" s="185"/>
      <c r="J509" s="419"/>
      <c r="K509" s="419"/>
      <c r="N509" s="329"/>
    </row>
    <row r="510" spans="1:14" x14ac:dyDescent="0.25">
      <c r="B510" s="412">
        <v>4213</v>
      </c>
      <c r="C510" s="425">
        <v>2124945.79</v>
      </c>
      <c r="D510" s="411">
        <v>2350727.25</v>
      </c>
      <c r="E510" s="142">
        <f t="shared" si="8"/>
        <v>2124.97579</v>
      </c>
      <c r="F510" s="141">
        <f t="shared" si="9"/>
        <v>2350727.2500000005</v>
      </c>
      <c r="G510" s="328">
        <f t="shared" si="10"/>
        <v>-30</v>
      </c>
      <c r="H510" s="328">
        <f t="shared" si="11"/>
        <v>0</v>
      </c>
      <c r="I510" s="185"/>
      <c r="J510" s="419"/>
      <c r="K510" s="419"/>
      <c r="N510" s="329"/>
    </row>
    <row r="511" spans="1:14" x14ac:dyDescent="0.25">
      <c r="B511" s="412">
        <v>4216</v>
      </c>
      <c r="C511" s="425">
        <v>76379186.969999999</v>
      </c>
      <c r="D511" s="411">
        <v>80216978.620000005</v>
      </c>
      <c r="E511" s="142">
        <f t="shared" si="8"/>
        <v>76379.18697000001</v>
      </c>
      <c r="F511" s="141">
        <f t="shared" si="9"/>
        <v>80216978.61999999</v>
      </c>
      <c r="G511" s="328">
        <f t="shared" si="10"/>
        <v>0</v>
      </c>
      <c r="H511" s="328">
        <f t="shared" si="11"/>
        <v>0</v>
      </c>
      <c r="I511" s="185"/>
      <c r="J511" s="419"/>
      <c r="K511" s="419"/>
      <c r="N511" s="329"/>
    </row>
    <row r="512" spans="1:14" x14ac:dyDescent="0.25">
      <c r="B512" s="412">
        <v>4222</v>
      </c>
      <c r="C512" s="425">
        <v>3070000</v>
      </c>
      <c r="D512" s="411">
        <v>3070000</v>
      </c>
      <c r="E512" s="142">
        <f t="shared" si="8"/>
        <v>3070</v>
      </c>
      <c r="F512" s="141">
        <f t="shared" si="9"/>
        <v>3070000</v>
      </c>
      <c r="G512" s="328">
        <f t="shared" si="10"/>
        <v>0</v>
      </c>
      <c r="H512" s="328">
        <f t="shared" si="11"/>
        <v>0</v>
      </c>
      <c r="I512" s="185"/>
      <c r="J512" s="419"/>
      <c r="K512" s="419"/>
      <c r="N512" s="329"/>
    </row>
    <row r="513" spans="2:14" x14ac:dyDescent="0.25">
      <c r="B513" s="412">
        <v>4223</v>
      </c>
      <c r="C513" s="425">
        <v>119097113.08</v>
      </c>
      <c r="D513" s="411">
        <v>186882303.36000001</v>
      </c>
      <c r="E513" s="142">
        <f t="shared" si="8"/>
        <v>119097.11307999998</v>
      </c>
      <c r="F513" s="141">
        <f t="shared" si="9"/>
        <v>186882303.36000001</v>
      </c>
      <c r="G513" s="328">
        <f t="shared" si="10"/>
        <v>0</v>
      </c>
      <c r="H513" s="328">
        <f t="shared" si="11"/>
        <v>0</v>
      </c>
      <c r="I513" s="185"/>
      <c r="J513" s="419"/>
      <c r="K513" s="419"/>
      <c r="N513" s="329"/>
    </row>
    <row r="514" spans="2:14" x14ac:dyDescent="0.25">
      <c r="B514" s="412">
        <v>4232</v>
      </c>
      <c r="C514" s="425">
        <v>877000</v>
      </c>
      <c r="D514" s="411">
        <v>876199.86</v>
      </c>
      <c r="E514" s="142">
        <f t="shared" si="8"/>
        <v>877</v>
      </c>
      <c r="F514" s="141">
        <f t="shared" si="9"/>
        <v>876199.86</v>
      </c>
      <c r="G514" s="328">
        <f t="shared" si="10"/>
        <v>0</v>
      </c>
      <c r="H514" s="328">
        <f t="shared" si="11"/>
        <v>0</v>
      </c>
      <c r="I514" s="185"/>
      <c r="J514" s="419"/>
      <c r="K514" s="419"/>
      <c r="N514" s="329"/>
    </row>
    <row r="515" spans="2:14" x14ac:dyDescent="0.25">
      <c r="B515" s="332"/>
      <c r="C515" s="144">
        <f t="shared" ref="C515:H515" si="12">+SUM(C502:C514)</f>
        <v>504144817.39000005</v>
      </c>
      <c r="D515" s="144">
        <f t="shared" si="12"/>
        <v>589077406.54000008</v>
      </c>
      <c r="E515" s="144">
        <f t="shared" si="12"/>
        <v>501219.51383999997</v>
      </c>
      <c r="F515" s="144">
        <f t="shared" si="12"/>
        <v>589077406.54000008</v>
      </c>
      <c r="G515" s="328">
        <f t="shared" si="12"/>
        <v>2925303.5500000119</v>
      </c>
      <c r="H515" s="328">
        <f t="shared" si="12"/>
        <v>0</v>
      </c>
      <c r="I515" s="185"/>
      <c r="J515" s="419"/>
      <c r="K515" s="419"/>
      <c r="N515" s="329"/>
    </row>
    <row r="516" spans="2:14" ht="16.5" thickBot="1" x14ac:dyDescent="0.3">
      <c r="B516" s="333"/>
      <c r="C516" s="145">
        <f>+C497*1000-C515</f>
        <v>-2925303.5500001311</v>
      </c>
      <c r="D516" s="145">
        <f>+D497-D515</f>
        <v>0</v>
      </c>
      <c r="E516" s="426"/>
      <c r="F516" s="426">
        <f>+H497-F515</f>
        <v>-589077406.54000008</v>
      </c>
      <c r="G516" s="335"/>
      <c r="H516" s="336"/>
      <c r="I516" s="185"/>
      <c r="J516" s="419"/>
      <c r="K516" s="419"/>
      <c r="N516" s="329"/>
    </row>
    <row r="517" spans="2:14" x14ac:dyDescent="0.25">
      <c r="I517" s="185"/>
      <c r="J517" s="419"/>
      <c r="K517" s="419"/>
      <c r="N517" s="329"/>
    </row>
    <row r="518" spans="2:14" x14ac:dyDescent="0.25">
      <c r="B518" s="337"/>
      <c r="C518" s="365" t="s">
        <v>543</v>
      </c>
      <c r="D518" s="364"/>
      <c r="E518" s="364"/>
      <c r="F518" s="364"/>
      <c r="G518" s="338"/>
      <c r="H518" s="337"/>
      <c r="I518" s="185"/>
      <c r="J518" s="419"/>
      <c r="K518" s="419"/>
      <c r="N518" s="329"/>
    </row>
    <row r="519" spans="2:14" x14ac:dyDescent="0.25">
      <c r="B519" s="337"/>
      <c r="C519" s="198"/>
      <c r="D519" s="364" t="s">
        <v>542</v>
      </c>
      <c r="E519" s="364"/>
      <c r="F519" s="364"/>
      <c r="G519" s="337"/>
      <c r="H519" s="338"/>
      <c r="I519" s="185"/>
      <c r="J519" s="419"/>
      <c r="K519" s="419"/>
      <c r="N519" s="329"/>
    </row>
    <row r="520" spans="2:14" x14ac:dyDescent="0.25">
      <c r="B520" s="337"/>
      <c r="D520" s="364"/>
      <c r="E520" s="364"/>
      <c r="F520" s="364"/>
      <c r="G520" s="338"/>
      <c r="I520" s="185"/>
      <c r="J520" s="419"/>
      <c r="K520" s="419"/>
      <c r="N520" s="329"/>
    </row>
    <row r="521" spans="2:14" x14ac:dyDescent="0.25">
      <c r="B521" s="337"/>
      <c r="C521" s="365"/>
      <c r="D521" s="364"/>
      <c r="E521" s="364"/>
      <c r="F521" s="364"/>
      <c r="G521" s="338"/>
      <c r="I521" s="185"/>
      <c r="J521" s="419"/>
      <c r="K521" s="419"/>
      <c r="N521" s="329"/>
    </row>
    <row r="522" spans="2:14" x14ac:dyDescent="0.25">
      <c r="B522" s="337"/>
      <c r="C522" s="365"/>
      <c r="D522" s="364"/>
      <c r="E522" s="364"/>
      <c r="F522" s="364"/>
      <c r="G522" s="338"/>
      <c r="H522" s="337"/>
      <c r="I522" s="185"/>
      <c r="J522" s="419"/>
      <c r="K522" s="419"/>
      <c r="N522" s="329"/>
    </row>
    <row r="523" spans="2:14" x14ac:dyDescent="0.25">
      <c r="B523" s="337"/>
      <c r="C523" s="365"/>
      <c r="D523" s="364"/>
      <c r="E523" s="364"/>
      <c r="F523" s="364"/>
      <c r="G523" s="338"/>
      <c r="H523" s="337"/>
      <c r="I523" s="185"/>
      <c r="J523" s="419"/>
      <c r="K523" s="419"/>
      <c r="N523" s="329"/>
    </row>
    <row r="524" spans="2:14" x14ac:dyDescent="0.25">
      <c r="B524" s="337"/>
      <c r="C524" s="365"/>
      <c r="D524" s="364"/>
      <c r="E524" s="364"/>
      <c r="F524" s="364"/>
      <c r="G524" s="337"/>
      <c r="H524" s="337"/>
      <c r="I524" s="185"/>
      <c r="J524" s="419"/>
      <c r="K524" s="419"/>
      <c r="N524" s="329"/>
    </row>
    <row r="525" spans="2:14" x14ac:dyDescent="0.25">
      <c r="B525" s="337"/>
      <c r="C525" s="365"/>
      <c r="D525" s="364"/>
      <c r="E525" s="364"/>
      <c r="F525" s="364"/>
      <c r="G525" s="338"/>
      <c r="H525" s="337"/>
      <c r="I525" s="185"/>
      <c r="J525" s="419"/>
      <c r="K525" s="419"/>
      <c r="N525" s="329"/>
    </row>
    <row r="526" spans="2:14" x14ac:dyDescent="0.25">
      <c r="B526" s="337"/>
      <c r="C526" s="365"/>
      <c r="D526" s="364"/>
      <c r="E526" s="438"/>
      <c r="F526" s="364"/>
      <c r="G526" s="338"/>
      <c r="H526" s="337"/>
      <c r="I526" s="185"/>
      <c r="J526" s="419"/>
      <c r="K526" s="419"/>
      <c r="N526" s="329"/>
    </row>
    <row r="527" spans="2:14" x14ac:dyDescent="0.25">
      <c r="B527" s="337"/>
      <c r="C527" s="365"/>
      <c r="D527" s="364"/>
      <c r="E527" s="438"/>
      <c r="F527" s="364"/>
      <c r="G527" s="338"/>
      <c r="H527" s="337"/>
      <c r="I527" s="185"/>
      <c r="J527" s="419"/>
      <c r="K527" s="419"/>
      <c r="N527" s="329"/>
    </row>
    <row r="528" spans="2:14" x14ac:dyDescent="0.25">
      <c r="B528" s="337"/>
      <c r="C528" s="365"/>
      <c r="D528" s="365"/>
      <c r="E528" s="438"/>
      <c r="F528" s="364"/>
      <c r="G528" s="338"/>
      <c r="H528" s="337"/>
      <c r="I528" s="185"/>
      <c r="J528" s="419"/>
      <c r="K528" s="419"/>
      <c r="N528" s="329"/>
    </row>
    <row r="529" spans="2:14" x14ac:dyDescent="0.25">
      <c r="B529" s="337"/>
      <c r="C529" s="365"/>
      <c r="D529" s="365"/>
      <c r="E529" s="438"/>
      <c r="F529" s="364"/>
      <c r="G529" s="338"/>
      <c r="H529" s="337"/>
      <c r="I529" s="185"/>
      <c r="J529" s="419"/>
      <c r="K529" s="419"/>
      <c r="N529" s="329"/>
    </row>
    <row r="530" spans="2:14" x14ac:dyDescent="0.25">
      <c r="B530" s="337"/>
      <c r="C530" s="365"/>
      <c r="D530" s="365"/>
      <c r="E530" s="438"/>
      <c r="F530" s="364"/>
      <c r="G530" s="338"/>
      <c r="H530" s="337"/>
      <c r="I530" s="185"/>
      <c r="J530" s="419"/>
      <c r="K530" s="419"/>
      <c r="N530" s="329"/>
    </row>
    <row r="531" spans="2:14" x14ac:dyDescent="0.25">
      <c r="B531" s="337"/>
      <c r="C531" s="365"/>
      <c r="D531" s="365"/>
      <c r="E531" s="438"/>
      <c r="F531" s="364"/>
      <c r="G531" s="338"/>
      <c r="H531" s="337"/>
      <c r="I531" s="185"/>
      <c r="J531" s="419"/>
      <c r="K531" s="419"/>
      <c r="N531" s="329"/>
    </row>
    <row r="532" spans="2:14" x14ac:dyDescent="0.25">
      <c r="B532" s="337"/>
      <c r="C532" s="365"/>
      <c r="D532" s="365"/>
      <c r="E532" s="438"/>
      <c r="F532" s="364"/>
      <c r="G532" s="338"/>
      <c r="H532" s="337"/>
      <c r="I532" s="185"/>
      <c r="J532" s="419"/>
      <c r="K532" s="419"/>
      <c r="N532" s="329"/>
    </row>
    <row r="533" spans="2:14" x14ac:dyDescent="0.25">
      <c r="B533" s="337"/>
      <c r="C533" s="365"/>
      <c r="D533" s="365"/>
      <c r="E533" s="438"/>
      <c r="F533" s="365"/>
      <c r="G533" s="338"/>
      <c r="H533" s="337"/>
      <c r="I533" s="185"/>
      <c r="J533" s="419"/>
      <c r="K533" s="419"/>
      <c r="N533" s="329"/>
    </row>
    <row r="534" spans="2:14" x14ac:dyDescent="0.25">
      <c r="B534" s="337"/>
      <c r="C534" s="365"/>
      <c r="D534" s="365"/>
      <c r="E534" s="438"/>
      <c r="F534" s="364"/>
      <c r="G534" s="338"/>
      <c r="H534" s="337"/>
      <c r="I534" s="185"/>
      <c r="J534" s="419"/>
      <c r="K534" s="419"/>
      <c r="N534" s="329"/>
    </row>
    <row r="535" spans="2:14" x14ac:dyDescent="0.25">
      <c r="B535" s="337"/>
      <c r="C535" s="365"/>
      <c r="D535" s="365"/>
      <c r="E535" s="438"/>
      <c r="F535" s="364"/>
      <c r="G535" s="338"/>
      <c r="H535" s="337"/>
      <c r="I535" s="2"/>
      <c r="J535" s="419"/>
      <c r="K535" s="419"/>
    </row>
    <row r="536" spans="2:14" x14ac:dyDescent="0.25">
      <c r="B536" s="337"/>
      <c r="C536" s="365"/>
      <c r="D536" s="365"/>
      <c r="E536" s="438"/>
      <c r="F536" s="364"/>
      <c r="G536" s="338"/>
      <c r="H536" s="337"/>
      <c r="I536" s="329"/>
      <c r="J536" s="419"/>
      <c r="K536" s="419"/>
    </row>
    <row r="537" spans="2:14" x14ac:dyDescent="0.25">
      <c r="B537" s="337"/>
      <c r="C537" s="365"/>
      <c r="D537" s="365"/>
      <c r="E537" s="438"/>
      <c r="F537" s="365"/>
      <c r="G537" s="337"/>
      <c r="H537" s="337"/>
      <c r="J537" s="419"/>
      <c r="K537" s="419"/>
    </row>
    <row r="538" spans="2:14" x14ac:dyDescent="0.25">
      <c r="B538" s="337"/>
      <c r="C538" s="365"/>
      <c r="D538" s="365"/>
      <c r="E538" s="438"/>
      <c r="F538" s="364"/>
      <c r="G538" s="337"/>
      <c r="H538" s="337"/>
      <c r="J538" s="419"/>
      <c r="K538" s="419"/>
    </row>
    <row r="539" spans="2:14" x14ac:dyDescent="0.25">
      <c r="B539" s="337"/>
      <c r="C539" s="365"/>
      <c r="D539" s="365"/>
      <c r="E539" s="438"/>
      <c r="F539" s="364"/>
      <c r="G539" s="338"/>
      <c r="H539" s="337"/>
      <c r="J539" s="419"/>
      <c r="K539" s="419"/>
    </row>
    <row r="540" spans="2:14" x14ac:dyDescent="0.25">
      <c r="B540" s="337"/>
      <c r="C540" s="365"/>
      <c r="D540" s="365"/>
      <c r="E540" s="438"/>
      <c r="F540" s="364"/>
      <c r="G540" s="338"/>
      <c r="H540" s="337"/>
      <c r="J540" s="419"/>
      <c r="K540" s="419"/>
    </row>
    <row r="541" spans="2:14" x14ac:dyDescent="0.25">
      <c r="B541" s="337"/>
      <c r="C541" s="365"/>
      <c r="D541" s="365"/>
      <c r="E541" s="438"/>
      <c r="F541" s="365"/>
      <c r="G541" s="338"/>
      <c r="H541" s="337"/>
      <c r="J541" s="419"/>
      <c r="K541" s="419"/>
    </row>
    <row r="542" spans="2:14" x14ac:dyDescent="0.25">
      <c r="B542" s="337"/>
      <c r="C542" s="365"/>
      <c r="D542" s="365"/>
      <c r="E542" s="438"/>
      <c r="F542" s="365"/>
      <c r="G542" s="338"/>
      <c r="H542" s="337"/>
      <c r="J542" s="419"/>
      <c r="K542" s="419"/>
    </row>
    <row r="543" spans="2:14" x14ac:dyDescent="0.25">
      <c r="B543" s="337"/>
      <c r="C543" s="365"/>
      <c r="D543" s="365"/>
      <c r="E543" s="364"/>
      <c r="F543" s="364"/>
      <c r="G543" s="338"/>
      <c r="H543" s="337"/>
      <c r="J543" s="419"/>
      <c r="K543" s="419"/>
    </row>
    <row r="544" spans="2:14" x14ac:dyDescent="0.25">
      <c r="B544" s="337"/>
      <c r="C544" s="365"/>
      <c r="D544" s="365"/>
      <c r="E544" s="365"/>
      <c r="F544" s="365"/>
      <c r="G544" s="338"/>
      <c r="H544" s="337"/>
      <c r="J544" s="419"/>
      <c r="K544" s="419"/>
    </row>
    <row r="545" spans="2:11" x14ac:dyDescent="0.25">
      <c r="B545" s="337"/>
      <c r="C545" s="365"/>
      <c r="D545" s="365"/>
      <c r="E545" s="365"/>
      <c r="F545" s="365"/>
      <c r="G545" s="337"/>
      <c r="H545" s="337"/>
      <c r="J545" s="419"/>
      <c r="K545" s="419"/>
    </row>
    <row r="546" spans="2:11" x14ac:dyDescent="0.25">
      <c r="B546" s="337"/>
      <c r="C546" s="365"/>
      <c r="D546" s="365"/>
      <c r="E546" s="365"/>
      <c r="F546" s="365"/>
      <c r="G546" s="337"/>
      <c r="H546" s="337"/>
      <c r="J546" s="419"/>
      <c r="K546" s="419"/>
    </row>
    <row r="547" spans="2:11" x14ac:dyDescent="0.25">
      <c r="B547" s="337"/>
      <c r="C547" s="365"/>
      <c r="D547" s="365"/>
      <c r="E547" s="365"/>
      <c r="F547" s="365"/>
      <c r="G547" s="338"/>
      <c r="H547" s="337"/>
      <c r="J547" s="419"/>
      <c r="K547" s="419"/>
    </row>
    <row r="548" spans="2:11" x14ac:dyDescent="0.25">
      <c r="B548" s="337"/>
      <c r="C548" s="365"/>
      <c r="D548" s="365"/>
      <c r="E548" s="365"/>
      <c r="F548" s="365"/>
      <c r="G548" s="337"/>
      <c r="H548" s="337"/>
      <c r="J548" s="419"/>
      <c r="K548" s="419"/>
    </row>
    <row r="549" spans="2:11" x14ac:dyDescent="0.25">
      <c r="B549" s="337"/>
      <c r="C549" s="365"/>
      <c r="D549" s="365"/>
      <c r="E549" s="365"/>
      <c r="F549" s="365"/>
      <c r="G549" s="337"/>
      <c r="H549" s="337"/>
      <c r="J549" s="419"/>
      <c r="K549" s="419"/>
    </row>
    <row r="550" spans="2:11" x14ac:dyDescent="0.25">
      <c r="J550" s="419"/>
      <c r="K550" s="419"/>
    </row>
    <row r="551" spans="2:11" x14ac:dyDescent="0.25">
      <c r="J551" s="419"/>
      <c r="K551" s="419"/>
    </row>
    <row r="552" spans="2:11" x14ac:dyDescent="0.25">
      <c r="J552" s="419"/>
      <c r="K552" s="419"/>
    </row>
    <row r="553" spans="2:11" x14ac:dyDescent="0.25">
      <c r="J553" s="419"/>
      <c r="K553" s="419"/>
    </row>
    <row r="554" spans="2:11" x14ac:dyDescent="0.25">
      <c r="J554" s="419"/>
      <c r="K554" s="419"/>
    </row>
    <row r="555" spans="2:11" x14ac:dyDescent="0.25">
      <c r="J555" s="419"/>
      <c r="K555" s="419"/>
    </row>
    <row r="556" spans="2:11" x14ac:dyDescent="0.25">
      <c r="J556" s="419"/>
      <c r="K556" s="419"/>
    </row>
    <row r="557" spans="2:11" x14ac:dyDescent="0.25">
      <c r="J557" s="419"/>
      <c r="K557" s="419"/>
    </row>
    <row r="558" spans="2:11" x14ac:dyDescent="0.25">
      <c r="J558" s="419"/>
      <c r="K558" s="419"/>
    </row>
    <row r="559" spans="2:11" x14ac:dyDescent="0.25">
      <c r="J559" s="419"/>
      <c r="K559" s="419"/>
    </row>
    <row r="560" spans="2:11" x14ac:dyDescent="0.25">
      <c r="J560" s="419"/>
      <c r="K560" s="419"/>
    </row>
    <row r="561" spans="10:11" x14ac:dyDescent="0.25">
      <c r="J561" s="419"/>
      <c r="K561" s="419"/>
    </row>
    <row r="562" spans="10:11" x14ac:dyDescent="0.25">
      <c r="J562" s="419"/>
      <c r="K562" s="419"/>
    </row>
    <row r="563" spans="10:11" x14ac:dyDescent="0.25">
      <c r="J563" s="419"/>
      <c r="K563" s="419"/>
    </row>
    <row r="564" spans="10:11" x14ac:dyDescent="0.25">
      <c r="J564" s="419"/>
      <c r="K564" s="419"/>
    </row>
    <row r="565" spans="10:11" x14ac:dyDescent="0.25">
      <c r="J565" s="419"/>
      <c r="K565" s="419"/>
    </row>
    <row r="566" spans="10:11" x14ac:dyDescent="0.25">
      <c r="J566" s="419"/>
      <c r="K566" s="419"/>
    </row>
    <row r="567" spans="10:11" x14ac:dyDescent="0.25">
      <c r="J567" s="419"/>
      <c r="K567" s="419"/>
    </row>
    <row r="568" spans="10:11" x14ac:dyDescent="0.25">
      <c r="J568" s="419"/>
      <c r="K568" s="419"/>
    </row>
    <row r="569" spans="10:11" x14ac:dyDescent="0.25">
      <c r="J569" s="419"/>
      <c r="K569" s="419"/>
    </row>
    <row r="570" spans="10:11" x14ac:dyDescent="0.25">
      <c r="J570" s="419"/>
      <c r="K570" s="419"/>
    </row>
    <row r="571" spans="10:11" x14ac:dyDescent="0.25">
      <c r="J571" s="419"/>
      <c r="K571" s="419"/>
    </row>
    <row r="572" spans="10:11" x14ac:dyDescent="0.25">
      <c r="J572" s="419"/>
      <c r="K572" s="419"/>
    </row>
    <row r="573" spans="10:11" x14ac:dyDescent="0.25">
      <c r="J573" s="419"/>
      <c r="K573" s="419"/>
    </row>
    <row r="574" spans="10:11" x14ac:dyDescent="0.25">
      <c r="J574" s="419"/>
      <c r="K574" s="419"/>
    </row>
    <row r="575" spans="10:11" x14ac:dyDescent="0.25">
      <c r="J575" s="419"/>
      <c r="K575" s="419"/>
    </row>
    <row r="576" spans="10:11" x14ac:dyDescent="0.25">
      <c r="J576" s="419"/>
      <c r="K576" s="419"/>
    </row>
    <row r="577" spans="1:11" x14ac:dyDescent="0.25">
      <c r="J577" s="419"/>
      <c r="K577" s="419"/>
    </row>
    <row r="578" spans="1:11" x14ac:dyDescent="0.25">
      <c r="J578" s="419"/>
      <c r="K578" s="419"/>
    </row>
    <row r="579" spans="1:11" x14ac:dyDescent="0.25">
      <c r="J579" s="419"/>
      <c r="K579" s="419"/>
    </row>
    <row r="580" spans="1:11" x14ac:dyDescent="0.25">
      <c r="J580" s="419"/>
      <c r="K580" s="419"/>
    </row>
    <row r="581" spans="1:11" x14ac:dyDescent="0.25">
      <c r="J581" s="419"/>
      <c r="K581" s="419"/>
    </row>
    <row r="582" spans="1:11" x14ac:dyDescent="0.25">
      <c r="J582" s="419"/>
      <c r="K582" s="419"/>
    </row>
    <row r="583" spans="1:11" x14ac:dyDescent="0.25">
      <c r="J583" s="419"/>
      <c r="K583" s="419"/>
    </row>
    <row r="584" spans="1:11" x14ac:dyDescent="0.25">
      <c r="J584" s="419"/>
      <c r="K584" s="419"/>
    </row>
    <row r="585" spans="1:11" x14ac:dyDescent="0.25">
      <c r="J585" s="419"/>
      <c r="K585" s="419"/>
    </row>
    <row r="586" spans="1:11" x14ac:dyDescent="0.25">
      <c r="A586" s="339"/>
      <c r="B586" s="340"/>
      <c r="C586" s="190"/>
      <c r="D586" s="191"/>
      <c r="E586" s="192"/>
      <c r="F586" s="193"/>
      <c r="G586" s="341"/>
      <c r="H586" s="194"/>
      <c r="J586" s="419"/>
      <c r="K586" s="419"/>
    </row>
    <row r="587" spans="1:11" x14ac:dyDescent="0.25">
      <c r="A587" s="339"/>
      <c r="B587" s="340"/>
      <c r="C587" s="190"/>
      <c r="D587" s="191"/>
      <c r="E587" s="192"/>
      <c r="F587" s="193"/>
      <c r="G587" s="341"/>
      <c r="H587" s="194"/>
      <c r="J587" s="419"/>
      <c r="K587" s="419"/>
    </row>
    <row r="588" spans="1:11" x14ac:dyDescent="0.25">
      <c r="A588" s="339"/>
      <c r="B588" s="340"/>
      <c r="C588" s="190"/>
      <c r="D588" s="191"/>
      <c r="E588" s="192"/>
      <c r="F588" s="193"/>
      <c r="G588" s="341"/>
      <c r="H588" s="194"/>
      <c r="J588" s="419"/>
      <c r="K588" s="419"/>
    </row>
    <row r="589" spans="1:11" x14ac:dyDescent="0.25">
      <c r="A589" s="339"/>
      <c r="B589" s="340"/>
      <c r="C589" s="190"/>
      <c r="D589" s="191"/>
      <c r="E589" s="192"/>
      <c r="F589" s="193"/>
      <c r="G589" s="341"/>
      <c r="H589" s="194"/>
      <c r="J589" s="419"/>
      <c r="K589" s="419"/>
    </row>
    <row r="590" spans="1:11" x14ac:dyDescent="0.25">
      <c r="A590" s="339"/>
      <c r="B590" s="340"/>
      <c r="C590" s="190"/>
      <c r="D590" s="191"/>
      <c r="E590" s="192"/>
      <c r="F590" s="193"/>
      <c r="G590" s="341"/>
      <c r="H590" s="194"/>
      <c r="J590" s="419"/>
      <c r="K590" s="419"/>
    </row>
    <row r="591" spans="1:11" x14ac:dyDescent="0.25">
      <c r="A591" s="339"/>
      <c r="B591" s="340"/>
      <c r="C591" s="190"/>
      <c r="D591" s="191"/>
      <c r="E591" s="192"/>
      <c r="F591" s="193"/>
      <c r="G591" s="341"/>
      <c r="H591" s="194"/>
      <c r="J591" s="419"/>
      <c r="K591" s="419"/>
    </row>
    <row r="592" spans="1:11" x14ac:dyDescent="0.25">
      <c r="A592" s="339"/>
      <c r="B592" s="340"/>
      <c r="C592" s="190"/>
      <c r="D592" s="191"/>
      <c r="E592" s="192"/>
      <c r="F592" s="193"/>
      <c r="G592" s="341"/>
      <c r="H592" s="194"/>
      <c r="J592" s="419"/>
      <c r="K592" s="419"/>
    </row>
    <row r="593" spans="1:11" x14ac:dyDescent="0.25">
      <c r="A593" s="339"/>
      <c r="B593" s="340"/>
      <c r="C593" s="190"/>
      <c r="D593" s="191"/>
      <c r="E593" s="192"/>
      <c r="F593" s="193"/>
      <c r="G593" s="341"/>
      <c r="H593" s="194"/>
      <c r="J593" s="419"/>
      <c r="K593" s="419"/>
    </row>
    <row r="594" spans="1:11" x14ac:dyDescent="0.25">
      <c r="A594" s="339"/>
      <c r="B594" s="340"/>
      <c r="C594" s="190"/>
      <c r="D594" s="191"/>
      <c r="E594" s="192"/>
      <c r="F594" s="193"/>
      <c r="G594" s="341"/>
      <c r="H594" s="194"/>
      <c r="J594" s="419"/>
      <c r="K594" s="419"/>
    </row>
    <row r="595" spans="1:11" x14ac:dyDescent="0.25">
      <c r="A595" s="339"/>
      <c r="B595" s="340"/>
      <c r="C595" s="190"/>
      <c r="D595" s="191"/>
      <c r="E595" s="192"/>
      <c r="F595" s="193"/>
      <c r="G595" s="341"/>
      <c r="H595" s="194"/>
      <c r="J595" s="419"/>
      <c r="K595" s="419"/>
    </row>
    <row r="596" spans="1:11" x14ac:dyDescent="0.25">
      <c r="A596" s="339"/>
      <c r="B596" s="340"/>
      <c r="C596" s="190"/>
      <c r="D596" s="191"/>
      <c r="E596" s="192"/>
      <c r="F596" s="193"/>
      <c r="G596" s="341"/>
      <c r="H596" s="194"/>
      <c r="J596" s="419"/>
      <c r="K596" s="419"/>
    </row>
    <row r="597" spans="1:11" x14ac:dyDescent="0.25">
      <c r="A597" s="339"/>
      <c r="B597" s="340"/>
      <c r="C597" s="190"/>
      <c r="D597" s="191"/>
      <c r="E597" s="192"/>
      <c r="F597" s="193"/>
      <c r="G597" s="341"/>
      <c r="H597" s="194"/>
      <c r="J597" s="419"/>
      <c r="K597" s="419"/>
    </row>
    <row r="598" spans="1:11" x14ac:dyDescent="0.25">
      <c r="A598" s="339"/>
      <c r="B598" s="340"/>
      <c r="C598" s="190"/>
      <c r="D598" s="191"/>
      <c r="E598" s="192"/>
      <c r="F598" s="193"/>
      <c r="G598" s="341"/>
      <c r="H598" s="194"/>
      <c r="J598" s="419"/>
      <c r="K598" s="419"/>
    </row>
    <row r="599" spans="1:11" x14ac:dyDescent="0.25">
      <c r="A599" s="339"/>
      <c r="B599" s="340"/>
      <c r="C599" s="190"/>
      <c r="D599" s="191"/>
      <c r="E599" s="192"/>
      <c r="F599" s="193"/>
      <c r="G599" s="341"/>
      <c r="H599" s="194"/>
      <c r="J599" s="419"/>
      <c r="K599" s="419"/>
    </row>
    <row r="600" spans="1:11" x14ac:dyDescent="0.25">
      <c r="A600" s="339"/>
      <c r="B600" s="340"/>
      <c r="C600" s="190"/>
      <c r="D600" s="191"/>
      <c r="E600" s="192"/>
      <c r="F600" s="193"/>
      <c r="G600" s="341"/>
      <c r="H600" s="194"/>
      <c r="J600" s="419"/>
      <c r="K600" s="419"/>
    </row>
    <row r="601" spans="1:11" x14ac:dyDescent="0.25">
      <c r="A601" s="339"/>
      <c r="B601" s="340"/>
      <c r="C601" s="190"/>
      <c r="D601" s="191"/>
      <c r="E601" s="192"/>
      <c r="F601" s="193"/>
      <c r="G601" s="341"/>
      <c r="H601" s="194"/>
      <c r="J601" s="419"/>
      <c r="K601" s="419"/>
    </row>
    <row r="602" spans="1:11" x14ac:dyDescent="0.25">
      <c r="A602" s="339"/>
      <c r="B602" s="340"/>
      <c r="C602" s="190"/>
      <c r="D602" s="191"/>
      <c r="E602" s="192"/>
      <c r="F602" s="193"/>
      <c r="G602" s="341"/>
      <c r="H602" s="194"/>
      <c r="J602" s="419"/>
      <c r="K602" s="419"/>
    </row>
    <row r="603" spans="1:11" x14ac:dyDescent="0.25">
      <c r="A603" s="339"/>
      <c r="B603" s="340"/>
      <c r="C603" s="190"/>
      <c r="D603" s="191"/>
      <c r="E603" s="192"/>
      <c r="F603" s="193"/>
      <c r="G603" s="341"/>
      <c r="H603" s="194"/>
      <c r="J603" s="419"/>
      <c r="K603" s="419"/>
    </row>
    <row r="604" spans="1:11" x14ac:dyDescent="0.25">
      <c r="A604" s="339"/>
      <c r="B604" s="340"/>
      <c r="C604" s="190"/>
      <c r="D604" s="191"/>
      <c r="E604" s="192"/>
      <c r="F604" s="193"/>
      <c r="G604" s="341"/>
      <c r="H604" s="194"/>
      <c r="J604" s="419"/>
      <c r="K604" s="419"/>
    </row>
    <row r="605" spans="1:11" x14ac:dyDescent="0.25">
      <c r="A605" s="339"/>
      <c r="B605" s="340"/>
      <c r="C605" s="190"/>
      <c r="D605" s="191"/>
      <c r="E605" s="192"/>
      <c r="F605" s="193"/>
      <c r="G605" s="341"/>
      <c r="H605" s="194"/>
      <c r="J605" s="419"/>
      <c r="K605" s="419"/>
    </row>
    <row r="606" spans="1:11" x14ac:dyDescent="0.25">
      <c r="A606" s="339"/>
      <c r="B606" s="340"/>
      <c r="C606" s="190"/>
      <c r="D606" s="191"/>
      <c r="E606" s="192"/>
      <c r="F606" s="193"/>
      <c r="G606" s="341"/>
      <c r="H606" s="194"/>
      <c r="J606" s="419"/>
      <c r="K606" s="419"/>
    </row>
    <row r="607" spans="1:11" x14ac:dyDescent="0.25">
      <c r="A607" s="339"/>
      <c r="B607" s="340"/>
      <c r="C607" s="190"/>
      <c r="D607" s="191"/>
      <c r="E607" s="192"/>
      <c r="F607" s="193"/>
      <c r="G607" s="341"/>
      <c r="H607" s="194"/>
      <c r="J607" s="419"/>
      <c r="K607" s="419"/>
    </row>
    <row r="608" spans="1:11" x14ac:dyDescent="0.25">
      <c r="A608" s="339"/>
      <c r="B608" s="340"/>
      <c r="C608" s="190"/>
      <c r="D608" s="191"/>
      <c r="E608" s="192"/>
      <c r="F608" s="193"/>
      <c r="G608" s="341"/>
      <c r="H608" s="194"/>
      <c r="J608" s="419"/>
      <c r="K608" s="419"/>
    </row>
    <row r="609" spans="1:11" x14ac:dyDescent="0.25">
      <c r="A609" s="339"/>
      <c r="B609" s="340"/>
      <c r="C609" s="190"/>
      <c r="D609" s="191"/>
      <c r="E609" s="192"/>
      <c r="F609" s="193"/>
      <c r="G609" s="341"/>
      <c r="H609" s="194"/>
      <c r="J609" s="419"/>
      <c r="K609" s="419"/>
    </row>
    <row r="610" spans="1:11" x14ac:dyDescent="0.25">
      <c r="A610" s="339"/>
      <c r="B610" s="340"/>
      <c r="C610" s="190"/>
      <c r="D610" s="191"/>
      <c r="E610" s="192"/>
      <c r="F610" s="193"/>
      <c r="G610" s="341"/>
      <c r="H610" s="194"/>
      <c r="J610" s="419"/>
      <c r="K610" s="419"/>
    </row>
    <row r="611" spans="1:11" x14ac:dyDescent="0.25">
      <c r="A611" s="339"/>
      <c r="B611" s="340"/>
      <c r="C611" s="190"/>
      <c r="D611" s="191"/>
      <c r="E611" s="192"/>
      <c r="F611" s="193"/>
      <c r="G611" s="341"/>
      <c r="H611" s="194"/>
      <c r="J611" s="419"/>
      <c r="K611" s="419"/>
    </row>
    <row r="612" spans="1:11" x14ac:dyDescent="0.25">
      <c r="A612" s="339"/>
      <c r="B612" s="340"/>
      <c r="C612" s="190"/>
      <c r="D612" s="191"/>
      <c r="E612" s="192"/>
      <c r="F612" s="193"/>
      <c r="G612" s="341"/>
      <c r="H612" s="194"/>
      <c r="J612" s="419"/>
      <c r="K612" s="419"/>
    </row>
    <row r="613" spans="1:11" x14ac:dyDescent="0.25">
      <c r="A613" s="339"/>
      <c r="B613" s="340"/>
      <c r="C613" s="190"/>
      <c r="D613" s="191"/>
      <c r="E613" s="192"/>
      <c r="F613" s="193"/>
      <c r="G613" s="341"/>
      <c r="H613" s="194"/>
      <c r="J613" s="419"/>
      <c r="K613" s="419"/>
    </row>
    <row r="614" spans="1:11" x14ac:dyDescent="0.25">
      <c r="A614" s="339"/>
      <c r="B614" s="340"/>
      <c r="C614" s="190"/>
      <c r="D614" s="191"/>
      <c r="E614" s="192"/>
      <c r="F614" s="193"/>
      <c r="G614" s="341"/>
      <c r="H614" s="194"/>
      <c r="J614" s="419"/>
      <c r="K614" s="419"/>
    </row>
    <row r="615" spans="1:11" x14ac:dyDescent="0.25">
      <c r="A615" s="339"/>
      <c r="B615" s="340"/>
      <c r="C615" s="190"/>
      <c r="D615" s="191"/>
      <c r="E615" s="192"/>
      <c r="F615" s="193"/>
      <c r="G615" s="341"/>
      <c r="H615" s="194"/>
      <c r="J615" s="419"/>
      <c r="K615" s="419"/>
    </row>
    <row r="616" spans="1:11" x14ac:dyDescent="0.25">
      <c r="A616" s="339"/>
      <c r="B616" s="340"/>
      <c r="C616" s="190"/>
      <c r="D616" s="191"/>
      <c r="E616" s="192"/>
      <c r="F616" s="193"/>
      <c r="G616" s="341"/>
      <c r="H616" s="194"/>
      <c r="J616" s="419"/>
      <c r="K616" s="419"/>
    </row>
    <row r="617" spans="1:11" x14ac:dyDescent="0.25">
      <c r="A617" s="339"/>
      <c r="B617" s="340"/>
      <c r="C617" s="190"/>
      <c r="D617" s="191"/>
      <c r="E617" s="192"/>
      <c r="F617" s="193"/>
      <c r="G617" s="341"/>
      <c r="H617" s="194"/>
      <c r="J617" s="419"/>
      <c r="K617" s="419"/>
    </row>
    <row r="618" spans="1:11" x14ac:dyDescent="0.25">
      <c r="A618" s="339"/>
      <c r="B618" s="340"/>
      <c r="C618" s="190"/>
      <c r="D618" s="191"/>
      <c r="E618" s="192"/>
      <c r="F618" s="193"/>
      <c r="G618" s="341"/>
      <c r="H618" s="194"/>
      <c r="J618" s="419"/>
      <c r="K618" s="419"/>
    </row>
    <row r="619" spans="1:11" x14ac:dyDescent="0.25">
      <c r="A619" s="339"/>
      <c r="B619" s="340"/>
      <c r="C619" s="190"/>
      <c r="D619" s="191"/>
      <c r="E619" s="192"/>
      <c r="F619" s="193"/>
      <c r="G619" s="341"/>
      <c r="H619" s="194"/>
      <c r="J619" s="419"/>
      <c r="K619" s="419"/>
    </row>
    <row r="620" spans="1:11" x14ac:dyDescent="0.25">
      <c r="A620" s="339"/>
      <c r="B620" s="340"/>
      <c r="C620" s="190"/>
      <c r="D620" s="191"/>
      <c r="E620" s="192"/>
      <c r="F620" s="193"/>
      <c r="G620" s="341"/>
      <c r="H620" s="194"/>
      <c r="J620" s="419"/>
      <c r="K620" s="419"/>
    </row>
    <row r="621" spans="1:11" x14ac:dyDescent="0.25">
      <c r="A621" s="339"/>
      <c r="B621" s="340"/>
      <c r="C621" s="190"/>
      <c r="D621" s="191"/>
      <c r="E621" s="192"/>
      <c r="F621" s="193"/>
      <c r="G621" s="341"/>
      <c r="H621" s="194"/>
    </row>
    <row r="622" spans="1:11" x14ac:dyDescent="0.25">
      <c r="A622" s="339"/>
      <c r="B622" s="340"/>
      <c r="C622" s="190"/>
      <c r="D622" s="191"/>
      <c r="E622" s="192"/>
      <c r="F622" s="193"/>
      <c r="G622" s="341"/>
      <c r="H622" s="194"/>
    </row>
    <row r="623" spans="1:11" x14ac:dyDescent="0.25">
      <c r="A623" s="339"/>
      <c r="B623" s="340"/>
      <c r="C623" s="190"/>
      <c r="D623" s="191"/>
      <c r="E623" s="192"/>
      <c r="F623" s="193"/>
      <c r="G623" s="341"/>
      <c r="H623" s="194"/>
    </row>
    <row r="624" spans="1:11" x14ac:dyDescent="0.25">
      <c r="A624" s="339"/>
      <c r="B624" s="340"/>
      <c r="C624" s="190"/>
      <c r="D624" s="191"/>
      <c r="E624" s="192"/>
      <c r="F624" s="193"/>
      <c r="G624" s="341"/>
      <c r="H624" s="194"/>
    </row>
    <row r="625" spans="1:8" x14ac:dyDescent="0.25">
      <c r="A625" s="339"/>
      <c r="B625" s="340"/>
      <c r="C625" s="190"/>
      <c r="D625" s="191"/>
      <c r="E625" s="192"/>
      <c r="F625" s="193"/>
      <c r="G625" s="341"/>
      <c r="H625" s="194"/>
    </row>
    <row r="626" spans="1:8" x14ac:dyDescent="0.25">
      <c r="A626" s="339"/>
      <c r="B626" s="340"/>
      <c r="C626" s="190"/>
      <c r="D626" s="191"/>
      <c r="E626" s="192"/>
      <c r="F626" s="193"/>
      <c r="G626" s="341"/>
      <c r="H626" s="194"/>
    </row>
    <row r="627" spans="1:8" x14ac:dyDescent="0.25">
      <c r="A627" s="339"/>
      <c r="B627" s="340"/>
      <c r="C627" s="190"/>
      <c r="D627" s="191"/>
      <c r="E627" s="192"/>
      <c r="F627" s="193"/>
      <c r="G627" s="341"/>
      <c r="H627" s="194"/>
    </row>
    <row r="628" spans="1:8" x14ac:dyDescent="0.25">
      <c r="A628" s="339"/>
      <c r="B628" s="340"/>
      <c r="C628" s="190"/>
      <c r="D628" s="191"/>
      <c r="E628" s="192"/>
      <c r="F628" s="193"/>
      <c r="G628" s="341"/>
      <c r="H628" s="194"/>
    </row>
    <row r="629" spans="1:8" x14ac:dyDescent="0.25">
      <c r="A629" s="339"/>
      <c r="B629" s="340"/>
      <c r="C629" s="190"/>
      <c r="D629" s="191"/>
      <c r="E629" s="192"/>
      <c r="F629" s="193"/>
      <c r="G629" s="341"/>
      <c r="H629" s="194"/>
    </row>
    <row r="630" spans="1:8" x14ac:dyDescent="0.25">
      <c r="A630" s="339"/>
      <c r="B630" s="340"/>
      <c r="C630" s="190"/>
      <c r="D630" s="191"/>
      <c r="E630" s="192"/>
      <c r="F630" s="193"/>
      <c r="G630" s="341"/>
      <c r="H630" s="194"/>
    </row>
    <row r="631" spans="1:8" x14ac:dyDescent="0.25">
      <c r="A631" s="339"/>
      <c r="B631" s="340"/>
      <c r="C631" s="190"/>
      <c r="D631" s="191"/>
      <c r="E631" s="192"/>
      <c r="F631" s="193"/>
      <c r="G631" s="341"/>
      <c r="H631" s="194"/>
    </row>
    <row r="632" spans="1:8" x14ac:dyDescent="0.25">
      <c r="A632" s="339"/>
      <c r="B632" s="340"/>
      <c r="C632" s="190"/>
      <c r="D632" s="191"/>
      <c r="E632" s="192"/>
      <c r="F632" s="193"/>
      <c r="G632" s="341"/>
      <c r="H632" s="194"/>
    </row>
    <row r="633" spans="1:8" x14ac:dyDescent="0.25">
      <c r="A633" s="339"/>
      <c r="B633" s="340"/>
      <c r="C633" s="190"/>
      <c r="D633" s="191"/>
      <c r="E633" s="192"/>
      <c r="F633" s="193"/>
      <c r="G633" s="341"/>
      <c r="H633" s="194"/>
    </row>
    <row r="634" spans="1:8" x14ac:dyDescent="0.25">
      <c r="A634" s="339"/>
      <c r="B634" s="340"/>
      <c r="C634" s="190"/>
      <c r="D634" s="191"/>
      <c r="E634" s="192"/>
      <c r="F634" s="193"/>
      <c r="G634" s="341"/>
      <c r="H634" s="194"/>
    </row>
    <row r="635" spans="1:8" x14ac:dyDescent="0.25">
      <c r="A635" s="339"/>
      <c r="B635" s="340"/>
      <c r="C635" s="190"/>
      <c r="D635" s="191"/>
      <c r="E635" s="192"/>
      <c r="F635" s="193"/>
      <c r="G635" s="341"/>
      <c r="H635" s="194"/>
    </row>
    <row r="636" spans="1:8" x14ac:dyDescent="0.25">
      <c r="A636" s="339"/>
      <c r="B636" s="340"/>
      <c r="C636" s="190"/>
      <c r="D636" s="191"/>
      <c r="E636" s="192"/>
      <c r="F636" s="193"/>
      <c r="G636" s="341"/>
      <c r="H636" s="194"/>
    </row>
    <row r="637" spans="1:8" x14ac:dyDescent="0.25">
      <c r="A637" s="339"/>
      <c r="B637" s="340"/>
      <c r="C637" s="190"/>
      <c r="D637" s="191"/>
      <c r="E637" s="192"/>
      <c r="F637" s="193"/>
      <c r="G637" s="341"/>
      <c r="H637" s="194"/>
    </row>
    <row r="638" spans="1:8" x14ac:dyDescent="0.25">
      <c r="A638" s="339"/>
      <c r="B638" s="340"/>
      <c r="C638" s="190"/>
      <c r="D638" s="191"/>
      <c r="E638" s="192"/>
      <c r="F638" s="193"/>
      <c r="G638" s="341"/>
      <c r="H638" s="194"/>
    </row>
    <row r="639" spans="1:8" x14ac:dyDescent="0.25">
      <c r="A639" s="339"/>
      <c r="B639" s="340"/>
      <c r="C639" s="190"/>
      <c r="D639" s="191"/>
      <c r="E639" s="192"/>
      <c r="F639" s="193"/>
      <c r="G639" s="341"/>
      <c r="H639" s="194"/>
    </row>
    <row r="640" spans="1:8" x14ac:dyDescent="0.25">
      <c r="A640" s="339"/>
      <c r="B640" s="340"/>
      <c r="C640" s="190"/>
      <c r="D640" s="191"/>
      <c r="E640" s="192"/>
      <c r="F640" s="193"/>
      <c r="G640" s="341"/>
      <c r="H640" s="194"/>
    </row>
    <row r="641" spans="1:8" x14ac:dyDescent="0.25">
      <c r="A641" s="339"/>
      <c r="B641" s="340"/>
      <c r="C641" s="190"/>
      <c r="D641" s="191"/>
      <c r="E641" s="192"/>
      <c r="F641" s="193"/>
      <c r="G641" s="341"/>
      <c r="H641" s="194"/>
    </row>
    <row r="642" spans="1:8" x14ac:dyDescent="0.25">
      <c r="A642" s="339"/>
      <c r="B642" s="340"/>
      <c r="C642" s="190"/>
      <c r="D642" s="191"/>
      <c r="E642" s="192"/>
      <c r="F642" s="193"/>
      <c r="G642" s="341"/>
      <c r="H642" s="194"/>
    </row>
    <row r="643" spans="1:8" x14ac:dyDescent="0.25">
      <c r="A643" s="339"/>
      <c r="B643" s="340"/>
      <c r="C643" s="190"/>
      <c r="D643" s="191"/>
      <c r="E643" s="192"/>
      <c r="F643" s="193"/>
      <c r="G643" s="341"/>
      <c r="H643" s="194"/>
    </row>
    <row r="644" spans="1:8" x14ac:dyDescent="0.25">
      <c r="A644" s="339"/>
      <c r="B644" s="340"/>
      <c r="C644" s="190"/>
      <c r="D644" s="191"/>
      <c r="E644" s="192"/>
      <c r="F644" s="193"/>
      <c r="G644" s="341"/>
      <c r="H644" s="194"/>
    </row>
    <row r="645" spans="1:8" x14ac:dyDescent="0.25">
      <c r="A645" s="339"/>
      <c r="B645" s="340"/>
      <c r="C645" s="190"/>
      <c r="D645" s="191"/>
      <c r="E645" s="192"/>
      <c r="F645" s="193"/>
      <c r="G645" s="341"/>
      <c r="H645" s="194"/>
    </row>
    <row r="646" spans="1:8" x14ac:dyDescent="0.25">
      <c r="A646" s="339"/>
      <c r="B646" s="340"/>
      <c r="C646" s="190"/>
      <c r="D646" s="191"/>
      <c r="E646" s="192"/>
      <c r="F646" s="193"/>
      <c r="G646" s="341"/>
      <c r="H646" s="194"/>
    </row>
    <row r="647" spans="1:8" x14ac:dyDescent="0.25">
      <c r="A647" s="339"/>
      <c r="B647" s="340"/>
      <c r="C647" s="190"/>
      <c r="D647" s="191"/>
      <c r="E647" s="192"/>
      <c r="F647" s="193"/>
      <c r="G647" s="341"/>
      <c r="H647" s="194"/>
    </row>
    <row r="648" spans="1:8" x14ac:dyDescent="0.25">
      <c r="A648" s="339"/>
      <c r="B648" s="340"/>
      <c r="C648" s="190"/>
      <c r="D648" s="191"/>
      <c r="E648" s="192"/>
      <c r="F648" s="193"/>
      <c r="G648" s="341"/>
      <c r="H648" s="194"/>
    </row>
    <row r="649" spans="1:8" x14ac:dyDescent="0.25">
      <c r="A649" s="339"/>
      <c r="B649" s="340"/>
      <c r="C649" s="190"/>
      <c r="D649" s="191"/>
      <c r="E649" s="192"/>
      <c r="F649" s="193"/>
      <c r="G649" s="341"/>
      <c r="H649" s="194"/>
    </row>
    <row r="650" spans="1:8" x14ac:dyDescent="0.25">
      <c r="A650" s="339"/>
      <c r="B650" s="340"/>
      <c r="C650" s="190"/>
      <c r="D650" s="191"/>
      <c r="E650" s="192"/>
      <c r="F650" s="193"/>
      <c r="G650" s="341"/>
      <c r="H650" s="194"/>
    </row>
    <row r="651" spans="1:8" x14ac:dyDescent="0.25">
      <c r="A651" s="339"/>
      <c r="B651" s="340"/>
      <c r="C651" s="190"/>
      <c r="D651" s="191"/>
      <c r="E651" s="192"/>
      <c r="F651" s="193"/>
      <c r="G651" s="341"/>
      <c r="H651" s="194"/>
    </row>
    <row r="652" spans="1:8" x14ac:dyDescent="0.25">
      <c r="A652" s="339"/>
      <c r="B652" s="340"/>
      <c r="C652" s="190"/>
      <c r="D652" s="191"/>
      <c r="E652" s="192"/>
      <c r="F652" s="193"/>
      <c r="G652" s="341"/>
      <c r="H652" s="194"/>
    </row>
    <row r="653" spans="1:8" x14ac:dyDescent="0.25">
      <c r="A653" s="339"/>
      <c r="B653" s="340"/>
      <c r="C653" s="190"/>
      <c r="D653" s="191"/>
      <c r="E653" s="192"/>
      <c r="F653" s="193"/>
      <c r="G653" s="341"/>
      <c r="H653" s="194"/>
    </row>
    <row r="654" spans="1:8" x14ac:dyDescent="0.25">
      <c r="A654" s="339"/>
      <c r="B654" s="340"/>
      <c r="C654" s="190"/>
      <c r="D654" s="191"/>
      <c r="E654" s="192"/>
      <c r="F654" s="193"/>
      <c r="G654" s="341"/>
      <c r="H654" s="194"/>
    </row>
    <row r="655" spans="1:8" x14ac:dyDescent="0.25">
      <c r="A655" s="339"/>
      <c r="B655" s="340"/>
      <c r="C655" s="190"/>
      <c r="D655" s="191"/>
      <c r="E655" s="192"/>
      <c r="F655" s="193"/>
      <c r="G655" s="341"/>
      <c r="H655" s="194"/>
    </row>
    <row r="656" spans="1:8" x14ac:dyDescent="0.25">
      <c r="A656" s="339"/>
      <c r="B656" s="340"/>
      <c r="C656" s="190"/>
      <c r="D656" s="191"/>
      <c r="E656" s="192"/>
      <c r="F656" s="193"/>
      <c r="G656" s="341"/>
      <c r="H656" s="194"/>
    </row>
    <row r="657" spans="1:8" x14ac:dyDescent="0.25">
      <c r="A657" s="339"/>
      <c r="B657" s="340"/>
      <c r="C657" s="190"/>
      <c r="D657" s="191"/>
      <c r="E657" s="192"/>
      <c r="F657" s="193"/>
      <c r="G657" s="341"/>
      <c r="H657" s="194"/>
    </row>
    <row r="658" spans="1:8" x14ac:dyDescent="0.25">
      <c r="A658" s="339"/>
      <c r="B658" s="340"/>
      <c r="C658" s="190"/>
      <c r="D658" s="191"/>
      <c r="E658" s="192"/>
      <c r="F658" s="193"/>
      <c r="G658" s="341"/>
      <c r="H658" s="194"/>
    </row>
    <row r="659" spans="1:8" x14ac:dyDescent="0.25">
      <c r="A659" s="339"/>
      <c r="B659" s="340"/>
      <c r="C659" s="190"/>
      <c r="D659" s="191"/>
      <c r="E659" s="192"/>
      <c r="F659" s="193"/>
      <c r="G659" s="341"/>
      <c r="H659" s="194"/>
    </row>
    <row r="660" spans="1:8" x14ac:dyDescent="0.25">
      <c r="A660" s="339"/>
      <c r="B660" s="340"/>
      <c r="C660" s="190"/>
      <c r="D660" s="191"/>
      <c r="E660" s="192"/>
      <c r="F660" s="193"/>
      <c r="G660" s="341"/>
      <c r="H660" s="194"/>
    </row>
    <row r="661" spans="1:8" x14ac:dyDescent="0.25">
      <c r="A661" s="339"/>
      <c r="B661" s="340"/>
      <c r="C661" s="190"/>
      <c r="D661" s="191"/>
      <c r="E661" s="192"/>
      <c r="F661" s="193"/>
      <c r="G661" s="341"/>
      <c r="H661" s="194"/>
    </row>
    <row r="662" spans="1:8" x14ac:dyDescent="0.25">
      <c r="A662" s="339"/>
      <c r="B662" s="340"/>
      <c r="C662" s="190"/>
      <c r="D662" s="191"/>
      <c r="E662" s="192"/>
      <c r="F662" s="193"/>
      <c r="G662" s="341"/>
      <c r="H662" s="194"/>
    </row>
    <row r="663" spans="1:8" x14ac:dyDescent="0.25">
      <c r="A663" s="339"/>
      <c r="B663" s="340"/>
      <c r="C663" s="190"/>
      <c r="D663" s="191"/>
      <c r="E663" s="192"/>
      <c r="F663" s="193"/>
      <c r="G663" s="341"/>
      <c r="H663" s="194"/>
    </row>
    <row r="664" spans="1:8" x14ac:dyDescent="0.25">
      <c r="A664" s="339"/>
      <c r="B664" s="340"/>
      <c r="C664" s="190"/>
      <c r="D664" s="191"/>
      <c r="E664" s="192"/>
      <c r="F664" s="193"/>
      <c r="G664" s="341"/>
      <c r="H664" s="194"/>
    </row>
    <row r="665" spans="1:8" x14ac:dyDescent="0.25">
      <c r="A665" s="339"/>
      <c r="B665" s="340"/>
      <c r="C665" s="190"/>
      <c r="D665" s="191"/>
      <c r="E665" s="192"/>
      <c r="F665" s="193"/>
      <c r="G665" s="341"/>
      <c r="H665" s="194"/>
    </row>
    <row r="666" spans="1:8" x14ac:dyDescent="0.25">
      <c r="A666" s="339"/>
      <c r="B666" s="340"/>
      <c r="C666" s="190"/>
      <c r="D666" s="191"/>
      <c r="E666" s="192"/>
      <c r="F666" s="193"/>
      <c r="G666" s="341"/>
      <c r="H666" s="194"/>
    </row>
    <row r="667" spans="1:8" x14ac:dyDescent="0.25">
      <c r="A667" s="339"/>
      <c r="B667" s="340"/>
      <c r="C667" s="190"/>
      <c r="D667" s="191"/>
      <c r="E667" s="192"/>
      <c r="F667" s="193"/>
      <c r="G667" s="341"/>
      <c r="H667" s="194"/>
    </row>
    <row r="668" spans="1:8" x14ac:dyDescent="0.25">
      <c r="A668" s="339"/>
      <c r="B668" s="340"/>
      <c r="C668" s="190"/>
      <c r="D668" s="191"/>
      <c r="E668" s="192"/>
      <c r="F668" s="193"/>
      <c r="G668" s="341"/>
      <c r="H668" s="194"/>
    </row>
    <row r="669" spans="1:8" x14ac:dyDescent="0.25">
      <c r="A669" s="339"/>
      <c r="B669" s="340"/>
      <c r="C669" s="190"/>
      <c r="D669" s="191"/>
      <c r="E669" s="192"/>
      <c r="F669" s="193"/>
      <c r="G669" s="341"/>
      <c r="H669" s="194"/>
    </row>
    <row r="670" spans="1:8" x14ac:dyDescent="0.25">
      <c r="A670" s="339"/>
      <c r="B670" s="340"/>
      <c r="C670" s="190"/>
      <c r="D670" s="191"/>
      <c r="E670" s="192"/>
      <c r="F670" s="193"/>
      <c r="G670" s="341"/>
      <c r="H670" s="194"/>
    </row>
    <row r="671" spans="1:8" x14ac:dyDescent="0.25">
      <c r="A671" s="339"/>
      <c r="B671" s="340"/>
      <c r="C671" s="190"/>
      <c r="D671" s="191"/>
      <c r="E671" s="192"/>
      <c r="F671" s="193"/>
      <c r="G671" s="341"/>
      <c r="H671" s="194"/>
    </row>
    <row r="672" spans="1:8" x14ac:dyDescent="0.25">
      <c r="A672" s="339"/>
      <c r="B672" s="340"/>
      <c r="C672" s="190"/>
      <c r="D672" s="191"/>
      <c r="E672" s="192"/>
      <c r="F672" s="193"/>
      <c r="G672" s="341"/>
      <c r="H672" s="194"/>
    </row>
    <row r="673" spans="1:8" x14ac:dyDescent="0.25">
      <c r="A673" s="339"/>
      <c r="B673" s="340"/>
      <c r="C673" s="190"/>
      <c r="D673" s="191"/>
      <c r="E673" s="192"/>
      <c r="F673" s="193"/>
      <c r="G673" s="341"/>
      <c r="H673" s="194"/>
    </row>
    <row r="674" spans="1:8" x14ac:dyDescent="0.25">
      <c r="A674" s="339"/>
      <c r="B674" s="340"/>
      <c r="C674" s="190"/>
      <c r="D674" s="191"/>
      <c r="E674" s="192"/>
      <c r="F674" s="193"/>
      <c r="G674" s="341"/>
      <c r="H674" s="194"/>
    </row>
    <row r="675" spans="1:8" x14ac:dyDescent="0.25">
      <c r="A675" s="339"/>
      <c r="B675" s="340"/>
      <c r="C675" s="190"/>
      <c r="D675" s="191"/>
      <c r="E675" s="192"/>
      <c r="F675" s="193"/>
      <c r="G675" s="341"/>
      <c r="H675" s="194"/>
    </row>
    <row r="676" spans="1:8" x14ac:dyDescent="0.25">
      <c r="A676" s="339"/>
      <c r="B676" s="340"/>
      <c r="C676" s="190"/>
      <c r="D676" s="191"/>
      <c r="E676" s="192"/>
      <c r="F676" s="193"/>
      <c r="G676" s="341"/>
      <c r="H676" s="194"/>
    </row>
    <row r="677" spans="1:8" x14ac:dyDescent="0.25">
      <c r="A677" s="339"/>
      <c r="B677" s="340"/>
      <c r="C677" s="190"/>
      <c r="D677" s="191"/>
      <c r="E677" s="192"/>
      <c r="F677" s="193"/>
      <c r="G677" s="341"/>
      <c r="H677" s="194"/>
    </row>
    <row r="678" spans="1:8" x14ac:dyDescent="0.25">
      <c r="A678" s="339"/>
      <c r="B678" s="340"/>
      <c r="C678" s="190"/>
      <c r="D678" s="191"/>
      <c r="E678" s="192"/>
      <c r="F678" s="193"/>
      <c r="G678" s="341"/>
      <c r="H678" s="194"/>
    </row>
    <row r="679" spans="1:8" x14ac:dyDescent="0.25">
      <c r="A679" s="339"/>
      <c r="B679" s="340"/>
      <c r="C679" s="190"/>
      <c r="D679" s="191"/>
      <c r="E679" s="192"/>
      <c r="F679" s="193"/>
      <c r="G679" s="341"/>
      <c r="H679" s="194"/>
    </row>
    <row r="680" spans="1:8" x14ac:dyDescent="0.25">
      <c r="A680" s="339"/>
      <c r="B680" s="340"/>
      <c r="C680" s="190"/>
      <c r="D680" s="191"/>
      <c r="E680" s="192"/>
      <c r="F680" s="193"/>
      <c r="G680" s="341"/>
      <c r="H680" s="194"/>
    </row>
    <row r="681" spans="1:8" x14ac:dyDescent="0.25">
      <c r="A681" s="339"/>
      <c r="B681" s="340"/>
      <c r="C681" s="190"/>
      <c r="D681" s="191"/>
      <c r="E681" s="192"/>
      <c r="F681" s="193"/>
      <c r="G681" s="341"/>
      <c r="H681" s="194"/>
    </row>
    <row r="682" spans="1:8" x14ac:dyDescent="0.25">
      <c r="A682" s="339"/>
      <c r="B682" s="340"/>
      <c r="C682" s="190"/>
      <c r="D682" s="191"/>
      <c r="E682" s="192"/>
      <c r="F682" s="193"/>
      <c r="G682" s="341"/>
      <c r="H682" s="194"/>
    </row>
    <row r="683" spans="1:8" x14ac:dyDescent="0.25">
      <c r="A683" s="339"/>
      <c r="B683" s="340"/>
      <c r="C683" s="190"/>
      <c r="D683" s="191"/>
      <c r="E683" s="192"/>
      <c r="F683" s="193"/>
      <c r="G683" s="341"/>
      <c r="H683" s="194"/>
    </row>
    <row r="684" spans="1:8" x14ac:dyDescent="0.25">
      <c r="A684" s="339"/>
      <c r="B684" s="340"/>
      <c r="C684" s="190"/>
      <c r="D684" s="191"/>
      <c r="E684" s="192"/>
      <c r="F684" s="193"/>
      <c r="G684" s="341"/>
      <c r="H684" s="194"/>
    </row>
    <row r="685" spans="1:8" x14ac:dyDescent="0.25">
      <c r="A685" s="339"/>
      <c r="B685" s="340"/>
      <c r="C685" s="190"/>
      <c r="D685" s="191"/>
      <c r="E685" s="192"/>
      <c r="F685" s="193"/>
      <c r="G685" s="341"/>
      <c r="H685" s="194"/>
    </row>
    <row r="686" spans="1:8" x14ac:dyDescent="0.25">
      <c r="A686" s="339"/>
      <c r="B686" s="340"/>
      <c r="C686" s="190"/>
      <c r="D686" s="191"/>
      <c r="E686" s="192"/>
      <c r="F686" s="193"/>
      <c r="G686" s="341"/>
      <c r="H686" s="194"/>
    </row>
    <row r="687" spans="1:8" x14ac:dyDescent="0.25">
      <c r="A687" s="339"/>
      <c r="B687" s="340"/>
      <c r="C687" s="190"/>
      <c r="D687" s="191"/>
      <c r="E687" s="192"/>
      <c r="F687" s="193"/>
      <c r="G687" s="341"/>
      <c r="H687" s="194"/>
    </row>
    <row r="688" spans="1:8" x14ac:dyDescent="0.25">
      <c r="A688" s="339"/>
      <c r="B688" s="340"/>
      <c r="C688" s="190"/>
      <c r="D688" s="191"/>
      <c r="E688" s="192"/>
      <c r="F688" s="193"/>
      <c r="G688" s="341"/>
      <c r="H688" s="194"/>
    </row>
    <row r="689" spans="1:8" x14ac:dyDescent="0.25">
      <c r="A689" s="339"/>
      <c r="B689" s="340"/>
      <c r="C689" s="190"/>
      <c r="D689" s="191"/>
      <c r="E689" s="192"/>
      <c r="F689" s="193"/>
      <c r="G689" s="341"/>
      <c r="H689" s="194"/>
    </row>
    <row r="690" spans="1:8" x14ac:dyDescent="0.25">
      <c r="A690" s="339"/>
      <c r="B690" s="340"/>
      <c r="C690" s="190"/>
      <c r="D690" s="191"/>
      <c r="E690" s="192"/>
      <c r="F690" s="193"/>
      <c r="G690" s="341"/>
      <c r="H690" s="194"/>
    </row>
    <row r="691" spans="1:8" x14ac:dyDescent="0.25">
      <c r="A691" s="339"/>
      <c r="B691" s="340"/>
      <c r="C691" s="190"/>
      <c r="D691" s="191"/>
      <c r="E691" s="192"/>
      <c r="F691" s="193"/>
      <c r="G691" s="341"/>
      <c r="H691" s="194"/>
    </row>
    <row r="692" spans="1:8" x14ac:dyDescent="0.25">
      <c r="A692" s="339"/>
      <c r="B692" s="340"/>
      <c r="C692" s="190"/>
      <c r="D692" s="191"/>
      <c r="E692" s="192"/>
      <c r="F692" s="193"/>
      <c r="G692" s="341"/>
      <c r="H692" s="194"/>
    </row>
    <row r="693" spans="1:8" x14ac:dyDescent="0.25">
      <c r="A693" s="339"/>
      <c r="B693" s="340"/>
      <c r="C693" s="190"/>
      <c r="D693" s="191"/>
      <c r="E693" s="192"/>
      <c r="F693" s="193"/>
      <c r="G693" s="341"/>
      <c r="H693" s="194"/>
    </row>
    <row r="694" spans="1:8" x14ac:dyDescent="0.25">
      <c r="A694" s="339"/>
      <c r="B694" s="340"/>
      <c r="C694" s="190"/>
      <c r="D694" s="191"/>
      <c r="E694" s="192"/>
      <c r="F694" s="193"/>
      <c r="G694" s="341"/>
      <c r="H694" s="194"/>
    </row>
    <row r="695" spans="1:8" x14ac:dyDescent="0.25">
      <c r="A695" s="339"/>
      <c r="B695" s="340"/>
      <c r="C695" s="190"/>
      <c r="D695" s="191"/>
      <c r="E695" s="192"/>
      <c r="F695" s="193"/>
      <c r="G695" s="341"/>
      <c r="H695" s="194"/>
    </row>
    <row r="696" spans="1:8" x14ac:dyDescent="0.25">
      <c r="A696" s="339"/>
      <c r="B696" s="340"/>
      <c r="C696" s="190"/>
      <c r="D696" s="191"/>
      <c r="E696" s="192"/>
      <c r="F696" s="193"/>
      <c r="G696" s="341"/>
      <c r="H696" s="194"/>
    </row>
    <row r="697" spans="1:8" x14ac:dyDescent="0.25">
      <c r="A697" s="339"/>
      <c r="B697" s="340"/>
      <c r="C697" s="190"/>
      <c r="D697" s="191"/>
      <c r="E697" s="192"/>
      <c r="F697" s="193"/>
      <c r="G697" s="341"/>
      <c r="H697" s="194"/>
    </row>
    <row r="698" spans="1:8" x14ac:dyDescent="0.25">
      <c r="A698" s="339"/>
      <c r="B698" s="340"/>
      <c r="C698" s="190"/>
      <c r="D698" s="191"/>
      <c r="E698" s="192"/>
      <c r="F698" s="193"/>
      <c r="G698" s="341"/>
      <c r="H698" s="194"/>
    </row>
    <row r="699" spans="1:8" x14ac:dyDescent="0.25">
      <c r="A699" s="339"/>
      <c r="B699" s="340"/>
      <c r="C699" s="190"/>
      <c r="D699" s="191"/>
      <c r="E699" s="192"/>
      <c r="F699" s="193"/>
      <c r="G699" s="341"/>
      <c r="H699" s="194"/>
    </row>
    <row r="700" spans="1:8" x14ac:dyDescent="0.25">
      <c r="A700" s="339"/>
      <c r="B700" s="340"/>
      <c r="C700" s="190"/>
      <c r="D700" s="191"/>
      <c r="E700" s="192"/>
      <c r="F700" s="193"/>
      <c r="G700" s="341"/>
      <c r="H700" s="194"/>
    </row>
    <row r="701" spans="1:8" x14ac:dyDescent="0.25">
      <c r="A701" s="339"/>
      <c r="B701" s="340"/>
      <c r="C701" s="190"/>
      <c r="D701" s="191"/>
      <c r="E701" s="192"/>
      <c r="F701" s="193"/>
      <c r="G701" s="341"/>
      <c r="H701" s="194"/>
    </row>
    <row r="702" spans="1:8" x14ac:dyDescent="0.25">
      <c r="A702" s="339"/>
      <c r="B702" s="340"/>
      <c r="C702" s="190"/>
      <c r="D702" s="191"/>
      <c r="E702" s="192"/>
      <c r="F702" s="193"/>
      <c r="G702" s="341"/>
      <c r="H702" s="194"/>
    </row>
    <row r="703" spans="1:8" x14ac:dyDescent="0.25">
      <c r="A703" s="339"/>
      <c r="B703" s="340"/>
      <c r="C703" s="190"/>
      <c r="D703" s="191"/>
      <c r="E703" s="192"/>
      <c r="F703" s="193"/>
      <c r="G703" s="341"/>
      <c r="H703" s="194"/>
    </row>
    <row r="704" spans="1:8" x14ac:dyDescent="0.25">
      <c r="A704" s="339"/>
      <c r="B704" s="340"/>
      <c r="C704" s="190"/>
      <c r="D704" s="191"/>
      <c r="E704" s="192"/>
      <c r="F704" s="193"/>
      <c r="G704" s="341"/>
      <c r="H704" s="194"/>
    </row>
    <row r="705" spans="1:8" x14ac:dyDescent="0.25">
      <c r="A705" s="339"/>
      <c r="B705" s="340"/>
      <c r="C705" s="190"/>
      <c r="D705" s="191"/>
      <c r="E705" s="192"/>
      <c r="F705" s="193"/>
      <c r="G705" s="341"/>
      <c r="H705" s="194"/>
    </row>
    <row r="706" spans="1:8" x14ac:dyDescent="0.25">
      <c r="A706" s="339"/>
      <c r="B706" s="340"/>
      <c r="C706" s="190"/>
      <c r="D706" s="191"/>
      <c r="E706" s="192"/>
      <c r="F706" s="193"/>
      <c r="G706" s="341"/>
      <c r="H706" s="194"/>
    </row>
    <row r="707" spans="1:8" x14ac:dyDescent="0.25">
      <c r="A707" s="339"/>
      <c r="B707" s="340"/>
      <c r="C707" s="190"/>
      <c r="D707" s="191"/>
      <c r="E707" s="192"/>
      <c r="F707" s="193"/>
      <c r="G707" s="341"/>
      <c r="H707" s="194"/>
    </row>
    <row r="708" spans="1:8" x14ac:dyDescent="0.25">
      <c r="A708" s="339"/>
      <c r="B708" s="340"/>
      <c r="C708" s="190"/>
      <c r="D708" s="191"/>
      <c r="E708" s="192"/>
      <c r="F708" s="193"/>
      <c r="G708" s="341"/>
      <c r="H708" s="194"/>
    </row>
    <row r="709" spans="1:8" x14ac:dyDescent="0.25">
      <c r="A709" s="339"/>
      <c r="B709" s="340"/>
      <c r="C709" s="190"/>
      <c r="D709" s="191"/>
      <c r="E709" s="192"/>
      <c r="F709" s="193"/>
      <c r="G709" s="341"/>
      <c r="H709" s="194"/>
    </row>
    <row r="710" spans="1:8" x14ac:dyDescent="0.25">
      <c r="A710" s="339"/>
      <c r="B710" s="340"/>
      <c r="C710" s="190"/>
      <c r="D710" s="191"/>
      <c r="E710" s="192"/>
      <c r="F710" s="193"/>
      <c r="G710" s="341"/>
      <c r="H710" s="194"/>
    </row>
    <row r="711" spans="1:8" x14ac:dyDescent="0.25">
      <c r="A711" s="339"/>
      <c r="B711" s="340"/>
      <c r="C711" s="190"/>
      <c r="D711" s="191"/>
      <c r="E711" s="192"/>
      <c r="F711" s="193"/>
      <c r="G711" s="341"/>
      <c r="H711" s="194"/>
    </row>
    <row r="712" spans="1:8" x14ac:dyDescent="0.25">
      <c r="A712" s="339"/>
      <c r="B712" s="340"/>
      <c r="C712" s="190"/>
      <c r="D712" s="191"/>
      <c r="E712" s="192"/>
      <c r="F712" s="193"/>
      <c r="G712" s="341"/>
      <c r="H712" s="194"/>
    </row>
    <row r="713" spans="1:8" x14ac:dyDescent="0.25">
      <c r="A713" s="339"/>
      <c r="B713" s="340"/>
      <c r="C713" s="190"/>
      <c r="D713" s="191"/>
      <c r="E713" s="192"/>
      <c r="F713" s="193"/>
      <c r="G713" s="341"/>
      <c r="H713" s="194"/>
    </row>
    <row r="714" spans="1:8" x14ac:dyDescent="0.25">
      <c r="A714" s="339"/>
      <c r="B714" s="340"/>
      <c r="C714" s="190"/>
      <c r="D714" s="191"/>
      <c r="E714" s="192"/>
      <c r="F714" s="193"/>
      <c r="G714" s="341"/>
      <c r="H714" s="194"/>
    </row>
    <row r="715" spans="1:8" x14ac:dyDescent="0.25">
      <c r="A715" s="339"/>
      <c r="B715" s="340"/>
      <c r="C715" s="190"/>
      <c r="D715" s="191"/>
      <c r="E715" s="192"/>
      <c r="F715" s="193"/>
      <c r="G715" s="341"/>
      <c r="H715" s="194"/>
    </row>
    <row r="716" spans="1:8" x14ac:dyDescent="0.25">
      <c r="A716" s="339"/>
      <c r="B716" s="340"/>
      <c r="C716" s="190"/>
      <c r="D716" s="191"/>
      <c r="E716" s="192"/>
      <c r="F716" s="193"/>
      <c r="G716" s="341"/>
      <c r="H716" s="194"/>
    </row>
    <row r="717" spans="1:8" x14ac:dyDescent="0.25">
      <c r="A717" s="339"/>
      <c r="B717" s="340"/>
      <c r="C717" s="190"/>
      <c r="D717" s="191"/>
      <c r="E717" s="192"/>
      <c r="F717" s="193"/>
      <c r="G717" s="341"/>
      <c r="H717" s="194"/>
    </row>
    <row r="718" spans="1:8" x14ac:dyDescent="0.25">
      <c r="A718" s="339"/>
      <c r="B718" s="340"/>
      <c r="C718" s="190"/>
      <c r="D718" s="191"/>
      <c r="E718" s="192"/>
      <c r="F718" s="193"/>
      <c r="G718" s="341"/>
      <c r="H718" s="194"/>
    </row>
    <row r="719" spans="1:8" x14ac:dyDescent="0.25">
      <c r="A719" s="339"/>
      <c r="B719" s="340"/>
      <c r="C719" s="190"/>
      <c r="D719" s="191"/>
      <c r="E719" s="192"/>
      <c r="F719" s="193"/>
      <c r="G719" s="341"/>
      <c r="H719" s="194"/>
    </row>
    <row r="720" spans="1:8" x14ac:dyDescent="0.25">
      <c r="A720" s="339"/>
      <c r="B720" s="340"/>
      <c r="C720" s="190"/>
      <c r="D720" s="191"/>
      <c r="E720" s="192"/>
      <c r="F720" s="193"/>
      <c r="G720" s="341"/>
      <c r="H720" s="194"/>
    </row>
    <row r="721" spans="1:8" x14ac:dyDescent="0.25">
      <c r="A721" s="339"/>
      <c r="B721" s="340"/>
      <c r="C721" s="190"/>
      <c r="D721" s="191"/>
      <c r="E721" s="192"/>
      <c r="F721" s="193"/>
      <c r="G721" s="341"/>
      <c r="H721" s="194"/>
    </row>
    <row r="722" spans="1:8" x14ac:dyDescent="0.25">
      <c r="A722" s="339"/>
      <c r="B722" s="340"/>
      <c r="C722" s="190"/>
      <c r="D722" s="191"/>
      <c r="E722" s="192"/>
      <c r="F722" s="193"/>
      <c r="G722" s="341"/>
      <c r="H722" s="194"/>
    </row>
    <row r="723" spans="1:8" x14ac:dyDescent="0.25">
      <c r="A723" s="339"/>
      <c r="B723" s="340"/>
      <c r="C723" s="190"/>
      <c r="D723" s="191"/>
      <c r="E723" s="192"/>
      <c r="F723" s="193"/>
      <c r="G723" s="341"/>
      <c r="H723" s="194"/>
    </row>
    <row r="724" spans="1:8" x14ac:dyDescent="0.25">
      <c r="A724" s="339"/>
      <c r="B724" s="340"/>
      <c r="C724" s="190"/>
      <c r="D724" s="191"/>
      <c r="E724" s="192"/>
      <c r="F724" s="193"/>
      <c r="G724" s="341"/>
      <c r="H724" s="194"/>
    </row>
    <row r="725" spans="1:8" x14ac:dyDescent="0.25">
      <c r="A725" s="339"/>
      <c r="B725" s="340"/>
      <c r="C725" s="190"/>
      <c r="D725" s="191"/>
      <c r="E725" s="192"/>
      <c r="F725" s="193"/>
      <c r="G725" s="341"/>
      <c r="H725" s="194"/>
    </row>
    <row r="726" spans="1:8" x14ac:dyDescent="0.25">
      <c r="A726" s="339"/>
      <c r="B726" s="340"/>
      <c r="C726" s="190"/>
      <c r="D726" s="191"/>
      <c r="E726" s="192"/>
      <c r="F726" s="193"/>
      <c r="G726" s="341"/>
      <c r="H726" s="194"/>
    </row>
    <row r="727" spans="1:8" x14ac:dyDescent="0.25">
      <c r="A727" s="339"/>
      <c r="B727" s="340"/>
      <c r="C727" s="190"/>
      <c r="D727" s="191"/>
      <c r="E727" s="192"/>
      <c r="F727" s="193"/>
      <c r="G727" s="341"/>
      <c r="H727" s="194"/>
    </row>
    <row r="728" spans="1:8" x14ac:dyDescent="0.25">
      <c r="A728" s="339"/>
      <c r="B728" s="340"/>
      <c r="C728" s="190"/>
      <c r="D728" s="191"/>
      <c r="E728" s="192"/>
      <c r="F728" s="193"/>
      <c r="G728" s="341"/>
      <c r="H728" s="194"/>
    </row>
    <row r="729" spans="1:8" x14ac:dyDescent="0.25">
      <c r="A729" s="339"/>
      <c r="B729" s="340"/>
      <c r="C729" s="190"/>
      <c r="D729" s="191"/>
      <c r="E729" s="192"/>
      <c r="F729" s="193"/>
      <c r="G729" s="341"/>
      <c r="H729" s="194"/>
    </row>
    <row r="730" spans="1:8" x14ac:dyDescent="0.25">
      <c r="A730" s="339"/>
      <c r="B730" s="340"/>
      <c r="C730" s="190"/>
      <c r="D730" s="191"/>
      <c r="E730" s="192"/>
      <c r="F730" s="193"/>
      <c r="G730" s="341"/>
      <c r="H730" s="194"/>
    </row>
    <row r="731" spans="1:8" x14ac:dyDescent="0.25">
      <c r="A731" s="339"/>
      <c r="B731" s="340"/>
      <c r="C731" s="190"/>
      <c r="D731" s="191"/>
      <c r="E731" s="192"/>
      <c r="F731" s="193"/>
      <c r="G731" s="341"/>
      <c r="H731" s="194"/>
    </row>
    <row r="732" spans="1:8" x14ac:dyDescent="0.25">
      <c r="A732" s="339"/>
      <c r="B732" s="340"/>
      <c r="C732" s="190"/>
      <c r="D732" s="191"/>
      <c r="E732" s="192"/>
      <c r="F732" s="193"/>
      <c r="G732" s="341"/>
      <c r="H732" s="194"/>
    </row>
    <row r="733" spans="1:8" x14ac:dyDescent="0.25">
      <c r="A733" s="339"/>
      <c r="B733" s="340"/>
      <c r="C733" s="190"/>
      <c r="D733" s="191"/>
      <c r="E733" s="192"/>
      <c r="F733" s="193"/>
      <c r="G733" s="341"/>
      <c r="H733" s="194"/>
    </row>
    <row r="734" spans="1:8" x14ac:dyDescent="0.25">
      <c r="A734" s="339"/>
      <c r="B734" s="340"/>
      <c r="C734" s="190"/>
      <c r="D734" s="191"/>
      <c r="E734" s="192"/>
      <c r="F734" s="193"/>
      <c r="G734" s="341"/>
      <c r="H734" s="194"/>
    </row>
    <row r="735" spans="1:8" x14ac:dyDescent="0.25">
      <c r="A735" s="339"/>
      <c r="B735" s="340"/>
      <c r="C735" s="190"/>
      <c r="D735" s="191"/>
      <c r="E735" s="192"/>
      <c r="F735" s="193"/>
      <c r="G735" s="341"/>
      <c r="H735" s="194"/>
    </row>
    <row r="736" spans="1:8" x14ac:dyDescent="0.25">
      <c r="A736" s="339"/>
      <c r="B736" s="340"/>
      <c r="C736" s="190"/>
      <c r="D736" s="191"/>
      <c r="E736" s="192"/>
      <c r="F736" s="193"/>
      <c r="G736" s="341"/>
      <c r="H736" s="194"/>
    </row>
    <row r="737" spans="1:8" x14ac:dyDescent="0.25">
      <c r="A737" s="339"/>
      <c r="B737" s="340"/>
      <c r="C737" s="190"/>
      <c r="D737" s="191"/>
      <c r="E737" s="192"/>
      <c r="F737" s="193"/>
      <c r="G737" s="341"/>
      <c r="H737" s="194"/>
    </row>
    <row r="738" spans="1:8" x14ac:dyDescent="0.25">
      <c r="A738" s="339"/>
      <c r="B738" s="340"/>
      <c r="C738" s="190"/>
      <c r="D738" s="191"/>
      <c r="E738" s="192"/>
      <c r="F738" s="193"/>
      <c r="G738" s="341"/>
      <c r="H738" s="194"/>
    </row>
    <row r="739" spans="1:8" x14ac:dyDescent="0.25">
      <c r="A739" s="339"/>
      <c r="B739" s="340"/>
      <c r="C739" s="190"/>
      <c r="D739" s="191"/>
      <c r="E739" s="192"/>
      <c r="F739" s="193"/>
      <c r="G739" s="341"/>
      <c r="H739" s="194"/>
    </row>
    <row r="740" spans="1:8" x14ac:dyDescent="0.25">
      <c r="A740" s="339"/>
      <c r="B740" s="340"/>
      <c r="C740" s="190"/>
      <c r="D740" s="191"/>
      <c r="E740" s="192"/>
      <c r="F740" s="193"/>
      <c r="G740" s="341"/>
      <c r="H740" s="194"/>
    </row>
    <row r="741" spans="1:8" x14ac:dyDescent="0.25">
      <c r="A741" s="339"/>
      <c r="B741" s="340"/>
      <c r="C741" s="190"/>
      <c r="D741" s="191"/>
      <c r="E741" s="192"/>
      <c r="F741" s="193"/>
      <c r="G741" s="341"/>
      <c r="H741" s="194"/>
    </row>
    <row r="742" spans="1:8" x14ac:dyDescent="0.25">
      <c r="A742" s="339"/>
      <c r="B742" s="340"/>
      <c r="C742" s="190"/>
      <c r="D742" s="191"/>
      <c r="E742" s="192"/>
      <c r="F742" s="193"/>
      <c r="G742" s="341"/>
      <c r="H742" s="194"/>
    </row>
    <row r="743" spans="1:8" x14ac:dyDescent="0.25">
      <c r="A743" s="339"/>
      <c r="B743" s="340"/>
      <c r="C743" s="190"/>
      <c r="D743" s="191"/>
      <c r="E743" s="192"/>
      <c r="F743" s="193"/>
      <c r="G743" s="341"/>
      <c r="H743" s="194"/>
    </row>
    <row r="744" spans="1:8" x14ac:dyDescent="0.25">
      <c r="A744" s="339"/>
      <c r="B744" s="340"/>
      <c r="C744" s="190"/>
      <c r="D744" s="191"/>
      <c r="E744" s="192"/>
      <c r="F744" s="193"/>
      <c r="G744" s="341"/>
      <c r="H744" s="194"/>
    </row>
    <row r="745" spans="1:8" x14ac:dyDescent="0.25">
      <c r="A745" s="339"/>
      <c r="B745" s="340"/>
      <c r="C745" s="190"/>
      <c r="D745" s="191"/>
      <c r="E745" s="192"/>
      <c r="F745" s="193"/>
      <c r="G745" s="341"/>
      <c r="H745" s="194"/>
    </row>
    <row r="746" spans="1:8" x14ac:dyDescent="0.25">
      <c r="A746" s="339"/>
      <c r="B746" s="340"/>
      <c r="C746" s="190"/>
      <c r="D746" s="191"/>
      <c r="E746" s="192"/>
      <c r="F746" s="193"/>
      <c r="G746" s="341"/>
      <c r="H746" s="194"/>
    </row>
    <row r="747" spans="1:8" x14ac:dyDescent="0.25">
      <c r="A747" s="339"/>
      <c r="B747" s="340"/>
      <c r="C747" s="190"/>
      <c r="D747" s="191"/>
      <c r="E747" s="192"/>
      <c r="F747" s="193"/>
      <c r="G747" s="341"/>
      <c r="H747" s="194"/>
    </row>
    <row r="748" spans="1:8" x14ac:dyDescent="0.25">
      <c r="A748" s="339"/>
      <c r="B748" s="340"/>
      <c r="C748" s="190"/>
      <c r="D748" s="191"/>
      <c r="E748" s="192"/>
      <c r="F748" s="193"/>
      <c r="G748" s="341"/>
      <c r="H748" s="194"/>
    </row>
    <row r="749" spans="1:8" x14ac:dyDescent="0.25">
      <c r="A749" s="339"/>
      <c r="B749" s="340"/>
      <c r="C749" s="190"/>
      <c r="D749" s="191"/>
      <c r="E749" s="192"/>
      <c r="F749" s="193"/>
      <c r="G749" s="341"/>
      <c r="H749" s="194"/>
    </row>
    <row r="750" spans="1:8" x14ac:dyDescent="0.25">
      <c r="A750" s="339"/>
      <c r="B750" s="340"/>
      <c r="C750" s="190"/>
      <c r="D750" s="191"/>
      <c r="E750" s="192"/>
      <c r="F750" s="193"/>
      <c r="G750" s="341"/>
      <c r="H750" s="194"/>
    </row>
    <row r="751" spans="1:8" x14ac:dyDescent="0.25">
      <c r="A751" s="339"/>
      <c r="B751" s="340"/>
      <c r="C751" s="190"/>
      <c r="D751" s="191"/>
      <c r="E751" s="192"/>
      <c r="F751" s="193"/>
      <c r="G751" s="341"/>
      <c r="H751" s="194"/>
    </row>
    <row r="752" spans="1:8" x14ac:dyDescent="0.25">
      <c r="A752" s="339"/>
      <c r="B752" s="340"/>
      <c r="C752" s="190"/>
      <c r="D752" s="191"/>
      <c r="E752" s="192"/>
      <c r="F752" s="193"/>
      <c r="G752" s="341"/>
      <c r="H752" s="194"/>
    </row>
    <row r="753" spans="1:8" x14ac:dyDescent="0.25">
      <c r="A753" s="339"/>
      <c r="B753" s="340"/>
      <c r="C753" s="190"/>
      <c r="D753" s="191"/>
      <c r="E753" s="192"/>
      <c r="F753" s="193"/>
      <c r="G753" s="341"/>
      <c r="H753" s="194"/>
    </row>
    <row r="754" spans="1:8" x14ac:dyDescent="0.25">
      <c r="A754" s="339"/>
      <c r="B754" s="340"/>
      <c r="C754" s="190"/>
      <c r="D754" s="191"/>
      <c r="E754" s="192"/>
      <c r="F754" s="193"/>
      <c r="G754" s="341"/>
      <c r="H754" s="194"/>
    </row>
    <row r="755" spans="1:8" x14ac:dyDescent="0.25">
      <c r="A755" s="339"/>
      <c r="B755" s="340"/>
      <c r="C755" s="190"/>
      <c r="D755" s="191"/>
      <c r="E755" s="192"/>
      <c r="F755" s="193"/>
      <c r="G755" s="341"/>
      <c r="H755" s="194"/>
    </row>
    <row r="756" spans="1:8" x14ac:dyDescent="0.25">
      <c r="A756" s="339"/>
      <c r="B756" s="340"/>
      <c r="C756" s="190"/>
      <c r="D756" s="191"/>
      <c r="E756" s="192"/>
      <c r="F756" s="193"/>
      <c r="G756" s="341"/>
      <c r="H756" s="194"/>
    </row>
    <row r="757" spans="1:8" x14ac:dyDescent="0.25">
      <c r="A757" s="339"/>
      <c r="B757" s="340"/>
      <c r="C757" s="190"/>
      <c r="D757" s="191"/>
      <c r="E757" s="192"/>
      <c r="F757" s="193"/>
      <c r="G757" s="341"/>
      <c r="H757" s="194"/>
    </row>
    <row r="758" spans="1:8" x14ac:dyDescent="0.25">
      <c r="A758" s="339"/>
      <c r="B758" s="340"/>
      <c r="C758" s="190"/>
      <c r="D758" s="191"/>
      <c r="E758" s="192"/>
      <c r="F758" s="193"/>
      <c r="G758" s="341"/>
      <c r="H758" s="194"/>
    </row>
    <row r="759" spans="1:8" x14ac:dyDescent="0.25">
      <c r="A759" s="339"/>
      <c r="B759" s="340"/>
      <c r="C759" s="190"/>
      <c r="D759" s="191"/>
      <c r="E759" s="192"/>
      <c r="F759" s="193"/>
      <c r="G759" s="341"/>
      <c r="H759" s="194"/>
    </row>
    <row r="760" spans="1:8" x14ac:dyDescent="0.25">
      <c r="A760" s="339"/>
      <c r="B760" s="340"/>
      <c r="C760" s="190"/>
      <c r="D760" s="191"/>
      <c r="E760" s="192"/>
      <c r="F760" s="193"/>
      <c r="G760" s="341"/>
      <c r="H760" s="194"/>
    </row>
    <row r="761" spans="1:8" x14ac:dyDescent="0.25">
      <c r="A761" s="339"/>
      <c r="B761" s="340"/>
      <c r="C761" s="190"/>
      <c r="D761" s="191"/>
      <c r="E761" s="192"/>
      <c r="F761" s="193"/>
      <c r="G761" s="341"/>
      <c r="H761" s="194"/>
    </row>
    <row r="762" spans="1:8" x14ac:dyDescent="0.25">
      <c r="A762" s="339"/>
      <c r="B762" s="340"/>
      <c r="C762" s="190"/>
      <c r="D762" s="191"/>
      <c r="E762" s="192"/>
      <c r="F762" s="193"/>
      <c r="G762" s="341"/>
      <c r="H762" s="194"/>
    </row>
    <row r="763" spans="1:8" x14ac:dyDescent="0.25">
      <c r="A763" s="339"/>
      <c r="B763" s="340"/>
      <c r="C763" s="190"/>
      <c r="D763" s="191"/>
      <c r="E763" s="192"/>
      <c r="F763" s="193"/>
      <c r="G763" s="341"/>
      <c r="H763" s="194"/>
    </row>
    <row r="764" spans="1:8" x14ac:dyDescent="0.25">
      <c r="A764" s="339"/>
      <c r="B764" s="340"/>
      <c r="C764" s="190"/>
      <c r="D764" s="191"/>
      <c r="E764" s="192"/>
      <c r="F764" s="193"/>
      <c r="G764" s="341"/>
      <c r="H764" s="194"/>
    </row>
    <row r="765" spans="1:8" x14ac:dyDescent="0.25">
      <c r="A765" s="339"/>
      <c r="B765" s="340"/>
      <c r="C765" s="190"/>
      <c r="D765" s="191"/>
      <c r="E765" s="192"/>
      <c r="F765" s="193"/>
      <c r="G765" s="341"/>
      <c r="H765" s="194"/>
    </row>
    <row r="766" spans="1:8" x14ac:dyDescent="0.25">
      <c r="A766" s="339"/>
      <c r="B766" s="340"/>
      <c r="C766" s="190"/>
      <c r="D766" s="191"/>
      <c r="E766" s="192"/>
      <c r="F766" s="193"/>
      <c r="G766" s="341"/>
      <c r="H766" s="194"/>
    </row>
    <row r="767" spans="1:8" x14ac:dyDescent="0.25">
      <c r="A767" s="339"/>
      <c r="B767" s="340"/>
      <c r="C767" s="190"/>
      <c r="D767" s="191"/>
      <c r="E767" s="192"/>
      <c r="F767" s="193"/>
      <c r="G767" s="341"/>
      <c r="H767" s="194"/>
    </row>
    <row r="768" spans="1:8" x14ac:dyDescent="0.25">
      <c r="A768" s="339"/>
      <c r="B768" s="340"/>
      <c r="C768" s="190"/>
      <c r="D768" s="191"/>
      <c r="E768" s="192"/>
      <c r="F768" s="193"/>
      <c r="G768" s="341"/>
      <c r="H768" s="194"/>
    </row>
    <row r="769" spans="1:8" x14ac:dyDescent="0.25">
      <c r="A769" s="339"/>
      <c r="B769" s="340"/>
      <c r="C769" s="190"/>
      <c r="D769" s="191"/>
      <c r="E769" s="192"/>
      <c r="F769" s="193"/>
      <c r="G769" s="341"/>
      <c r="H769" s="194"/>
    </row>
    <row r="770" spans="1:8" x14ac:dyDescent="0.25">
      <c r="A770" s="339"/>
      <c r="B770" s="340"/>
      <c r="C770" s="190"/>
      <c r="D770" s="191"/>
      <c r="E770" s="192"/>
      <c r="F770" s="193"/>
      <c r="G770" s="341"/>
      <c r="H770" s="194"/>
    </row>
    <row r="771" spans="1:8" x14ac:dyDescent="0.25">
      <c r="A771" s="339"/>
      <c r="B771" s="340"/>
      <c r="C771" s="190"/>
      <c r="D771" s="191"/>
      <c r="E771" s="192"/>
      <c r="F771" s="193"/>
      <c r="G771" s="341"/>
      <c r="H771" s="194"/>
    </row>
    <row r="772" spans="1:8" x14ac:dyDescent="0.25">
      <c r="A772" s="339"/>
      <c r="B772" s="340"/>
      <c r="C772" s="190"/>
      <c r="D772" s="191"/>
      <c r="E772" s="192"/>
      <c r="F772" s="193"/>
      <c r="G772" s="341"/>
      <c r="H772" s="194"/>
    </row>
    <row r="773" spans="1:8" x14ac:dyDescent="0.25">
      <c r="A773" s="339"/>
      <c r="B773" s="340"/>
      <c r="C773" s="190"/>
      <c r="D773" s="191"/>
      <c r="E773" s="192"/>
      <c r="F773" s="193"/>
      <c r="G773" s="341"/>
      <c r="H773" s="194"/>
    </row>
    <row r="774" spans="1:8" x14ac:dyDescent="0.25">
      <c r="A774" s="339"/>
      <c r="B774" s="340"/>
      <c r="C774" s="190"/>
      <c r="D774" s="191"/>
      <c r="E774" s="192"/>
      <c r="F774" s="193"/>
      <c r="G774" s="341"/>
      <c r="H774" s="194"/>
    </row>
    <row r="775" spans="1:8" x14ac:dyDescent="0.25">
      <c r="A775" s="339"/>
      <c r="B775" s="340"/>
      <c r="C775" s="190"/>
      <c r="D775" s="191"/>
      <c r="E775" s="192"/>
      <c r="F775" s="193"/>
      <c r="G775" s="341"/>
      <c r="H775" s="194"/>
    </row>
    <row r="776" spans="1:8" x14ac:dyDescent="0.25">
      <c r="A776" s="339"/>
      <c r="B776" s="340"/>
      <c r="C776" s="190"/>
      <c r="D776" s="191"/>
      <c r="E776" s="192"/>
      <c r="F776" s="193"/>
      <c r="G776" s="341"/>
      <c r="H776" s="194"/>
    </row>
    <row r="777" spans="1:8" x14ac:dyDescent="0.25">
      <c r="A777" s="339"/>
      <c r="B777" s="340"/>
      <c r="C777" s="190"/>
      <c r="D777" s="191"/>
      <c r="E777" s="192"/>
      <c r="F777" s="193"/>
      <c r="G777" s="341"/>
      <c r="H777" s="194"/>
    </row>
    <row r="778" spans="1:8" x14ac:dyDescent="0.25">
      <c r="A778" s="339"/>
      <c r="B778" s="340"/>
      <c r="C778" s="190"/>
      <c r="D778" s="191"/>
      <c r="E778" s="192"/>
      <c r="F778" s="193"/>
      <c r="G778" s="341"/>
      <c r="H778" s="194"/>
    </row>
    <row r="779" spans="1:8" x14ac:dyDescent="0.25">
      <c r="A779" s="339"/>
      <c r="B779" s="340"/>
      <c r="C779" s="190"/>
      <c r="D779" s="191"/>
      <c r="E779" s="192"/>
      <c r="F779" s="193"/>
      <c r="G779" s="341"/>
      <c r="H779" s="194"/>
    </row>
    <row r="780" spans="1:8" x14ac:dyDescent="0.25">
      <c r="A780" s="339"/>
      <c r="B780" s="340"/>
      <c r="C780" s="190"/>
      <c r="D780" s="191"/>
      <c r="E780" s="192"/>
      <c r="F780" s="193"/>
      <c r="G780" s="341"/>
      <c r="H780" s="194"/>
    </row>
    <row r="781" spans="1:8" x14ac:dyDescent="0.25">
      <c r="A781" s="339"/>
      <c r="B781" s="340"/>
      <c r="C781" s="190"/>
      <c r="D781" s="191"/>
      <c r="E781" s="192"/>
      <c r="F781" s="193"/>
      <c r="G781" s="341"/>
      <c r="H781" s="194"/>
    </row>
    <row r="782" spans="1:8" x14ac:dyDescent="0.25">
      <c r="A782" s="339"/>
      <c r="B782" s="340"/>
      <c r="C782" s="190"/>
      <c r="D782" s="191"/>
      <c r="E782" s="192"/>
      <c r="F782" s="193"/>
      <c r="G782" s="341"/>
      <c r="H782" s="194"/>
    </row>
    <row r="783" spans="1:8" x14ac:dyDescent="0.25">
      <c r="A783" s="339"/>
      <c r="B783" s="340"/>
      <c r="C783" s="190"/>
      <c r="D783" s="191"/>
      <c r="E783" s="192"/>
      <c r="F783" s="193"/>
      <c r="G783" s="341"/>
      <c r="H783" s="194"/>
    </row>
    <row r="784" spans="1:8" x14ac:dyDescent="0.25">
      <c r="A784" s="339"/>
      <c r="B784" s="340"/>
      <c r="C784" s="190"/>
      <c r="D784" s="191"/>
      <c r="E784" s="192"/>
      <c r="F784" s="193"/>
      <c r="G784" s="341"/>
      <c r="H784" s="194"/>
    </row>
    <row r="785" spans="1:8" x14ac:dyDescent="0.25">
      <c r="A785" s="339"/>
      <c r="B785" s="340"/>
      <c r="C785" s="190"/>
      <c r="D785" s="191"/>
      <c r="E785" s="192"/>
      <c r="F785" s="193"/>
      <c r="G785" s="341"/>
      <c r="H785" s="194"/>
    </row>
    <row r="786" spans="1:8" x14ac:dyDescent="0.25">
      <c r="A786" s="339"/>
      <c r="B786" s="340"/>
      <c r="C786" s="190"/>
      <c r="D786" s="191"/>
      <c r="E786" s="192"/>
      <c r="F786" s="193"/>
      <c r="G786" s="341"/>
      <c r="H786" s="194"/>
    </row>
    <row r="787" spans="1:8" x14ac:dyDescent="0.25">
      <c r="A787" s="339"/>
      <c r="B787" s="340"/>
      <c r="C787" s="190"/>
      <c r="D787" s="191"/>
      <c r="E787" s="192"/>
      <c r="F787" s="193"/>
      <c r="G787" s="341"/>
      <c r="H787" s="194"/>
    </row>
    <row r="788" spans="1:8" x14ac:dyDescent="0.25">
      <c r="A788" s="339"/>
      <c r="B788" s="340"/>
      <c r="C788" s="190"/>
      <c r="D788" s="191"/>
      <c r="E788" s="192"/>
      <c r="F788" s="193"/>
      <c r="G788" s="341"/>
      <c r="H788" s="194"/>
    </row>
    <row r="789" spans="1:8" x14ac:dyDescent="0.25">
      <c r="A789" s="339"/>
      <c r="B789" s="340"/>
      <c r="C789" s="190"/>
      <c r="D789" s="191"/>
      <c r="E789" s="192"/>
      <c r="F789" s="193"/>
      <c r="G789" s="341"/>
      <c r="H789" s="194"/>
    </row>
    <row r="790" spans="1:8" x14ac:dyDescent="0.25">
      <c r="A790" s="339"/>
      <c r="B790" s="340"/>
      <c r="C790" s="190"/>
      <c r="D790" s="191"/>
      <c r="E790" s="192"/>
      <c r="F790" s="193"/>
      <c r="G790" s="341"/>
      <c r="H790" s="194"/>
    </row>
    <row r="791" spans="1:8" x14ac:dyDescent="0.25">
      <c r="A791" s="339"/>
      <c r="B791" s="340"/>
      <c r="C791" s="190"/>
      <c r="D791" s="191"/>
      <c r="E791" s="192"/>
      <c r="F791" s="193"/>
      <c r="G791" s="341"/>
      <c r="H791" s="194"/>
    </row>
    <row r="792" spans="1:8" x14ac:dyDescent="0.25">
      <c r="A792" s="339"/>
      <c r="B792" s="340"/>
      <c r="C792" s="190"/>
      <c r="D792" s="191"/>
      <c r="E792" s="192"/>
      <c r="F792" s="193"/>
      <c r="G792" s="341"/>
      <c r="H792" s="194"/>
    </row>
    <row r="793" spans="1:8" x14ac:dyDescent="0.25">
      <c r="A793" s="339"/>
      <c r="B793" s="340"/>
      <c r="C793" s="190"/>
      <c r="D793" s="191"/>
      <c r="E793" s="192"/>
      <c r="F793" s="193"/>
      <c r="G793" s="341"/>
      <c r="H793" s="194"/>
    </row>
    <row r="794" spans="1:8" x14ac:dyDescent="0.25">
      <c r="A794" s="339"/>
      <c r="B794" s="340"/>
      <c r="C794" s="190"/>
      <c r="D794" s="191"/>
      <c r="E794" s="192"/>
      <c r="F794" s="193"/>
      <c r="G794" s="341"/>
      <c r="H794" s="194"/>
    </row>
    <row r="795" spans="1:8" x14ac:dyDescent="0.25">
      <c r="A795" s="339"/>
      <c r="B795" s="340"/>
      <c r="C795" s="190"/>
      <c r="D795" s="191"/>
      <c r="E795" s="192"/>
      <c r="F795" s="193"/>
      <c r="G795" s="341"/>
      <c r="H795" s="194"/>
    </row>
    <row r="796" spans="1:8" x14ac:dyDescent="0.25">
      <c r="A796" s="339"/>
      <c r="B796" s="340"/>
      <c r="C796" s="190"/>
      <c r="D796" s="191"/>
      <c r="E796" s="192"/>
      <c r="F796" s="193"/>
      <c r="G796" s="341"/>
      <c r="H796" s="194"/>
    </row>
    <row r="797" spans="1:8" x14ac:dyDescent="0.25">
      <c r="A797" s="339"/>
      <c r="B797" s="340"/>
      <c r="C797" s="190"/>
      <c r="D797" s="191"/>
      <c r="E797" s="192"/>
      <c r="F797" s="193"/>
      <c r="G797" s="341"/>
      <c r="H797" s="194"/>
    </row>
    <row r="798" spans="1:8" x14ac:dyDescent="0.25">
      <c r="A798" s="339"/>
      <c r="B798" s="340"/>
      <c r="C798" s="190"/>
      <c r="D798" s="191"/>
      <c r="E798" s="192"/>
      <c r="F798" s="193"/>
      <c r="G798" s="341"/>
      <c r="H798" s="194"/>
    </row>
    <row r="799" spans="1:8" x14ac:dyDescent="0.25">
      <c r="A799" s="339"/>
      <c r="B799" s="340"/>
      <c r="C799" s="190"/>
      <c r="D799" s="191"/>
      <c r="E799" s="192"/>
      <c r="F799" s="193"/>
      <c r="G799" s="341"/>
      <c r="H799" s="194"/>
    </row>
  </sheetData>
  <mergeCells count="4">
    <mergeCell ref="A1:F1"/>
    <mergeCell ref="A2:F2"/>
    <mergeCell ref="A5:A6"/>
    <mergeCell ref="A367:A368"/>
  </mergeCells>
  <conditionalFormatting sqref="A502">
    <cfRule type="cellIs" dxfId="180" priority="58" operator="equal">
      <formula>"x"</formula>
    </cfRule>
  </conditionalFormatting>
  <conditionalFormatting sqref="D205:D207 D65:D87 D102 D89:D97 D63 D165:D182">
    <cfRule type="cellIs" dxfId="179" priority="57" operator="notEqual">
      <formula>#REF!</formula>
    </cfRule>
  </conditionalFormatting>
  <conditionalFormatting sqref="A502">
    <cfRule type="iconSet" priority="56">
      <iconSet iconSet="3Flags" showValue="0">
        <cfvo type="percent" val="0"/>
        <cfvo type="num" val="0"/>
        <cfvo type="num" val="1"/>
      </iconSet>
    </cfRule>
  </conditionalFormatting>
  <conditionalFormatting sqref="D221:D226 D228:D259 C225 C221 C247">
    <cfRule type="cellIs" dxfId="178" priority="55" operator="notEqual">
      <formula>#REF!</formula>
    </cfRule>
  </conditionalFormatting>
  <conditionalFormatting sqref="H346">
    <cfRule type="cellIs" dxfId="177" priority="54" operator="notEqual">
      <formula>A346</formula>
    </cfRule>
  </conditionalFormatting>
  <conditionalFormatting sqref="D212:D213 C213">
    <cfRule type="cellIs" dxfId="176" priority="53" operator="notEqual">
      <formula>#REF!</formula>
    </cfRule>
  </conditionalFormatting>
  <conditionalFormatting sqref="D215">
    <cfRule type="cellIs" dxfId="175" priority="52" operator="notEqual">
      <formula>#REF!</formula>
    </cfRule>
  </conditionalFormatting>
  <conditionalFormatting sqref="C204:D204">
    <cfRule type="cellIs" dxfId="174" priority="51" operator="notEqual">
      <formula>#REF!</formula>
    </cfRule>
  </conditionalFormatting>
  <conditionalFormatting sqref="D227">
    <cfRule type="cellIs" dxfId="173" priority="50" operator="notEqual">
      <formula>#REF!</formula>
    </cfRule>
  </conditionalFormatting>
  <conditionalFormatting sqref="D216:D217">
    <cfRule type="cellIs" dxfId="172" priority="49" operator="notEqual">
      <formula>#REF!</formula>
    </cfRule>
  </conditionalFormatting>
  <conditionalFormatting sqref="D218">
    <cfRule type="cellIs" dxfId="171" priority="48" operator="notEqual">
      <formula>#REF!</formula>
    </cfRule>
  </conditionalFormatting>
  <conditionalFormatting sqref="D238:D243">
    <cfRule type="cellIs" dxfId="170" priority="47" operator="notEqual">
      <formula>#REF!</formula>
    </cfRule>
  </conditionalFormatting>
  <conditionalFormatting sqref="D216:D217 D219:D221 C221">
    <cfRule type="cellIs" dxfId="169" priority="46" operator="notEqual">
      <formula>#REF!</formula>
    </cfRule>
  </conditionalFormatting>
  <conditionalFormatting sqref="D222:D225 C225">
    <cfRule type="cellIs" dxfId="168" priority="45" operator="notEqual">
      <formula>#REF!</formula>
    </cfRule>
  </conditionalFormatting>
  <conditionalFormatting sqref="D226">
    <cfRule type="cellIs" dxfId="167" priority="44" operator="notEqual">
      <formula>#REF!</formula>
    </cfRule>
  </conditionalFormatting>
  <conditionalFormatting sqref="D218">
    <cfRule type="cellIs" dxfId="166" priority="43" operator="notEqual">
      <formula>#REF!</formula>
    </cfRule>
  </conditionalFormatting>
  <conditionalFormatting sqref="D227">
    <cfRule type="cellIs" dxfId="165" priority="42" operator="notEqual">
      <formula>#REF!</formula>
    </cfRule>
  </conditionalFormatting>
  <conditionalFormatting sqref="D229">
    <cfRule type="cellIs" dxfId="164" priority="41" operator="notEqual">
      <formula>#REF!</formula>
    </cfRule>
  </conditionalFormatting>
  <conditionalFormatting sqref="D228">
    <cfRule type="cellIs" dxfId="163" priority="40" operator="notEqual">
      <formula>#REF!</formula>
    </cfRule>
  </conditionalFormatting>
  <conditionalFormatting sqref="D230:D231">
    <cfRule type="cellIs" dxfId="162" priority="39" operator="notEqual">
      <formula>#REF!</formula>
    </cfRule>
  </conditionalFormatting>
  <conditionalFormatting sqref="D229">
    <cfRule type="cellIs" dxfId="161" priority="38" operator="notEqual">
      <formula>#REF!</formula>
    </cfRule>
  </conditionalFormatting>
  <conditionalFormatting sqref="D88">
    <cfRule type="cellIs" dxfId="160" priority="37" operator="notEqual">
      <formula>#REF!</formula>
    </cfRule>
  </conditionalFormatting>
  <conditionalFormatting sqref="J204">
    <cfRule type="cellIs" dxfId="159" priority="36" operator="notEqual">
      <formula>#REF!</formula>
    </cfRule>
  </conditionalFormatting>
  <conditionalFormatting sqref="J197:J203">
    <cfRule type="cellIs" dxfId="158" priority="35" operator="notEqual">
      <formula>#REF!</formula>
    </cfRule>
  </conditionalFormatting>
  <conditionalFormatting sqref="J228:J229">
    <cfRule type="cellIs" dxfId="157" priority="34" operator="notEqual">
      <formula>#REF!</formula>
    </cfRule>
  </conditionalFormatting>
  <conditionalFormatting sqref="J228">
    <cfRule type="cellIs" dxfId="156" priority="33" operator="notEqual">
      <formula>#REF!</formula>
    </cfRule>
  </conditionalFormatting>
  <conditionalFormatting sqref="J229">
    <cfRule type="cellIs" dxfId="155" priority="32" operator="notEqual">
      <formula>#REF!</formula>
    </cfRule>
  </conditionalFormatting>
  <conditionalFormatting sqref="J228">
    <cfRule type="cellIs" dxfId="154" priority="31" operator="notEqual">
      <formula>#REF!</formula>
    </cfRule>
  </conditionalFormatting>
  <conditionalFormatting sqref="D216:D217 D219:D221 C221">
    <cfRule type="cellIs" dxfId="153" priority="30" operator="notEqual">
      <formula>#REF!</formula>
    </cfRule>
  </conditionalFormatting>
  <conditionalFormatting sqref="D222:D224">
    <cfRule type="cellIs" dxfId="152" priority="29" operator="notEqual">
      <formula>#REF!</formula>
    </cfRule>
  </conditionalFormatting>
  <conditionalFormatting sqref="D226">
    <cfRule type="cellIs" dxfId="151" priority="28" operator="notEqual">
      <formula>#REF!</formula>
    </cfRule>
  </conditionalFormatting>
  <conditionalFormatting sqref="D218">
    <cfRule type="cellIs" dxfId="150" priority="27" operator="notEqual">
      <formula>#REF!</formula>
    </cfRule>
  </conditionalFormatting>
  <conditionalFormatting sqref="D237">
    <cfRule type="cellIs" dxfId="149" priority="26" operator="notEqual">
      <formula>#REF!</formula>
    </cfRule>
  </conditionalFormatting>
  <conditionalFormatting sqref="D227">
    <cfRule type="cellIs" dxfId="148" priority="25" operator="notEqual">
      <formula>#REF!</formula>
    </cfRule>
  </conditionalFormatting>
  <conditionalFormatting sqref="D229">
    <cfRule type="cellIs" dxfId="147" priority="24" operator="notEqual">
      <formula>#REF!</formula>
    </cfRule>
  </conditionalFormatting>
  <conditionalFormatting sqref="D228">
    <cfRule type="cellIs" dxfId="146" priority="23" operator="notEqual">
      <formula>#REF!</formula>
    </cfRule>
  </conditionalFormatting>
  <conditionalFormatting sqref="D253">
    <cfRule type="cellIs" dxfId="145" priority="22" operator="notEqual">
      <formula>#REF!</formula>
    </cfRule>
  </conditionalFormatting>
  <conditionalFormatting sqref="D227:D228 D230:D232">
    <cfRule type="cellIs" dxfId="144" priority="21" operator="notEqual">
      <formula>#REF!</formula>
    </cfRule>
  </conditionalFormatting>
  <conditionalFormatting sqref="D233:D235">
    <cfRule type="cellIs" dxfId="143" priority="20" operator="notEqual">
      <formula>#REF!</formula>
    </cfRule>
  </conditionalFormatting>
  <conditionalFormatting sqref="D236">
    <cfRule type="cellIs" dxfId="142" priority="19" operator="notEqual">
      <formula>#REF!</formula>
    </cfRule>
  </conditionalFormatting>
  <conditionalFormatting sqref="D229">
    <cfRule type="cellIs" dxfId="141" priority="18" operator="notEqual">
      <formula>#REF!</formula>
    </cfRule>
  </conditionalFormatting>
  <conditionalFormatting sqref="D237">
    <cfRule type="cellIs" dxfId="140" priority="17" operator="notEqual">
      <formula>#REF!</formula>
    </cfRule>
  </conditionalFormatting>
  <conditionalFormatting sqref="D244">
    <cfRule type="cellIs" dxfId="139" priority="16" operator="notEqual">
      <formula>#REF!</formula>
    </cfRule>
  </conditionalFormatting>
  <conditionalFormatting sqref="D238:D243">
    <cfRule type="cellIs" dxfId="138" priority="15" operator="notEqual">
      <formula>#REF!</formula>
    </cfRule>
  </conditionalFormatting>
  <conditionalFormatting sqref="D245:D246">
    <cfRule type="cellIs" dxfId="137" priority="14" operator="notEqual">
      <formula>#REF!</formula>
    </cfRule>
  </conditionalFormatting>
  <conditionalFormatting sqref="D244">
    <cfRule type="cellIs" dxfId="136" priority="13" operator="notEqual">
      <formula>#REF!</formula>
    </cfRule>
  </conditionalFormatting>
  <conditionalFormatting sqref="J218">
    <cfRule type="cellIs" dxfId="135" priority="12" operator="notEqual">
      <formula>#REF!</formula>
    </cfRule>
  </conditionalFormatting>
  <conditionalFormatting sqref="J238:J244">
    <cfRule type="cellIs" dxfId="134" priority="11" operator="notEqual">
      <formula>#REF!</formula>
    </cfRule>
  </conditionalFormatting>
  <conditionalFormatting sqref="J238:J243">
    <cfRule type="cellIs" dxfId="133" priority="10" operator="notEqual">
      <formula>#REF!</formula>
    </cfRule>
  </conditionalFormatting>
  <conditionalFormatting sqref="J244">
    <cfRule type="cellIs" dxfId="132" priority="9" operator="notEqual">
      <formula>#REF!</formula>
    </cfRule>
  </conditionalFormatting>
  <conditionalFormatting sqref="J238:J243">
    <cfRule type="cellIs" dxfId="131" priority="8" operator="notEqual">
      <formula>#REF!</formula>
    </cfRule>
  </conditionalFormatting>
  <conditionalFormatting sqref="D208:D211">
    <cfRule type="cellIs" dxfId="130" priority="7" operator="notEqual">
      <formula>#REF!</formula>
    </cfRule>
  </conditionalFormatting>
  <conditionalFormatting sqref="D98:D101">
    <cfRule type="cellIs" dxfId="129" priority="6" operator="notEqual">
      <formula>#REF!</formula>
    </cfRule>
  </conditionalFormatting>
  <conditionalFormatting sqref="J219">
    <cfRule type="cellIs" dxfId="128" priority="5" operator="notEqual">
      <formula>#REF!</formula>
    </cfRule>
  </conditionalFormatting>
  <conditionalFormatting sqref="J218">
    <cfRule type="cellIs" dxfId="127" priority="4" operator="notEqual">
      <formula>#REF!</formula>
    </cfRule>
  </conditionalFormatting>
  <conditionalFormatting sqref="D259">
    <cfRule type="cellIs" dxfId="126" priority="3" operator="notEqual">
      <formula>#REF!</formula>
    </cfRule>
  </conditionalFormatting>
  <conditionalFormatting sqref="D183:D197 D203">
    <cfRule type="cellIs" dxfId="125" priority="2" operator="notEqual">
      <formula>#REF!</formula>
    </cfRule>
  </conditionalFormatting>
  <conditionalFormatting sqref="D198:D202">
    <cfRule type="cellIs" dxfId="124" priority="1" operator="notEqual">
      <formula>#REF!</formula>
    </cfRule>
  </conditionalFormatting>
  <pageMargins left="0.70866141732283472" right="0.70866141732283472" top="0.78740157480314965" bottom="0.78740157480314965" header="0.31496062992125984" footer="0.31496062992125984"/>
  <pageSetup paperSize="9" scale="78" fitToHeight="10" orientation="landscape" r:id="rId1"/>
  <legacy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N868"/>
  <sheetViews>
    <sheetView topLeftCell="B555" workbookViewId="0">
      <selection activeCell="I23" sqref="I23"/>
    </sheetView>
  </sheetViews>
  <sheetFormatPr defaultColWidth="9.140625" defaultRowHeight="15.75" x14ac:dyDescent="0.25"/>
  <cols>
    <col min="1" max="1" width="11.28515625" style="305" customWidth="1"/>
    <col min="2" max="2" width="93.42578125" style="471" customWidth="1"/>
    <col min="3" max="3" width="17.5703125" style="574" customWidth="1"/>
    <col min="4" max="4" width="16.7109375" style="574" customWidth="1"/>
    <col min="5" max="5" width="19" style="88" customWidth="1"/>
    <col min="6" max="6" width="17.140625" style="88" customWidth="1"/>
    <col min="7" max="7" width="20.28515625" style="470" customWidth="1"/>
    <col min="8" max="8" width="20.28515625" style="471" customWidth="1"/>
    <col min="9" max="9" width="25" style="471" customWidth="1"/>
    <col min="10" max="10" width="19.7109375" style="471" customWidth="1"/>
    <col min="11" max="11" width="19.42578125" style="471" customWidth="1"/>
    <col min="12" max="12" width="18.7109375" style="471" customWidth="1"/>
    <col min="13" max="13" width="13.5703125" style="471" bestFit="1" customWidth="1"/>
    <col min="14" max="14" width="15.7109375" style="471" bestFit="1" customWidth="1"/>
    <col min="15" max="15" width="11" style="471" bestFit="1" customWidth="1"/>
    <col min="16" max="16384" width="9.140625" style="471"/>
  </cols>
  <sheetData>
    <row r="1" spans="1:11" ht="22.5" x14ac:dyDescent="0.3">
      <c r="A1" s="689" t="s">
        <v>0</v>
      </c>
      <c r="B1" s="689"/>
      <c r="C1" s="689"/>
      <c r="D1" s="689"/>
      <c r="E1" s="689"/>
      <c r="F1" s="689"/>
    </row>
    <row r="2" spans="1:11" ht="22.5" x14ac:dyDescent="0.3">
      <c r="A2" s="689" t="s">
        <v>673</v>
      </c>
      <c r="B2" s="689"/>
      <c r="C2" s="689"/>
      <c r="D2" s="689"/>
      <c r="E2" s="689"/>
      <c r="F2" s="689"/>
    </row>
    <row r="3" spans="1:11" ht="22.5" x14ac:dyDescent="0.3">
      <c r="A3" s="648"/>
      <c r="B3" s="473"/>
      <c r="C3" s="474"/>
      <c r="D3" s="647"/>
      <c r="E3" s="647"/>
      <c r="F3" s="647"/>
    </row>
    <row r="4" spans="1:11" ht="23.25" thickBot="1" x14ac:dyDescent="0.35">
      <c r="A4" s="648"/>
      <c r="B4" s="663"/>
      <c r="C4" s="647" t="s">
        <v>674</v>
      </c>
      <c r="D4" s="477"/>
      <c r="E4" s="647"/>
      <c r="F4" s="478"/>
    </row>
    <row r="5" spans="1:11" ht="16.5" thickBot="1" x14ac:dyDescent="0.3">
      <c r="A5" s="690" t="s">
        <v>193</v>
      </c>
      <c r="B5" s="479"/>
      <c r="C5" s="480"/>
      <c r="D5" s="481"/>
      <c r="E5" s="482"/>
      <c r="F5" s="482"/>
      <c r="G5" s="483"/>
    </row>
    <row r="6" spans="1:11" ht="16.5" thickBot="1" x14ac:dyDescent="0.3">
      <c r="A6" s="691"/>
      <c r="B6" s="484" t="s">
        <v>2</v>
      </c>
      <c r="C6" s="485" t="s">
        <v>3</v>
      </c>
      <c r="D6" s="486" t="s">
        <v>4</v>
      </c>
      <c r="E6" s="487" t="s">
        <v>5</v>
      </c>
      <c r="F6" s="487" t="s">
        <v>6</v>
      </c>
      <c r="I6" s="488" t="s">
        <v>358</v>
      </c>
      <c r="J6" s="489" t="s">
        <v>355</v>
      </c>
      <c r="K6" s="490" t="s">
        <v>359</v>
      </c>
    </row>
    <row r="7" spans="1:11" x14ac:dyDescent="0.25">
      <c r="A7" s="491"/>
      <c r="B7" s="492" t="s">
        <v>8</v>
      </c>
      <c r="C7" s="493">
        <f>+SUM(C8:C11)</f>
        <v>5902.2090000000007</v>
      </c>
      <c r="D7" s="493">
        <f>+SUM(D8:D11)</f>
        <v>4791814</v>
      </c>
      <c r="E7" s="494"/>
      <c r="F7" s="495"/>
      <c r="G7" s="471"/>
      <c r="I7" s="496"/>
      <c r="J7" s="497"/>
      <c r="K7" s="498"/>
    </row>
    <row r="8" spans="1:11" x14ac:dyDescent="0.25">
      <c r="A8" s="491"/>
      <c r="B8" s="499" t="s">
        <v>9</v>
      </c>
      <c r="C8" s="500">
        <v>111.04</v>
      </c>
      <c r="D8" s="500">
        <f>55520+55520</f>
        <v>111040</v>
      </c>
      <c r="E8" s="501">
        <v>92241</v>
      </c>
      <c r="F8" s="495" t="s">
        <v>10</v>
      </c>
      <c r="G8" s="471"/>
      <c r="I8" s="496"/>
      <c r="J8" s="502">
        <v>111040</v>
      </c>
      <c r="K8" s="498"/>
    </row>
    <row r="9" spans="1:11" x14ac:dyDescent="0.25">
      <c r="A9" s="491"/>
      <c r="B9" s="499" t="s">
        <v>11</v>
      </c>
      <c r="C9" s="500">
        <v>2001.1780000000001</v>
      </c>
      <c r="D9" s="500">
        <f>108171+109620+15221+509931+48588+64784+72882+72882+108171+109620+12241+82424+126687+134825+165995+259136</f>
        <v>2001178</v>
      </c>
      <c r="E9" s="501">
        <v>92241</v>
      </c>
      <c r="F9" s="495" t="s">
        <v>10</v>
      </c>
      <c r="G9" s="503"/>
      <c r="I9" s="496"/>
      <c r="J9" s="502">
        <v>1742042</v>
      </c>
      <c r="K9" s="498"/>
    </row>
    <row r="10" spans="1:11" x14ac:dyDescent="0.25">
      <c r="A10" s="491"/>
      <c r="B10" s="499" t="s">
        <v>12</v>
      </c>
      <c r="C10" s="500">
        <v>1575.905</v>
      </c>
      <c r="D10" s="500">
        <f>345411+345411+215860+215860</f>
        <v>1122542</v>
      </c>
      <c r="E10" s="501">
        <v>92241</v>
      </c>
      <c r="F10" s="495" t="s">
        <v>10</v>
      </c>
      <c r="G10" s="471"/>
      <c r="H10" s="471">
        <f t="shared" ref="H10:H65" si="0">+C10*1000-D10</f>
        <v>453363</v>
      </c>
      <c r="I10" s="496"/>
      <c r="J10" s="502">
        <v>1122542</v>
      </c>
      <c r="K10" s="498"/>
    </row>
    <row r="11" spans="1:11" x14ac:dyDescent="0.25">
      <c r="A11" s="491"/>
      <c r="B11" s="499" t="s">
        <v>13</v>
      </c>
      <c r="C11" s="500">
        <v>2214.0859999999998</v>
      </c>
      <c r="D11" s="500">
        <f>778527+778527</f>
        <v>1557054</v>
      </c>
      <c r="E11" s="501">
        <v>92241</v>
      </c>
      <c r="F11" s="495" t="s">
        <v>10</v>
      </c>
      <c r="G11" s="471"/>
      <c r="H11" s="471">
        <f t="shared" si="0"/>
        <v>657032</v>
      </c>
      <c r="I11" s="496"/>
      <c r="J11" s="502">
        <f>+D11</f>
        <v>1557054</v>
      </c>
      <c r="K11" s="498"/>
    </row>
    <row r="12" spans="1:11" x14ac:dyDescent="0.25">
      <c r="A12" s="504"/>
      <c r="B12" s="499"/>
      <c r="C12" s="505"/>
      <c r="D12" s="505"/>
      <c r="E12" s="501"/>
      <c r="F12" s="495"/>
      <c r="G12" s="471"/>
      <c r="I12" s="496"/>
      <c r="J12" s="497"/>
      <c r="K12" s="498"/>
    </row>
    <row r="13" spans="1:11" x14ac:dyDescent="0.25">
      <c r="A13" s="504"/>
      <c r="B13" s="492" t="s">
        <v>14</v>
      </c>
      <c r="C13" s="506">
        <f>+SUM(C14:C30)</f>
        <v>497.90172000000001</v>
      </c>
      <c r="D13" s="506">
        <f>+SUM(D14:D30)</f>
        <v>497901.72</v>
      </c>
      <c r="E13" s="501"/>
      <c r="F13" s="495"/>
      <c r="G13" s="471"/>
      <c r="I13" s="496"/>
      <c r="J13" s="497"/>
      <c r="K13" s="498"/>
    </row>
    <row r="14" spans="1:11" x14ac:dyDescent="0.25">
      <c r="A14" s="504">
        <v>42117</v>
      </c>
      <c r="B14" s="499" t="s">
        <v>146</v>
      </c>
      <c r="C14" s="505">
        <v>33.306150000000002</v>
      </c>
      <c r="D14" s="505">
        <v>33306.15</v>
      </c>
      <c r="E14" s="501">
        <v>90001</v>
      </c>
      <c r="F14" s="495">
        <v>4113</v>
      </c>
      <c r="G14" s="471"/>
      <c r="I14" s="496"/>
      <c r="J14" s="497"/>
      <c r="K14" s="498"/>
    </row>
    <row r="15" spans="1:11" x14ac:dyDescent="0.25">
      <c r="A15" s="504">
        <v>42194</v>
      </c>
      <c r="B15" s="499" t="s">
        <v>279</v>
      </c>
      <c r="C15" s="505">
        <v>5.5467000000000004</v>
      </c>
      <c r="D15" s="505">
        <v>5546.7</v>
      </c>
      <c r="E15" s="501">
        <v>90001</v>
      </c>
      <c r="F15" s="495">
        <v>4113</v>
      </c>
      <c r="G15" s="471"/>
      <c r="I15" s="496"/>
      <c r="J15" s="497"/>
      <c r="K15" s="498"/>
    </row>
    <row r="16" spans="1:11" x14ac:dyDescent="0.25">
      <c r="A16" s="504">
        <v>42348</v>
      </c>
      <c r="B16" s="499" t="s">
        <v>633</v>
      </c>
      <c r="C16" s="505">
        <v>38.598590000000002</v>
      </c>
      <c r="D16" s="505">
        <v>38598.589999999997</v>
      </c>
      <c r="E16" s="501">
        <v>90001</v>
      </c>
      <c r="F16" s="495">
        <v>4113</v>
      </c>
      <c r="G16" s="471"/>
      <c r="I16" s="496"/>
      <c r="J16" s="497"/>
      <c r="K16" s="498"/>
    </row>
    <row r="17" spans="1:11" x14ac:dyDescent="0.25">
      <c r="A17" s="504">
        <v>42348</v>
      </c>
      <c r="B17" s="499" t="s">
        <v>634</v>
      </c>
      <c r="C17" s="505">
        <v>20.12847</v>
      </c>
      <c r="D17" s="505">
        <v>20128.47</v>
      </c>
      <c r="E17" s="501">
        <v>90001</v>
      </c>
      <c r="F17" s="495">
        <v>4113</v>
      </c>
      <c r="G17" s="471"/>
      <c r="I17" s="496"/>
      <c r="J17" s="497"/>
      <c r="K17" s="498"/>
    </row>
    <row r="18" spans="1:11" x14ac:dyDescent="0.25">
      <c r="A18" s="504">
        <v>42348</v>
      </c>
      <c r="B18" s="499" t="s">
        <v>646</v>
      </c>
      <c r="C18" s="505">
        <v>2.4167100000000001</v>
      </c>
      <c r="D18" s="505">
        <v>2416.71</v>
      </c>
      <c r="E18" s="501">
        <v>90001</v>
      </c>
      <c r="F18" s="495">
        <v>4113</v>
      </c>
      <c r="G18" s="471"/>
      <c r="I18" s="496"/>
      <c r="J18" s="497"/>
      <c r="K18" s="498"/>
    </row>
    <row r="19" spans="1:11" x14ac:dyDescent="0.25">
      <c r="A19" s="504">
        <v>42349</v>
      </c>
      <c r="B19" s="499" t="s">
        <v>647</v>
      </c>
      <c r="C19" s="505">
        <v>6.9417999999999997</v>
      </c>
      <c r="D19" s="505">
        <v>6941.8</v>
      </c>
      <c r="E19" s="501">
        <v>90001</v>
      </c>
      <c r="F19" s="495">
        <v>4113</v>
      </c>
      <c r="G19" s="471"/>
      <c r="I19" s="496"/>
      <c r="J19" s="497"/>
      <c r="K19" s="498"/>
    </row>
    <row r="20" spans="1:11" x14ac:dyDescent="0.25">
      <c r="A20" s="491">
        <v>42354</v>
      </c>
      <c r="B20" s="499" t="s">
        <v>648</v>
      </c>
      <c r="C20" s="505">
        <v>3.1039500000000002</v>
      </c>
      <c r="D20" s="505">
        <v>3103.95</v>
      </c>
      <c r="E20" s="501">
        <v>90001</v>
      </c>
      <c r="F20" s="495">
        <v>4113</v>
      </c>
      <c r="G20" s="471"/>
      <c r="I20" s="496"/>
      <c r="J20" s="497"/>
      <c r="K20" s="498"/>
    </row>
    <row r="21" spans="1:11" x14ac:dyDescent="0.25">
      <c r="A21" s="504">
        <v>42354</v>
      </c>
      <c r="B21" s="499" t="s">
        <v>649</v>
      </c>
      <c r="C21" s="505">
        <v>1.93167</v>
      </c>
      <c r="D21" s="505">
        <v>1931.67</v>
      </c>
      <c r="E21" s="501">
        <v>90001</v>
      </c>
      <c r="F21" s="495">
        <v>4113</v>
      </c>
      <c r="G21" s="471"/>
      <c r="I21" s="496"/>
      <c r="J21" s="497"/>
      <c r="K21" s="498"/>
    </row>
    <row r="22" spans="1:11" x14ac:dyDescent="0.25">
      <c r="A22" s="504">
        <v>42354</v>
      </c>
      <c r="B22" s="499" t="s">
        <v>650</v>
      </c>
      <c r="C22" s="505">
        <v>6.3040599999999998</v>
      </c>
      <c r="D22" s="505">
        <v>6304.06</v>
      </c>
      <c r="E22" s="501">
        <v>90001</v>
      </c>
      <c r="F22" s="495">
        <v>4113</v>
      </c>
      <c r="G22" s="471"/>
      <c r="I22" s="496"/>
      <c r="J22" s="497"/>
      <c r="K22" s="498"/>
    </row>
    <row r="23" spans="1:11" x14ac:dyDescent="0.25">
      <c r="A23" s="504">
        <v>42354</v>
      </c>
      <c r="B23" s="499" t="s">
        <v>651</v>
      </c>
      <c r="C23" s="505">
        <v>0.12103999999999999</v>
      </c>
      <c r="D23" s="505">
        <v>121.04</v>
      </c>
      <c r="E23" s="501">
        <v>90001</v>
      </c>
      <c r="F23" s="495">
        <v>4113</v>
      </c>
      <c r="G23" s="471"/>
      <c r="I23" s="496"/>
      <c r="J23" s="497"/>
      <c r="K23" s="498"/>
    </row>
    <row r="24" spans="1:11" x14ac:dyDescent="0.25">
      <c r="A24" s="504">
        <v>42354</v>
      </c>
      <c r="B24" s="499" t="s">
        <v>664</v>
      </c>
      <c r="C24" s="505">
        <v>0.60499999999999998</v>
      </c>
      <c r="D24" s="505">
        <v>605</v>
      </c>
      <c r="E24" s="501">
        <v>90001</v>
      </c>
      <c r="F24" s="495">
        <v>4113</v>
      </c>
      <c r="G24" s="471"/>
      <c r="I24" s="496"/>
      <c r="J24" s="497"/>
      <c r="K24" s="498"/>
    </row>
    <row r="25" spans="1:11" x14ac:dyDescent="0.25">
      <c r="A25" s="504">
        <v>42354</v>
      </c>
      <c r="B25" s="499" t="s">
        <v>652</v>
      </c>
      <c r="C25" s="505">
        <v>2.1863999999999999</v>
      </c>
      <c r="D25" s="505">
        <v>2186.4</v>
      </c>
      <c r="E25" s="501">
        <v>90001</v>
      </c>
      <c r="F25" s="495">
        <v>4113</v>
      </c>
      <c r="G25" s="471"/>
      <c r="I25" s="496"/>
      <c r="J25" s="497"/>
      <c r="K25" s="498"/>
    </row>
    <row r="26" spans="1:11" x14ac:dyDescent="0.25">
      <c r="A26" s="504"/>
      <c r="B26" s="499" t="s">
        <v>446</v>
      </c>
      <c r="C26" s="507">
        <v>0.17544999999999999</v>
      </c>
      <c r="D26" s="500">
        <v>175.45</v>
      </c>
      <c r="E26" s="501">
        <v>90001</v>
      </c>
      <c r="F26" s="495">
        <v>4113</v>
      </c>
      <c r="G26" s="471"/>
      <c r="I26" s="496"/>
      <c r="J26" s="497">
        <v>175.45</v>
      </c>
      <c r="K26" s="498"/>
    </row>
    <row r="27" spans="1:11" x14ac:dyDescent="0.25">
      <c r="A27" s="504"/>
      <c r="B27" s="499" t="s">
        <v>617</v>
      </c>
      <c r="C27" s="507">
        <v>250.50664</v>
      </c>
      <c r="D27" s="500">
        <v>250506.64</v>
      </c>
      <c r="E27" s="501">
        <v>90001</v>
      </c>
      <c r="F27" s="495">
        <v>4113</v>
      </c>
      <c r="G27" s="471"/>
      <c r="I27" s="496"/>
      <c r="J27" s="497">
        <v>250506.64</v>
      </c>
      <c r="K27" s="498"/>
    </row>
    <row r="28" spans="1:11" x14ac:dyDescent="0.25">
      <c r="A28" s="504"/>
      <c r="B28" s="499" t="s">
        <v>445</v>
      </c>
      <c r="C28" s="507">
        <v>1.8742399999999999</v>
      </c>
      <c r="D28" s="500">
        <v>1874.24</v>
      </c>
      <c r="E28" s="501">
        <v>90001</v>
      </c>
      <c r="F28" s="495">
        <v>4113</v>
      </c>
      <c r="G28" s="471"/>
      <c r="I28" s="496"/>
      <c r="J28" s="497">
        <v>1874.24</v>
      </c>
      <c r="K28" s="498"/>
    </row>
    <row r="29" spans="1:11" x14ac:dyDescent="0.25">
      <c r="A29" s="504"/>
      <c r="B29" s="499" t="s">
        <v>643</v>
      </c>
      <c r="C29" s="507">
        <v>31.965800000000002</v>
      </c>
      <c r="D29" s="500">
        <v>31965.8</v>
      </c>
      <c r="E29" s="501">
        <v>90001</v>
      </c>
      <c r="F29" s="495">
        <v>4113</v>
      </c>
      <c r="G29" s="471"/>
      <c r="I29" s="496"/>
      <c r="J29" s="497">
        <v>31965.8</v>
      </c>
      <c r="K29" s="498"/>
    </row>
    <row r="30" spans="1:11" x14ac:dyDescent="0.25">
      <c r="A30" s="504"/>
      <c r="B30" s="499" t="s">
        <v>591</v>
      </c>
      <c r="C30" s="507">
        <v>92.189049999999995</v>
      </c>
      <c r="D30" s="500">
        <v>92189.05</v>
      </c>
      <c r="E30" s="501">
        <v>90001</v>
      </c>
      <c r="F30" s="495">
        <v>4113</v>
      </c>
      <c r="G30" s="471"/>
      <c r="I30" s="496"/>
      <c r="J30" s="497">
        <v>92189.05</v>
      </c>
      <c r="K30" s="498"/>
    </row>
    <row r="31" spans="1:11" x14ac:dyDescent="0.25">
      <c r="A31" s="504"/>
      <c r="B31" s="499"/>
      <c r="C31" s="505"/>
      <c r="D31" s="505"/>
      <c r="E31" s="501"/>
      <c r="F31" s="495"/>
      <c r="G31" s="471"/>
      <c r="I31" s="496"/>
      <c r="J31" s="497"/>
      <c r="K31" s="498"/>
    </row>
    <row r="32" spans="1:11" x14ac:dyDescent="0.25">
      <c r="A32" s="504"/>
      <c r="B32" s="492" t="s">
        <v>15</v>
      </c>
      <c r="C32" s="506">
        <f>+C33+C34</f>
        <v>96.305640000000011</v>
      </c>
      <c r="D32" s="506">
        <f>+D33+D34</f>
        <v>96305.639999999985</v>
      </c>
      <c r="E32" s="501"/>
      <c r="F32" s="495"/>
      <c r="G32" s="471"/>
      <c r="I32" s="496"/>
      <c r="J32" s="497"/>
      <c r="K32" s="498"/>
    </row>
    <row r="33" spans="1:14" x14ac:dyDescent="0.25">
      <c r="A33" s="504"/>
      <c r="B33" s="499" t="s">
        <v>395</v>
      </c>
      <c r="C33" s="500">
        <v>4.5358200000000002</v>
      </c>
      <c r="D33" s="500">
        <v>4535.82</v>
      </c>
      <c r="E33" s="501">
        <v>89450</v>
      </c>
      <c r="F33" s="495">
        <v>4113</v>
      </c>
      <c r="G33" s="471"/>
      <c r="I33" s="496"/>
      <c r="J33" s="509">
        <v>4535.82</v>
      </c>
      <c r="K33" s="498"/>
    </row>
    <row r="34" spans="1:14" x14ac:dyDescent="0.25">
      <c r="A34" s="504"/>
      <c r="B34" s="499" t="s">
        <v>394</v>
      </c>
      <c r="C34" s="500">
        <f>2.35585+62.58977+26.8242</f>
        <v>91.76982000000001</v>
      </c>
      <c r="D34" s="500">
        <f>2355.85+62589.77+26824.2</f>
        <v>91769.819999999992</v>
      </c>
      <c r="E34" s="501">
        <v>89023</v>
      </c>
      <c r="F34" s="495">
        <v>4113</v>
      </c>
      <c r="G34" s="503"/>
      <c r="I34" s="496"/>
      <c r="J34" s="497">
        <f>2355.85+89413.97</f>
        <v>91769.82</v>
      </c>
      <c r="K34" s="498"/>
    </row>
    <row r="35" spans="1:14" x14ac:dyDescent="0.25">
      <c r="A35" s="504"/>
      <c r="B35" s="510"/>
      <c r="C35" s="505"/>
      <c r="D35" s="511"/>
      <c r="E35" s="512"/>
      <c r="F35" s="501"/>
      <c r="G35" s="471"/>
      <c r="I35" s="496"/>
      <c r="J35" s="497"/>
      <c r="K35" s="498"/>
    </row>
    <row r="36" spans="1:14" s="275" customFormat="1" x14ac:dyDescent="0.25">
      <c r="A36" s="504"/>
      <c r="B36" s="492" t="s">
        <v>17</v>
      </c>
      <c r="C36" s="506">
        <f>SUM(C37:C66)</f>
        <v>25630.384999999998</v>
      </c>
      <c r="D36" s="506">
        <f>SUM(D37:D66)</f>
        <v>22524632</v>
      </c>
      <c r="E36" s="513"/>
      <c r="F36" s="514"/>
      <c r="G36" s="471">
        <f>25630.386-C36</f>
        <v>1.0000000002037268E-3</v>
      </c>
      <c r="H36" s="471">
        <f>3848+393.2+896.27+20504.19</f>
        <v>25641.659999999996</v>
      </c>
      <c r="I36" s="496"/>
      <c r="J36" s="515"/>
      <c r="K36" s="516"/>
      <c r="L36" s="471"/>
      <c r="M36" s="471"/>
      <c r="N36" s="471"/>
    </row>
    <row r="37" spans="1:14" x14ac:dyDescent="0.25">
      <c r="A37" s="491">
        <v>42053</v>
      </c>
      <c r="B37" s="517" t="s">
        <v>37</v>
      </c>
      <c r="C37" s="518">
        <v>3744</v>
      </c>
      <c r="D37" s="505">
        <v>3744000</v>
      </c>
      <c r="E37" s="519">
        <v>13010</v>
      </c>
      <c r="F37" s="495">
        <v>4116</v>
      </c>
      <c r="G37" s="471"/>
      <c r="H37" s="471">
        <f>+C36-H36</f>
        <v>-11.274999999997817</v>
      </c>
      <c r="I37" s="496"/>
      <c r="J37" s="497"/>
      <c r="K37" s="498"/>
    </row>
    <row r="38" spans="1:14" x14ac:dyDescent="0.25">
      <c r="A38" s="504">
        <v>42123</v>
      </c>
      <c r="B38" s="517" t="s">
        <v>37</v>
      </c>
      <c r="C38" s="505">
        <v>8</v>
      </c>
      <c r="D38" s="505">
        <v>8000</v>
      </c>
      <c r="E38" s="519">
        <v>13010</v>
      </c>
      <c r="F38" s="495">
        <v>4116</v>
      </c>
      <c r="G38" s="471"/>
      <c r="H38" s="471">
        <f t="shared" si="0"/>
        <v>0</v>
      </c>
      <c r="I38" s="496"/>
      <c r="J38" s="497"/>
      <c r="K38" s="498"/>
    </row>
    <row r="39" spans="1:14" x14ac:dyDescent="0.25">
      <c r="A39" s="504">
        <v>42152</v>
      </c>
      <c r="B39" s="517" t="s">
        <v>37</v>
      </c>
      <c r="C39" s="505">
        <v>12</v>
      </c>
      <c r="D39" s="505">
        <v>12000</v>
      </c>
      <c r="E39" s="519">
        <v>13010</v>
      </c>
      <c r="F39" s="495">
        <v>4116</v>
      </c>
      <c r="G39" s="471"/>
      <c r="H39" s="471">
        <f t="shared" si="0"/>
        <v>0</v>
      </c>
      <c r="I39" s="496"/>
      <c r="J39" s="497"/>
      <c r="K39" s="498"/>
    </row>
    <row r="40" spans="1:14" s="275" customFormat="1" x14ac:dyDescent="0.25">
      <c r="A40" s="504">
        <v>42184</v>
      </c>
      <c r="B40" s="517" t="s">
        <v>37</v>
      </c>
      <c r="C40" s="505">
        <v>44</v>
      </c>
      <c r="D40" s="505">
        <v>44000</v>
      </c>
      <c r="E40" s="519">
        <v>13010</v>
      </c>
      <c r="F40" s="495">
        <v>4116</v>
      </c>
      <c r="G40" s="471"/>
      <c r="H40" s="471">
        <f t="shared" si="0"/>
        <v>0</v>
      </c>
      <c r="I40" s="496"/>
      <c r="J40" s="515"/>
      <c r="K40" s="516"/>
      <c r="L40" s="471"/>
      <c r="M40" s="471"/>
      <c r="N40" s="471"/>
    </row>
    <row r="41" spans="1:14" x14ac:dyDescent="0.25">
      <c r="A41" s="491">
        <v>42201</v>
      </c>
      <c r="B41" s="517" t="s">
        <v>37</v>
      </c>
      <c r="C41" s="505">
        <v>32</v>
      </c>
      <c r="D41" s="505">
        <v>32000</v>
      </c>
      <c r="E41" s="519">
        <v>13010</v>
      </c>
      <c r="F41" s="495">
        <v>4116</v>
      </c>
      <c r="G41" s="471"/>
      <c r="H41" s="471">
        <f t="shared" si="0"/>
        <v>0</v>
      </c>
      <c r="I41" s="496"/>
      <c r="J41" s="497"/>
      <c r="K41" s="498"/>
    </row>
    <row r="42" spans="1:14" x14ac:dyDescent="0.25">
      <c r="A42" s="491">
        <v>42283</v>
      </c>
      <c r="B42" s="517" t="s">
        <v>424</v>
      </c>
      <c r="C42" s="505">
        <v>-28</v>
      </c>
      <c r="D42" s="505">
        <v>-28000</v>
      </c>
      <c r="E42" s="519">
        <v>13010</v>
      </c>
      <c r="F42" s="495">
        <v>4116</v>
      </c>
      <c r="G42" s="471"/>
      <c r="H42" s="471">
        <f t="shared" si="0"/>
        <v>0</v>
      </c>
      <c r="I42" s="496"/>
      <c r="J42" s="497"/>
      <c r="K42" s="498"/>
    </row>
    <row r="43" spans="1:14" x14ac:dyDescent="0.25">
      <c r="A43" s="491">
        <v>42310</v>
      </c>
      <c r="B43" s="517" t="s">
        <v>37</v>
      </c>
      <c r="C43" s="505">
        <v>20</v>
      </c>
      <c r="D43" s="505">
        <v>20000</v>
      </c>
      <c r="E43" s="519">
        <v>13010</v>
      </c>
      <c r="F43" s="495">
        <v>4116</v>
      </c>
      <c r="G43" s="471"/>
      <c r="H43" s="471">
        <f t="shared" si="0"/>
        <v>0</v>
      </c>
      <c r="I43" s="496"/>
      <c r="J43" s="497"/>
      <c r="K43" s="498"/>
    </row>
    <row r="44" spans="1:14" x14ac:dyDescent="0.25">
      <c r="A44" s="491">
        <v>42319</v>
      </c>
      <c r="B44" s="517" t="s">
        <v>37</v>
      </c>
      <c r="C44" s="505">
        <v>16</v>
      </c>
      <c r="D44" s="505">
        <v>16000</v>
      </c>
      <c r="E44" s="519">
        <v>13010</v>
      </c>
      <c r="F44" s="495">
        <v>4116</v>
      </c>
      <c r="G44" s="471"/>
      <c r="H44" s="471">
        <f t="shared" si="0"/>
        <v>0</v>
      </c>
      <c r="I44" s="496"/>
      <c r="J44" s="497"/>
      <c r="K44" s="498"/>
    </row>
    <row r="45" spans="1:14" x14ac:dyDescent="0.25">
      <c r="A45" s="491"/>
      <c r="B45" s="517" t="s">
        <v>411</v>
      </c>
      <c r="C45" s="500">
        <v>21.2</v>
      </c>
      <c r="D45" s="500">
        <v>20904</v>
      </c>
      <c r="E45" s="519">
        <v>13013</v>
      </c>
      <c r="F45" s="495">
        <v>4116</v>
      </c>
      <c r="G45" s="503" t="s">
        <v>358</v>
      </c>
      <c r="H45" s="471">
        <f t="shared" si="0"/>
        <v>296</v>
      </c>
      <c r="I45" s="496">
        <f>+D45</f>
        <v>20904</v>
      </c>
      <c r="J45" s="497"/>
      <c r="K45" s="498"/>
    </row>
    <row r="46" spans="1:14" x14ac:dyDescent="0.25">
      <c r="A46" s="491"/>
      <c r="B46" s="517" t="s">
        <v>568</v>
      </c>
      <c r="C46" s="500">
        <v>14</v>
      </c>
      <c r="D46" s="500">
        <v>14000</v>
      </c>
      <c r="E46" s="519">
        <v>13013</v>
      </c>
      <c r="F46" s="495">
        <v>4116</v>
      </c>
      <c r="G46" s="503" t="s">
        <v>358</v>
      </c>
      <c r="H46" s="471">
        <f t="shared" si="0"/>
        <v>0</v>
      </c>
      <c r="I46" s="496">
        <f t="shared" ref="I46:I66" si="1">+D46</f>
        <v>14000</v>
      </c>
      <c r="J46" s="497"/>
      <c r="K46" s="498"/>
    </row>
    <row r="47" spans="1:14" x14ac:dyDescent="0.25">
      <c r="A47" s="491"/>
      <c r="B47" s="517" t="s">
        <v>682</v>
      </c>
      <c r="C47" s="500">
        <f>278</f>
        <v>278</v>
      </c>
      <c r="D47" s="500"/>
      <c r="E47" s="519">
        <v>13013</v>
      </c>
      <c r="F47" s="495">
        <v>4116</v>
      </c>
      <c r="G47" s="503"/>
      <c r="H47" s="471">
        <f>105614+18638</f>
        <v>124252</v>
      </c>
      <c r="I47" s="496"/>
      <c r="J47" s="497"/>
      <c r="K47" s="498"/>
    </row>
    <row r="48" spans="1:14" x14ac:dyDescent="0.25">
      <c r="A48" s="491"/>
      <c r="B48" s="517" t="s">
        <v>683</v>
      </c>
      <c r="C48" s="500">
        <v>28</v>
      </c>
      <c r="D48" s="500"/>
      <c r="E48" s="519">
        <v>13013</v>
      </c>
      <c r="F48" s="495">
        <v>4116</v>
      </c>
      <c r="G48" s="503"/>
      <c r="H48" s="471">
        <f>163538.3+28859.7</f>
        <v>192398</v>
      </c>
      <c r="I48" s="496"/>
      <c r="J48" s="497"/>
      <c r="K48" s="498"/>
    </row>
    <row r="49" spans="1:14" x14ac:dyDescent="0.25">
      <c r="A49" s="491"/>
      <c r="B49" s="517" t="s">
        <v>684</v>
      </c>
      <c r="C49" s="500">
        <v>24</v>
      </c>
      <c r="D49" s="500"/>
      <c r="E49" s="519">
        <v>13013</v>
      </c>
      <c r="F49" s="495">
        <v>4116</v>
      </c>
      <c r="G49" s="503"/>
      <c r="H49" s="471">
        <f>270300+47700</f>
        <v>318000</v>
      </c>
      <c r="I49" s="496"/>
      <c r="J49" s="497"/>
      <c r="K49" s="498"/>
    </row>
    <row r="50" spans="1:14" x14ac:dyDescent="0.25">
      <c r="A50" s="491"/>
      <c r="B50" s="517" t="s">
        <v>97</v>
      </c>
      <c r="C50" s="500">
        <v>301</v>
      </c>
      <c r="D50" s="500">
        <v>300369</v>
      </c>
      <c r="E50" s="519">
        <v>13101</v>
      </c>
      <c r="F50" s="495">
        <v>4116</v>
      </c>
      <c r="G50" s="503" t="s">
        <v>358</v>
      </c>
      <c r="H50" s="471">
        <f>39600+224400</f>
        <v>264000</v>
      </c>
      <c r="I50" s="496">
        <f t="shared" si="1"/>
        <v>300369</v>
      </c>
      <c r="J50" s="497"/>
      <c r="K50" s="498"/>
    </row>
    <row r="51" spans="1:14" x14ac:dyDescent="0.25">
      <c r="A51" s="491"/>
      <c r="B51" s="517" t="s">
        <v>65</v>
      </c>
      <c r="C51" s="500">
        <v>89</v>
      </c>
      <c r="D51" s="500">
        <v>75701</v>
      </c>
      <c r="E51" s="519">
        <v>13101</v>
      </c>
      <c r="F51" s="495" t="s">
        <v>18</v>
      </c>
      <c r="G51" s="503" t="s">
        <v>358</v>
      </c>
      <c r="H51" s="471">
        <f>1717500+9735500</f>
        <v>11453000</v>
      </c>
      <c r="I51" s="496">
        <f t="shared" si="1"/>
        <v>75701</v>
      </c>
      <c r="J51" s="497"/>
      <c r="K51" s="498"/>
    </row>
    <row r="52" spans="1:14" x14ac:dyDescent="0.25">
      <c r="A52" s="491"/>
      <c r="B52" s="517" t="s">
        <v>98</v>
      </c>
      <c r="C52" s="500">
        <v>484.274</v>
      </c>
      <c r="D52" s="500">
        <v>484274</v>
      </c>
      <c r="E52" s="520">
        <v>13101</v>
      </c>
      <c r="F52" s="521">
        <v>4116</v>
      </c>
      <c r="G52" s="503" t="s">
        <v>358</v>
      </c>
      <c r="H52" s="471">
        <f>27522+155957</f>
        <v>183479</v>
      </c>
      <c r="I52" s="496">
        <f t="shared" si="1"/>
        <v>484274</v>
      </c>
      <c r="J52" s="497"/>
      <c r="K52" s="498"/>
    </row>
    <row r="53" spans="1:14" s="275" customFormat="1" x14ac:dyDescent="0.25">
      <c r="A53" s="504"/>
      <c r="B53" s="517" t="s">
        <v>99</v>
      </c>
      <c r="C53" s="500">
        <v>22</v>
      </c>
      <c r="D53" s="500">
        <v>22000</v>
      </c>
      <c r="E53" s="520">
        <v>13101</v>
      </c>
      <c r="F53" s="521">
        <v>4116</v>
      </c>
      <c r="G53" s="503" t="s">
        <v>358</v>
      </c>
      <c r="H53" s="471">
        <f>806400+4569600</f>
        <v>5376000</v>
      </c>
      <c r="I53" s="496">
        <f t="shared" si="1"/>
        <v>22000</v>
      </c>
      <c r="J53" s="515"/>
      <c r="K53" s="516"/>
      <c r="L53" s="471"/>
      <c r="M53" s="471"/>
      <c r="N53" s="471"/>
    </row>
    <row r="54" spans="1:14" s="275" customFormat="1" x14ac:dyDescent="0.25">
      <c r="A54" s="504"/>
      <c r="B54" s="517" t="s">
        <v>19</v>
      </c>
      <c r="C54" s="505">
        <v>124.252</v>
      </c>
      <c r="D54" s="500">
        <v>158123</v>
      </c>
      <c r="E54" s="519">
        <v>13234</v>
      </c>
      <c r="F54" s="495">
        <v>4116</v>
      </c>
      <c r="G54" s="503" t="s">
        <v>358</v>
      </c>
      <c r="H54" s="471">
        <f>25758+145965</f>
        <v>171723</v>
      </c>
      <c r="I54" s="496">
        <f t="shared" si="1"/>
        <v>158123</v>
      </c>
      <c r="J54" s="515"/>
      <c r="K54" s="516"/>
      <c r="L54" s="471"/>
      <c r="M54" s="471"/>
      <c r="N54" s="471"/>
    </row>
    <row r="55" spans="1:14" s="275" customFormat="1" x14ac:dyDescent="0.25">
      <c r="A55" s="504"/>
      <c r="B55" s="517" t="s">
        <v>20</v>
      </c>
      <c r="C55" s="500">
        <v>318</v>
      </c>
      <c r="D55" s="500">
        <v>290680</v>
      </c>
      <c r="E55" s="519">
        <v>13234</v>
      </c>
      <c r="F55" s="495">
        <v>4116</v>
      </c>
      <c r="G55" s="503" t="s">
        <v>358</v>
      </c>
      <c r="H55" s="471">
        <f>1113+6307</f>
        <v>7420</v>
      </c>
      <c r="I55" s="496">
        <f t="shared" si="1"/>
        <v>290680</v>
      </c>
      <c r="J55" s="515"/>
      <c r="K55" s="516"/>
      <c r="L55" s="471"/>
      <c r="M55" s="471"/>
      <c r="N55" s="471"/>
    </row>
    <row r="56" spans="1:14" s="275" customFormat="1" x14ac:dyDescent="0.25">
      <c r="A56" s="504"/>
      <c r="B56" s="517" t="s">
        <v>23</v>
      </c>
      <c r="C56" s="500">
        <v>176</v>
      </c>
      <c r="D56" s="500">
        <v>175663</v>
      </c>
      <c r="E56" s="519">
        <v>13234</v>
      </c>
      <c r="F56" s="495">
        <v>4116</v>
      </c>
      <c r="G56" s="503" t="s">
        <v>358</v>
      </c>
      <c r="H56" s="471">
        <f>21619.95+122513.05</f>
        <v>144133</v>
      </c>
      <c r="I56" s="496">
        <f t="shared" si="1"/>
        <v>175663</v>
      </c>
      <c r="J56" s="515"/>
      <c r="K56" s="516"/>
      <c r="L56" s="471"/>
      <c r="M56" s="471"/>
      <c r="N56" s="471"/>
    </row>
    <row r="57" spans="1:14" s="275" customFormat="1" x14ac:dyDescent="0.25">
      <c r="A57" s="504"/>
      <c r="B57" s="517" t="s">
        <v>22</v>
      </c>
      <c r="C57" s="500">
        <v>264</v>
      </c>
      <c r="D57" s="500">
        <v>260064</v>
      </c>
      <c r="E57" s="519">
        <v>13234</v>
      </c>
      <c r="F57" s="495">
        <v>4116</v>
      </c>
      <c r="G57" s="503" t="s">
        <v>358</v>
      </c>
      <c r="H57" s="471">
        <f>255750.9+1449255.1</f>
        <v>1705006</v>
      </c>
      <c r="I57" s="496">
        <f t="shared" si="1"/>
        <v>260064</v>
      </c>
      <c r="J57" s="515"/>
      <c r="K57" s="516"/>
      <c r="L57" s="471"/>
      <c r="M57" s="471"/>
      <c r="N57" s="471"/>
    </row>
    <row r="58" spans="1:14" s="275" customFormat="1" x14ac:dyDescent="0.25">
      <c r="A58" s="504"/>
      <c r="B58" s="517" t="s">
        <v>67</v>
      </c>
      <c r="C58" s="500">
        <v>171.72300000000001</v>
      </c>
      <c r="D58" s="500">
        <f>86069+44000+41655</f>
        <v>171724</v>
      </c>
      <c r="E58" s="519">
        <v>13234</v>
      </c>
      <c r="F58" s="495">
        <v>4116</v>
      </c>
      <c r="G58" s="503" t="s">
        <v>358</v>
      </c>
      <c r="H58" s="471">
        <f>26500+149500</f>
        <v>176000</v>
      </c>
      <c r="I58" s="496">
        <f t="shared" si="1"/>
        <v>171724</v>
      </c>
      <c r="J58" s="515"/>
      <c r="K58" s="516"/>
      <c r="L58" s="471"/>
      <c r="M58" s="471"/>
      <c r="N58" s="471"/>
    </row>
    <row r="59" spans="1:14" s="275" customFormat="1" x14ac:dyDescent="0.25">
      <c r="A59" s="504"/>
      <c r="B59" s="517" t="s">
        <v>25</v>
      </c>
      <c r="C59" s="500">
        <v>1705.0039999999999</v>
      </c>
      <c r="D59" s="500">
        <v>1189532</v>
      </c>
      <c r="E59" s="519">
        <v>13234</v>
      </c>
      <c r="F59" s="495">
        <v>4116</v>
      </c>
      <c r="G59" s="503" t="s">
        <v>358</v>
      </c>
      <c r="H59" s="471"/>
      <c r="I59" s="496">
        <f t="shared" si="1"/>
        <v>1189532</v>
      </c>
      <c r="J59" s="515"/>
      <c r="K59" s="516"/>
      <c r="L59" s="471"/>
      <c r="M59" s="471"/>
      <c r="N59" s="471"/>
    </row>
    <row r="60" spans="1:14" s="275" customFormat="1" x14ac:dyDescent="0.25">
      <c r="A60" s="504"/>
      <c r="B60" s="517" t="s">
        <v>26</v>
      </c>
      <c r="C60" s="500">
        <v>405.51</v>
      </c>
      <c r="D60" s="500">
        <v>405500</v>
      </c>
      <c r="E60" s="519">
        <v>13234</v>
      </c>
      <c r="F60" s="495">
        <v>4116</v>
      </c>
      <c r="G60" s="503" t="s">
        <v>358</v>
      </c>
      <c r="H60" s="471">
        <f t="shared" si="0"/>
        <v>10</v>
      </c>
      <c r="I60" s="496">
        <f t="shared" si="1"/>
        <v>405500</v>
      </c>
      <c r="J60" s="515"/>
      <c r="K60" s="516"/>
      <c r="L60" s="471"/>
      <c r="M60" s="471"/>
      <c r="N60" s="471"/>
    </row>
    <row r="61" spans="1:14" x14ac:dyDescent="0.25">
      <c r="A61" s="491"/>
      <c r="B61" s="517" t="s">
        <v>28</v>
      </c>
      <c r="C61" s="500">
        <v>5376</v>
      </c>
      <c r="D61" s="500">
        <v>4418809</v>
      </c>
      <c r="E61" s="520">
        <v>13234</v>
      </c>
      <c r="F61" s="495">
        <v>4116</v>
      </c>
      <c r="G61" s="503" t="s">
        <v>358</v>
      </c>
      <c r="H61" s="471">
        <f t="shared" si="0"/>
        <v>957191</v>
      </c>
      <c r="I61" s="496">
        <f t="shared" si="1"/>
        <v>4418809</v>
      </c>
      <c r="J61" s="497"/>
      <c r="K61" s="498"/>
    </row>
    <row r="62" spans="1:14" s="275" customFormat="1" x14ac:dyDescent="0.25">
      <c r="A62" s="504"/>
      <c r="B62" s="517" t="s">
        <v>24</v>
      </c>
      <c r="C62" s="500">
        <v>11453</v>
      </c>
      <c r="D62" s="500">
        <v>10137859</v>
      </c>
      <c r="E62" s="519">
        <v>13234</v>
      </c>
      <c r="F62" s="495">
        <v>4116</v>
      </c>
      <c r="G62" s="503" t="s">
        <v>358</v>
      </c>
      <c r="H62" s="471">
        <f t="shared" si="0"/>
        <v>1315141</v>
      </c>
      <c r="I62" s="496">
        <f t="shared" si="1"/>
        <v>10137859</v>
      </c>
      <c r="J62" s="515"/>
      <c r="K62" s="516"/>
      <c r="L62" s="471"/>
      <c r="M62" s="471"/>
      <c r="N62" s="471"/>
    </row>
    <row r="63" spans="1:14" x14ac:dyDescent="0.25">
      <c r="A63" s="491"/>
      <c r="B63" s="517" t="s">
        <v>66</v>
      </c>
      <c r="C63" s="500">
        <v>144.13300000000001</v>
      </c>
      <c r="D63" s="500">
        <v>144133</v>
      </c>
      <c r="E63" s="520">
        <v>13234</v>
      </c>
      <c r="F63" s="521">
        <v>4116</v>
      </c>
      <c r="G63" s="503" t="s">
        <v>358</v>
      </c>
      <c r="H63" s="471">
        <f t="shared" si="0"/>
        <v>0</v>
      </c>
      <c r="I63" s="496">
        <f t="shared" si="1"/>
        <v>144133</v>
      </c>
      <c r="J63" s="497"/>
      <c r="K63" s="498"/>
    </row>
    <row r="64" spans="1:14" x14ac:dyDescent="0.25">
      <c r="A64" s="491"/>
      <c r="B64" s="517" t="s">
        <v>30</v>
      </c>
      <c r="C64" s="500">
        <v>183.47900000000001</v>
      </c>
      <c r="D64" s="500">
        <v>183479</v>
      </c>
      <c r="E64" s="520">
        <v>13234</v>
      </c>
      <c r="F64" s="521">
        <v>4116</v>
      </c>
      <c r="G64" s="503" t="s">
        <v>358</v>
      </c>
      <c r="H64" s="471">
        <f t="shared" si="0"/>
        <v>0</v>
      </c>
      <c r="I64" s="496">
        <f t="shared" si="1"/>
        <v>183479</v>
      </c>
      <c r="J64" s="497"/>
      <c r="K64" s="498"/>
    </row>
    <row r="65" spans="1:11" x14ac:dyDescent="0.25">
      <c r="A65" s="491"/>
      <c r="B65" s="517" t="s">
        <v>31</v>
      </c>
      <c r="C65" s="500">
        <v>192.39</v>
      </c>
      <c r="D65" s="500">
        <v>216398</v>
      </c>
      <c r="E65" s="520">
        <v>13234</v>
      </c>
      <c r="F65" s="521">
        <v>4116</v>
      </c>
      <c r="G65" s="503" t="s">
        <v>358</v>
      </c>
      <c r="H65" s="471">
        <f t="shared" si="0"/>
        <v>-24008</v>
      </c>
      <c r="I65" s="496">
        <f t="shared" si="1"/>
        <v>216398</v>
      </c>
      <c r="J65" s="497"/>
      <c r="K65" s="498"/>
    </row>
    <row r="66" spans="1:11" x14ac:dyDescent="0.25">
      <c r="A66" s="491"/>
      <c r="B66" s="517" t="s">
        <v>21</v>
      </c>
      <c r="C66" s="500">
        <v>7.42</v>
      </c>
      <c r="D66" s="500">
        <v>7420</v>
      </c>
      <c r="E66" s="520">
        <v>13234</v>
      </c>
      <c r="F66" s="495" t="s">
        <v>18</v>
      </c>
      <c r="G66" s="503" t="s">
        <v>358</v>
      </c>
      <c r="I66" s="496">
        <f t="shared" si="1"/>
        <v>7420</v>
      </c>
      <c r="J66" s="497"/>
      <c r="K66" s="498"/>
    </row>
    <row r="67" spans="1:11" x14ac:dyDescent="0.25">
      <c r="A67" s="491"/>
      <c r="B67" s="522"/>
      <c r="C67" s="518"/>
      <c r="D67" s="505"/>
      <c r="E67" s="520"/>
      <c r="F67" s="521"/>
      <c r="G67" s="471"/>
      <c r="I67" s="496"/>
      <c r="J67" s="497"/>
      <c r="K67" s="498"/>
    </row>
    <row r="68" spans="1:11" x14ac:dyDescent="0.25">
      <c r="A68" s="491"/>
      <c r="B68" s="523" t="s">
        <v>116</v>
      </c>
      <c r="C68" s="524">
        <f>+SUM(C69:C70)</f>
        <v>36.299999999999997</v>
      </c>
      <c r="D68" s="524">
        <f>+SUM(D69:D70)</f>
        <v>36300</v>
      </c>
      <c r="E68" s="495"/>
      <c r="F68" s="521"/>
      <c r="G68" s="471">
        <f>27522+155957</f>
        <v>183479</v>
      </c>
      <c r="I68" s="496"/>
      <c r="J68" s="497"/>
      <c r="K68" s="498"/>
    </row>
    <row r="69" spans="1:11" x14ac:dyDescent="0.25">
      <c r="A69" s="491">
        <v>42066</v>
      </c>
      <c r="B69" s="499" t="s">
        <v>115</v>
      </c>
      <c r="C69" s="505">
        <v>36.299999999999997</v>
      </c>
      <c r="D69" s="505">
        <v>36300</v>
      </c>
      <c r="E69" s="525">
        <v>27003</v>
      </c>
      <c r="F69" s="521">
        <v>4116</v>
      </c>
      <c r="G69" s="471">
        <f>+C65-192.398</f>
        <v>-8.0000000000097771E-3</v>
      </c>
      <c r="I69" s="496"/>
      <c r="J69" s="497"/>
      <c r="K69" s="498"/>
    </row>
    <row r="70" spans="1:11" x14ac:dyDescent="0.25">
      <c r="A70" s="526"/>
      <c r="B70" s="499"/>
      <c r="C70" s="505"/>
      <c r="D70" s="505"/>
      <c r="E70" s="521"/>
      <c r="F70" s="521"/>
      <c r="G70" s="471"/>
      <c r="I70" s="496"/>
      <c r="J70" s="497"/>
      <c r="K70" s="498"/>
    </row>
    <row r="71" spans="1:11" x14ac:dyDescent="0.25">
      <c r="A71" s="491"/>
      <c r="B71" s="523" t="s">
        <v>33</v>
      </c>
      <c r="C71" s="524">
        <f>+SUM(C72:C108)</f>
        <v>24972</v>
      </c>
      <c r="D71" s="524">
        <f>+SUM(D72:D108)</f>
        <v>24972000</v>
      </c>
      <c r="E71" s="495"/>
      <c r="F71" s="521"/>
      <c r="G71" s="471"/>
      <c r="I71" s="496"/>
      <c r="J71" s="497"/>
      <c r="K71" s="498"/>
    </row>
    <row r="72" spans="1:11" x14ac:dyDescent="0.25">
      <c r="A72" s="491">
        <v>42086</v>
      </c>
      <c r="B72" s="499" t="s">
        <v>122</v>
      </c>
      <c r="C72" s="505">
        <v>80</v>
      </c>
      <c r="D72" s="527">
        <v>80000</v>
      </c>
      <c r="E72" s="495">
        <v>34070</v>
      </c>
      <c r="F72" s="495">
        <v>4116</v>
      </c>
      <c r="G72" s="471"/>
      <c r="I72" s="496"/>
      <c r="J72" s="497"/>
      <c r="K72" s="498"/>
    </row>
    <row r="73" spans="1:11" x14ac:dyDescent="0.25">
      <c r="A73" s="491">
        <v>42116</v>
      </c>
      <c r="B73" s="499" t="s">
        <v>266</v>
      </c>
      <c r="C73" s="505">
        <v>25</v>
      </c>
      <c r="D73" s="527">
        <v>25000</v>
      </c>
      <c r="E73" s="495">
        <v>34070</v>
      </c>
      <c r="F73" s="495">
        <v>4116</v>
      </c>
      <c r="G73" s="471"/>
      <c r="I73" s="496"/>
      <c r="J73" s="497"/>
      <c r="K73" s="498"/>
    </row>
    <row r="74" spans="1:11" x14ac:dyDescent="0.25">
      <c r="A74" s="491">
        <v>42116</v>
      </c>
      <c r="B74" s="499" t="s">
        <v>143</v>
      </c>
      <c r="C74" s="505">
        <v>18</v>
      </c>
      <c r="D74" s="527">
        <v>18000</v>
      </c>
      <c r="E74" s="495">
        <v>34070</v>
      </c>
      <c r="F74" s="495">
        <v>4116</v>
      </c>
      <c r="G74" s="471"/>
      <c r="I74" s="496"/>
      <c r="J74" s="497"/>
      <c r="K74" s="498"/>
    </row>
    <row r="75" spans="1:11" x14ac:dyDescent="0.25">
      <c r="A75" s="491">
        <v>42116</v>
      </c>
      <c r="B75" s="499" t="s">
        <v>173</v>
      </c>
      <c r="C75" s="505">
        <v>20</v>
      </c>
      <c r="D75" s="527">
        <v>20000</v>
      </c>
      <c r="E75" s="495">
        <v>34070</v>
      </c>
      <c r="F75" s="495">
        <v>4116</v>
      </c>
      <c r="G75" s="471"/>
      <c r="I75" s="496"/>
      <c r="J75" s="497"/>
      <c r="K75" s="498"/>
    </row>
    <row r="76" spans="1:11" x14ac:dyDescent="0.25">
      <c r="A76" s="491">
        <v>42128</v>
      </c>
      <c r="B76" s="499" t="s">
        <v>172</v>
      </c>
      <c r="C76" s="505">
        <v>45</v>
      </c>
      <c r="D76" s="527">
        <v>45000</v>
      </c>
      <c r="E76" s="495">
        <v>34053</v>
      </c>
      <c r="F76" s="495">
        <v>4116</v>
      </c>
      <c r="G76" s="471"/>
      <c r="I76" s="496"/>
      <c r="J76" s="497"/>
      <c r="K76" s="498"/>
    </row>
    <row r="77" spans="1:11" x14ac:dyDescent="0.25">
      <c r="A77" s="491">
        <v>42135</v>
      </c>
      <c r="B77" s="499" t="s">
        <v>175</v>
      </c>
      <c r="C77" s="505">
        <v>600</v>
      </c>
      <c r="D77" s="527">
        <v>600000</v>
      </c>
      <c r="E77" s="495">
        <v>34070</v>
      </c>
      <c r="F77" s="495">
        <v>4116</v>
      </c>
      <c r="G77" s="471"/>
      <c r="I77" s="496"/>
      <c r="J77" s="497"/>
      <c r="K77" s="498"/>
    </row>
    <row r="78" spans="1:11" x14ac:dyDescent="0.25">
      <c r="A78" s="491">
        <v>42135</v>
      </c>
      <c r="B78" s="499" t="s">
        <v>176</v>
      </c>
      <c r="C78" s="505">
        <v>70</v>
      </c>
      <c r="D78" s="527">
        <v>70000</v>
      </c>
      <c r="E78" s="495">
        <v>34070</v>
      </c>
      <c r="F78" s="495">
        <v>4116</v>
      </c>
      <c r="G78" s="471"/>
      <c r="I78" s="496"/>
      <c r="J78" s="497"/>
      <c r="K78" s="498"/>
    </row>
    <row r="79" spans="1:11" x14ac:dyDescent="0.25">
      <c r="A79" s="491">
        <v>42136</v>
      </c>
      <c r="B79" s="499" t="s">
        <v>177</v>
      </c>
      <c r="C79" s="505">
        <v>120</v>
      </c>
      <c r="D79" s="527">
        <v>120000</v>
      </c>
      <c r="E79" s="495">
        <v>34070</v>
      </c>
      <c r="F79" s="495">
        <v>4116</v>
      </c>
      <c r="G79" s="471"/>
      <c r="I79" s="496"/>
      <c r="J79" s="497"/>
      <c r="K79" s="498"/>
    </row>
    <row r="80" spans="1:11" x14ac:dyDescent="0.25">
      <c r="A80" s="491">
        <v>42136</v>
      </c>
      <c r="B80" s="499" t="s">
        <v>178</v>
      </c>
      <c r="C80" s="505">
        <v>340</v>
      </c>
      <c r="D80" s="527">
        <v>340000</v>
      </c>
      <c r="E80" s="495">
        <v>34070</v>
      </c>
      <c r="F80" s="495">
        <v>4116</v>
      </c>
      <c r="G80" s="471"/>
      <c r="I80" s="496"/>
      <c r="J80" s="497"/>
      <c r="K80" s="498"/>
    </row>
    <row r="81" spans="1:11" x14ac:dyDescent="0.25">
      <c r="A81" s="491">
        <v>42136</v>
      </c>
      <c r="B81" s="499" t="s">
        <v>179</v>
      </c>
      <c r="C81" s="505">
        <v>320</v>
      </c>
      <c r="D81" s="527">
        <v>320000</v>
      </c>
      <c r="E81" s="495">
        <v>34070</v>
      </c>
      <c r="F81" s="495">
        <v>4116</v>
      </c>
      <c r="G81" s="471"/>
      <c r="I81" s="496"/>
      <c r="J81" s="497"/>
      <c r="K81" s="498"/>
    </row>
    <row r="82" spans="1:11" x14ac:dyDescent="0.25">
      <c r="A82" s="491">
        <v>42143</v>
      </c>
      <c r="B82" s="499" t="s">
        <v>194</v>
      </c>
      <c r="C82" s="505">
        <v>95</v>
      </c>
      <c r="D82" s="527">
        <v>95000</v>
      </c>
      <c r="E82" s="495">
        <v>34070</v>
      </c>
      <c r="F82" s="495">
        <v>4116</v>
      </c>
      <c r="G82" s="471"/>
      <c r="I82" s="496"/>
      <c r="J82" s="497"/>
      <c r="K82" s="498"/>
    </row>
    <row r="83" spans="1:11" x14ac:dyDescent="0.25">
      <c r="A83" s="491">
        <v>42143</v>
      </c>
      <c r="B83" s="499" t="s">
        <v>195</v>
      </c>
      <c r="C83" s="505">
        <v>30</v>
      </c>
      <c r="D83" s="527">
        <v>30000</v>
      </c>
      <c r="E83" s="495">
        <v>34194</v>
      </c>
      <c r="F83" s="495">
        <v>4116</v>
      </c>
      <c r="G83" s="471"/>
      <c r="I83" s="496"/>
      <c r="J83" s="497"/>
      <c r="K83" s="498"/>
    </row>
    <row r="84" spans="1:11" x14ac:dyDescent="0.25">
      <c r="A84" s="491">
        <v>42143</v>
      </c>
      <c r="B84" s="499" t="s">
        <v>197</v>
      </c>
      <c r="C84" s="505">
        <v>750</v>
      </c>
      <c r="D84" s="527">
        <v>750000</v>
      </c>
      <c r="E84" s="495">
        <v>34070</v>
      </c>
      <c r="F84" s="495">
        <v>4116</v>
      </c>
      <c r="G84" s="471"/>
      <c r="I84" s="496"/>
      <c r="J84" s="497"/>
      <c r="K84" s="498"/>
    </row>
    <row r="85" spans="1:11" x14ac:dyDescent="0.25">
      <c r="A85" s="491">
        <v>42144</v>
      </c>
      <c r="B85" s="499" t="s">
        <v>199</v>
      </c>
      <c r="C85" s="505">
        <v>64</v>
      </c>
      <c r="D85" s="527">
        <v>64000</v>
      </c>
      <c r="E85" s="495">
        <v>34053</v>
      </c>
      <c r="F85" s="495">
        <v>4116</v>
      </c>
      <c r="G85" s="471"/>
      <c r="I85" s="496"/>
      <c r="J85" s="497"/>
      <c r="K85" s="498"/>
    </row>
    <row r="86" spans="1:11" x14ac:dyDescent="0.25">
      <c r="A86" s="491">
        <v>42144</v>
      </c>
      <c r="B86" s="499" t="s">
        <v>198</v>
      </c>
      <c r="C86" s="505">
        <v>45</v>
      </c>
      <c r="D86" s="527">
        <v>45000</v>
      </c>
      <c r="E86" s="495">
        <v>34053</v>
      </c>
      <c r="F86" s="495">
        <v>4116</v>
      </c>
      <c r="G86" s="471"/>
      <c r="I86" s="496"/>
      <c r="J86" s="497"/>
      <c r="K86" s="498"/>
    </row>
    <row r="87" spans="1:11" x14ac:dyDescent="0.25">
      <c r="A87" s="491">
        <v>42164</v>
      </c>
      <c r="B87" s="499" t="s">
        <v>241</v>
      </c>
      <c r="C87" s="505">
        <v>1200</v>
      </c>
      <c r="D87" s="527">
        <v>1200000</v>
      </c>
      <c r="E87" s="495">
        <v>34352</v>
      </c>
      <c r="F87" s="495">
        <v>4116</v>
      </c>
      <c r="G87" s="471"/>
      <c r="I87" s="496"/>
      <c r="J87" s="497"/>
      <c r="K87" s="498"/>
    </row>
    <row r="88" spans="1:11" x14ac:dyDescent="0.25">
      <c r="A88" s="491">
        <v>42172</v>
      </c>
      <c r="B88" s="499" t="s">
        <v>233</v>
      </c>
      <c r="C88" s="505">
        <v>740</v>
      </c>
      <c r="D88" s="527">
        <v>740000</v>
      </c>
      <c r="E88" s="495">
        <v>34352</v>
      </c>
      <c r="F88" s="495">
        <v>4116</v>
      </c>
      <c r="G88" s="471"/>
      <c r="I88" s="496"/>
      <c r="J88" s="497"/>
      <c r="K88" s="498"/>
    </row>
    <row r="89" spans="1:11" x14ac:dyDescent="0.25">
      <c r="A89" s="491">
        <v>42172</v>
      </c>
      <c r="B89" s="499" t="s">
        <v>234</v>
      </c>
      <c r="C89" s="505">
        <v>2745</v>
      </c>
      <c r="D89" s="527">
        <v>2745000</v>
      </c>
      <c r="E89" s="495">
        <v>34352</v>
      </c>
      <c r="F89" s="495">
        <v>4116</v>
      </c>
      <c r="G89" s="471"/>
      <c r="I89" s="496"/>
      <c r="J89" s="497"/>
      <c r="K89" s="498"/>
    </row>
    <row r="90" spans="1:11" x14ac:dyDescent="0.25">
      <c r="A90" s="491">
        <v>42172</v>
      </c>
      <c r="B90" s="499" t="s">
        <v>235</v>
      </c>
      <c r="C90" s="505">
        <v>2580</v>
      </c>
      <c r="D90" s="527">
        <v>2580000</v>
      </c>
      <c r="E90" s="495">
        <v>34352</v>
      </c>
      <c r="F90" s="495">
        <v>4116</v>
      </c>
      <c r="G90" s="471"/>
      <c r="I90" s="496"/>
      <c r="J90" s="497"/>
      <c r="K90" s="498"/>
    </row>
    <row r="91" spans="1:11" x14ac:dyDescent="0.25">
      <c r="A91" s="491">
        <v>42178</v>
      </c>
      <c r="B91" s="499" t="s">
        <v>242</v>
      </c>
      <c r="C91" s="505">
        <v>7135</v>
      </c>
      <c r="D91" s="527">
        <v>7135000</v>
      </c>
      <c r="E91" s="495">
        <v>34352</v>
      </c>
      <c r="F91" s="495">
        <v>4116</v>
      </c>
      <c r="G91" s="471"/>
      <c r="I91" s="496"/>
      <c r="J91" s="497"/>
      <c r="K91" s="498"/>
    </row>
    <row r="92" spans="1:11" x14ac:dyDescent="0.25">
      <c r="A92" s="491">
        <v>42188</v>
      </c>
      <c r="B92" s="499" t="s">
        <v>531</v>
      </c>
      <c r="C92" s="505">
        <v>112</v>
      </c>
      <c r="D92" s="527">
        <v>112000</v>
      </c>
      <c r="E92" s="495">
        <v>34001</v>
      </c>
      <c r="F92" s="495">
        <v>4116</v>
      </c>
      <c r="G92" s="471"/>
      <c r="I92" s="496"/>
      <c r="J92" s="497"/>
      <c r="K92" s="498"/>
    </row>
    <row r="93" spans="1:11" x14ac:dyDescent="0.25">
      <c r="A93" s="491">
        <v>42198</v>
      </c>
      <c r="B93" s="499" t="s">
        <v>295</v>
      </c>
      <c r="C93" s="505">
        <v>80</v>
      </c>
      <c r="D93" s="527">
        <v>80000</v>
      </c>
      <c r="E93" s="495">
        <v>34070</v>
      </c>
      <c r="F93" s="495">
        <v>4116</v>
      </c>
      <c r="G93" s="471"/>
      <c r="I93" s="496"/>
      <c r="J93" s="497"/>
      <c r="K93" s="498"/>
    </row>
    <row r="94" spans="1:11" x14ac:dyDescent="0.25">
      <c r="A94" s="491">
        <v>42212</v>
      </c>
      <c r="B94" s="499" t="s">
        <v>341</v>
      </c>
      <c r="C94" s="505">
        <v>1900</v>
      </c>
      <c r="D94" s="527">
        <v>1900000</v>
      </c>
      <c r="E94" s="495">
        <v>34054</v>
      </c>
      <c r="F94" s="495">
        <v>4116</v>
      </c>
      <c r="G94" s="471"/>
      <c r="I94" s="496"/>
      <c r="J94" s="497"/>
      <c r="K94" s="498"/>
    </row>
    <row r="95" spans="1:11" x14ac:dyDescent="0.25">
      <c r="A95" s="491">
        <v>42214</v>
      </c>
      <c r="B95" s="499" t="s">
        <v>340</v>
      </c>
      <c r="C95" s="505">
        <v>70</v>
      </c>
      <c r="D95" s="527">
        <v>70000</v>
      </c>
      <c r="E95" s="495">
        <v>34070</v>
      </c>
      <c r="F95" s="495">
        <v>4116</v>
      </c>
      <c r="G95" s="503"/>
      <c r="I95" s="496"/>
      <c r="J95" s="497"/>
      <c r="K95" s="498"/>
    </row>
    <row r="96" spans="1:11" x14ac:dyDescent="0.25">
      <c r="A96" s="491">
        <v>42227</v>
      </c>
      <c r="B96" s="499" t="s">
        <v>367</v>
      </c>
      <c r="C96" s="505">
        <v>180</v>
      </c>
      <c r="D96" s="527">
        <v>180000</v>
      </c>
      <c r="E96" s="495">
        <v>34070</v>
      </c>
      <c r="F96" s="495">
        <v>4116</v>
      </c>
      <c r="G96" s="528"/>
      <c r="I96" s="496"/>
      <c r="J96" s="497"/>
      <c r="K96" s="498"/>
    </row>
    <row r="97" spans="1:11" x14ac:dyDescent="0.25">
      <c r="A97" s="491">
        <v>42241</v>
      </c>
      <c r="B97" s="499" t="s">
        <v>413</v>
      </c>
      <c r="C97" s="505">
        <v>2654</v>
      </c>
      <c r="D97" s="527">
        <v>2654000</v>
      </c>
      <c r="E97" s="495">
        <v>34002</v>
      </c>
      <c r="F97" s="495">
        <v>4116</v>
      </c>
      <c r="G97" s="471"/>
      <c r="I97" s="496"/>
      <c r="J97" s="497"/>
      <c r="K97" s="498"/>
    </row>
    <row r="98" spans="1:11" x14ac:dyDescent="0.25">
      <c r="A98" s="491">
        <v>42271</v>
      </c>
      <c r="B98" s="499" t="s">
        <v>422</v>
      </c>
      <c r="C98" s="505">
        <v>1380</v>
      </c>
      <c r="D98" s="527">
        <v>1380000</v>
      </c>
      <c r="E98" s="495">
        <v>34070</v>
      </c>
      <c r="F98" s="495">
        <v>4116</v>
      </c>
      <c r="G98" s="471"/>
      <c r="I98" s="496"/>
      <c r="J98" s="497"/>
      <c r="K98" s="498"/>
    </row>
    <row r="99" spans="1:11" x14ac:dyDescent="0.25">
      <c r="A99" s="491">
        <v>42272</v>
      </c>
      <c r="B99" s="499" t="s">
        <v>422</v>
      </c>
      <c r="C99" s="505">
        <v>620</v>
      </c>
      <c r="D99" s="527">
        <v>620000</v>
      </c>
      <c r="E99" s="495">
        <v>34070</v>
      </c>
      <c r="F99" s="495">
        <v>4116</v>
      </c>
      <c r="G99" s="471"/>
      <c r="I99" s="496"/>
      <c r="J99" s="497"/>
      <c r="K99" s="498"/>
    </row>
    <row r="100" spans="1:11" x14ac:dyDescent="0.25">
      <c r="A100" s="491">
        <v>42284</v>
      </c>
      <c r="B100" s="499" t="s">
        <v>197</v>
      </c>
      <c r="C100" s="505">
        <v>50</v>
      </c>
      <c r="D100" s="527">
        <v>50000</v>
      </c>
      <c r="E100" s="495">
        <v>34070</v>
      </c>
      <c r="F100" s="495">
        <v>4116</v>
      </c>
      <c r="G100" s="471"/>
      <c r="I100" s="496"/>
      <c r="J100" s="497"/>
      <c r="K100" s="498"/>
    </row>
    <row r="101" spans="1:11" x14ac:dyDescent="0.25">
      <c r="A101" s="491">
        <v>42310</v>
      </c>
      <c r="B101" s="499" t="s">
        <v>588</v>
      </c>
      <c r="C101" s="505">
        <v>250</v>
      </c>
      <c r="D101" s="527">
        <v>250000</v>
      </c>
      <c r="E101" s="495">
        <v>34070</v>
      </c>
      <c r="F101" s="495">
        <v>4116</v>
      </c>
      <c r="G101" s="471"/>
      <c r="I101" s="496"/>
      <c r="J101" s="497"/>
      <c r="K101" s="498"/>
    </row>
    <row r="102" spans="1:11" x14ac:dyDescent="0.25">
      <c r="A102" s="491">
        <v>42318</v>
      </c>
      <c r="B102" s="499" t="s">
        <v>598</v>
      </c>
      <c r="C102" s="505">
        <v>40</v>
      </c>
      <c r="D102" s="527">
        <v>40000</v>
      </c>
      <c r="E102" s="495">
        <v>34070</v>
      </c>
      <c r="F102" s="495">
        <v>4116</v>
      </c>
      <c r="G102" s="471"/>
      <c r="I102" s="496"/>
      <c r="J102" s="497"/>
      <c r="K102" s="498"/>
    </row>
    <row r="103" spans="1:11" x14ac:dyDescent="0.25">
      <c r="A103" s="491"/>
      <c r="B103" s="499" t="s">
        <v>267</v>
      </c>
      <c r="C103" s="505">
        <v>100</v>
      </c>
      <c r="D103" s="505">
        <f>50000+50000</f>
        <v>100000</v>
      </c>
      <c r="E103" s="495">
        <v>34273</v>
      </c>
      <c r="F103" s="495">
        <v>4116</v>
      </c>
      <c r="G103" s="503"/>
      <c r="I103" s="496"/>
      <c r="J103" s="497">
        <v>100000</v>
      </c>
      <c r="K103" s="498"/>
    </row>
    <row r="104" spans="1:11" x14ac:dyDescent="0.25">
      <c r="A104" s="491"/>
      <c r="B104" s="499" t="s">
        <v>382</v>
      </c>
      <c r="C104" s="500">
        <v>70</v>
      </c>
      <c r="D104" s="500">
        <v>70000</v>
      </c>
      <c r="E104" s="495">
        <v>34002</v>
      </c>
      <c r="F104" s="495">
        <v>4116</v>
      </c>
      <c r="G104" s="503"/>
      <c r="I104" s="496"/>
      <c r="J104" s="497">
        <v>70000</v>
      </c>
      <c r="K104" s="498"/>
    </row>
    <row r="105" spans="1:11" x14ac:dyDescent="0.25">
      <c r="A105" s="491"/>
      <c r="B105" s="499" t="s">
        <v>383</v>
      </c>
      <c r="C105" s="500">
        <v>90</v>
      </c>
      <c r="D105" s="500">
        <v>90000</v>
      </c>
      <c r="E105" s="495">
        <v>34002</v>
      </c>
      <c r="F105" s="495">
        <v>4116</v>
      </c>
      <c r="G105" s="503"/>
      <c r="I105" s="496"/>
      <c r="J105" s="497">
        <v>90000</v>
      </c>
      <c r="K105" s="498"/>
    </row>
    <row r="106" spans="1:11" x14ac:dyDescent="0.25">
      <c r="A106" s="491"/>
      <c r="B106" s="499" t="s">
        <v>430</v>
      </c>
      <c r="C106" s="500">
        <v>54</v>
      </c>
      <c r="D106" s="500">
        <v>54000</v>
      </c>
      <c r="E106" s="495">
        <v>34002</v>
      </c>
      <c r="F106" s="495">
        <v>4116</v>
      </c>
      <c r="G106" s="503"/>
      <c r="I106" s="496"/>
      <c r="J106" s="497">
        <v>54000</v>
      </c>
      <c r="K106" s="498"/>
    </row>
    <row r="107" spans="1:11" x14ac:dyDescent="0.25">
      <c r="A107" s="491"/>
      <c r="B107" s="499" t="s">
        <v>431</v>
      </c>
      <c r="C107" s="500">
        <v>300</v>
      </c>
      <c r="D107" s="500">
        <v>300000</v>
      </c>
      <c r="E107" s="495">
        <v>34002</v>
      </c>
      <c r="F107" s="495">
        <v>4116</v>
      </c>
      <c r="G107" s="503"/>
      <c r="I107" s="496"/>
      <c r="J107" s="497">
        <v>300000</v>
      </c>
      <c r="K107" s="498"/>
    </row>
    <row r="108" spans="1:11" x14ac:dyDescent="0.25">
      <c r="A108" s="491"/>
      <c r="B108" s="499"/>
      <c r="C108" s="505"/>
      <c r="D108" s="505"/>
      <c r="E108" s="495"/>
      <c r="F108" s="495"/>
      <c r="G108" s="471"/>
      <c r="I108" s="496"/>
      <c r="J108" s="497"/>
      <c r="K108" s="498"/>
    </row>
    <row r="109" spans="1:11" x14ac:dyDescent="0.25">
      <c r="A109" s="491"/>
      <c r="B109" s="523" t="s">
        <v>34</v>
      </c>
      <c r="C109" s="524">
        <f>SUM(C110:C208)</f>
        <v>59121.139590000006</v>
      </c>
      <c r="D109" s="524">
        <f>SUM(D110:D208)</f>
        <v>59121139.590000004</v>
      </c>
      <c r="E109" s="495"/>
      <c r="F109" s="521"/>
      <c r="G109" s="471"/>
      <c r="I109" s="496"/>
      <c r="J109" s="497"/>
      <c r="K109" s="498"/>
    </row>
    <row r="110" spans="1:11" x14ac:dyDescent="0.25">
      <c r="A110" s="491">
        <v>42054</v>
      </c>
      <c r="B110" s="499" t="s">
        <v>68</v>
      </c>
      <c r="C110" s="529">
        <v>972.54641000000004</v>
      </c>
      <c r="D110" s="530">
        <v>972546.41</v>
      </c>
      <c r="E110" s="495">
        <v>33019</v>
      </c>
      <c r="F110" s="521" t="s">
        <v>18</v>
      </c>
      <c r="G110" s="471"/>
      <c r="I110" s="496"/>
      <c r="J110" s="497"/>
      <c r="K110" s="498"/>
    </row>
    <row r="111" spans="1:11" x14ac:dyDescent="0.25">
      <c r="A111" s="491">
        <v>42081</v>
      </c>
      <c r="B111" s="499" t="s">
        <v>117</v>
      </c>
      <c r="C111" s="529">
        <v>192</v>
      </c>
      <c r="D111" s="531">
        <v>192000</v>
      </c>
      <c r="E111" s="495">
        <v>33339</v>
      </c>
      <c r="F111" s="521">
        <v>4116</v>
      </c>
      <c r="G111" s="471"/>
      <c r="I111" s="496"/>
      <c r="J111" s="497"/>
      <c r="K111" s="498"/>
    </row>
    <row r="112" spans="1:11" x14ac:dyDescent="0.25">
      <c r="A112" s="491">
        <v>42116</v>
      </c>
      <c r="B112" s="499" t="s">
        <v>145</v>
      </c>
      <c r="C112" s="529">
        <v>417.25607000000002</v>
      </c>
      <c r="D112" s="531">
        <f>354667.65+62588.42</f>
        <v>417256.07</v>
      </c>
      <c r="E112" s="495">
        <v>33019</v>
      </c>
      <c r="F112" s="521">
        <v>4116</v>
      </c>
      <c r="G112" s="471"/>
      <c r="I112" s="496"/>
      <c r="J112" s="497"/>
      <c r="K112" s="498"/>
    </row>
    <row r="113" spans="1:11" x14ac:dyDescent="0.25">
      <c r="A113" s="491">
        <v>42117</v>
      </c>
      <c r="B113" s="499" t="s">
        <v>148</v>
      </c>
      <c r="C113" s="529">
        <v>6858.8674300000002</v>
      </c>
      <c r="D113" s="532">
        <v>6858867.4299999997</v>
      </c>
      <c r="E113" s="495">
        <v>33019</v>
      </c>
      <c r="F113" s="521">
        <v>4116</v>
      </c>
      <c r="G113" s="471"/>
      <c r="I113" s="496"/>
      <c r="J113" s="497"/>
      <c r="K113" s="498"/>
    </row>
    <row r="114" spans="1:11" x14ac:dyDescent="0.25">
      <c r="A114" s="491">
        <v>42131</v>
      </c>
      <c r="B114" s="499" t="s">
        <v>174</v>
      </c>
      <c r="C114" s="529">
        <v>592.21028999999999</v>
      </c>
      <c r="D114" s="531">
        <v>592210.29</v>
      </c>
      <c r="E114" s="494">
        <v>33019</v>
      </c>
      <c r="F114" s="521">
        <v>4116</v>
      </c>
      <c r="G114" s="471"/>
      <c r="I114" s="496"/>
      <c r="J114" s="497"/>
      <c r="K114" s="498"/>
    </row>
    <row r="115" spans="1:11" x14ac:dyDescent="0.25">
      <c r="A115" s="491">
        <v>42138</v>
      </c>
      <c r="B115" s="499" t="s">
        <v>148</v>
      </c>
      <c r="C115" s="529">
        <v>4904.7020000000002</v>
      </c>
      <c r="D115" s="531">
        <v>4904702</v>
      </c>
      <c r="E115" s="494">
        <v>33019</v>
      </c>
      <c r="F115" s="521">
        <v>4116</v>
      </c>
      <c r="G115" s="471"/>
      <c r="I115" s="496"/>
      <c r="J115" s="497"/>
      <c r="K115" s="498"/>
    </row>
    <row r="116" spans="1:11" x14ac:dyDescent="0.25">
      <c r="A116" s="491">
        <v>42184</v>
      </c>
      <c r="B116" s="499" t="s">
        <v>145</v>
      </c>
      <c r="C116" s="529">
        <v>681.93142</v>
      </c>
      <c r="D116" s="531">
        <v>681931.42</v>
      </c>
      <c r="E116" s="494">
        <v>33019</v>
      </c>
      <c r="F116" s="521">
        <v>4116</v>
      </c>
      <c r="G116" s="471"/>
      <c r="I116" s="496"/>
      <c r="J116" s="497"/>
      <c r="K116" s="498"/>
    </row>
    <row r="117" spans="1:11" x14ac:dyDescent="0.25">
      <c r="A117" s="491">
        <v>42188</v>
      </c>
      <c r="B117" s="533" t="s">
        <v>174</v>
      </c>
      <c r="C117" s="529">
        <v>800.06946000000005</v>
      </c>
      <c r="D117" s="531">
        <v>800069.46</v>
      </c>
      <c r="E117" s="494">
        <v>33019</v>
      </c>
      <c r="F117" s="521">
        <v>4116</v>
      </c>
      <c r="G117" s="471"/>
      <c r="I117" s="496"/>
      <c r="J117" s="497"/>
      <c r="K117" s="498"/>
    </row>
    <row r="118" spans="1:11" x14ac:dyDescent="0.25">
      <c r="A118" s="491">
        <v>42198</v>
      </c>
      <c r="B118" s="534" t="s">
        <v>275</v>
      </c>
      <c r="C118" s="529">
        <f>841.97005+148.58295</f>
        <v>990.553</v>
      </c>
      <c r="D118" s="531">
        <f>841970.05+148582.95</f>
        <v>990553</v>
      </c>
      <c r="E118" s="494">
        <v>33058</v>
      </c>
      <c r="F118" s="521">
        <v>4116</v>
      </c>
      <c r="G118" s="471" t="s">
        <v>685</v>
      </c>
      <c r="I118" s="496"/>
      <c r="J118" s="497"/>
      <c r="K118" s="498"/>
    </row>
    <row r="119" spans="1:11" x14ac:dyDescent="0.25">
      <c r="A119" s="491">
        <v>42198</v>
      </c>
      <c r="B119" s="534" t="s">
        <v>276</v>
      </c>
      <c r="C119" s="529">
        <f>846.78615+149.43285</f>
        <v>996.21900000000005</v>
      </c>
      <c r="D119" s="531">
        <f>846786.15+149432.85</f>
        <v>996219</v>
      </c>
      <c r="E119" s="494">
        <v>33058</v>
      </c>
      <c r="F119" s="521">
        <v>4116</v>
      </c>
      <c r="G119" s="471" t="s">
        <v>685</v>
      </c>
      <c r="I119" s="496"/>
      <c r="J119" s="497"/>
      <c r="K119" s="498"/>
    </row>
    <row r="120" spans="1:11" x14ac:dyDescent="0.25">
      <c r="A120" s="491">
        <v>42198</v>
      </c>
      <c r="B120" s="534" t="s">
        <v>277</v>
      </c>
      <c r="C120" s="529">
        <f>689.90845+121.74855</f>
        <v>811.65700000000004</v>
      </c>
      <c r="D120" s="531">
        <f>689908.45+121748.55</f>
        <v>811657</v>
      </c>
      <c r="E120" s="494">
        <v>33058</v>
      </c>
      <c r="F120" s="521">
        <v>4116</v>
      </c>
      <c r="G120" s="471" t="s">
        <v>685</v>
      </c>
      <c r="I120" s="496"/>
      <c r="J120" s="497"/>
      <c r="K120" s="498"/>
    </row>
    <row r="121" spans="1:11" x14ac:dyDescent="0.25">
      <c r="A121" s="491">
        <v>42200</v>
      </c>
      <c r="B121" s="534" t="s">
        <v>296</v>
      </c>
      <c r="C121" s="529">
        <v>978.06399999999996</v>
      </c>
      <c r="D121" s="531">
        <v>978064</v>
      </c>
      <c r="E121" s="494">
        <v>33058</v>
      </c>
      <c r="F121" s="521">
        <v>4116</v>
      </c>
      <c r="G121" s="471" t="s">
        <v>685</v>
      </c>
      <c r="I121" s="496"/>
      <c r="J121" s="497"/>
      <c r="K121" s="498"/>
    </row>
    <row r="122" spans="1:11" x14ac:dyDescent="0.25">
      <c r="A122" s="491">
        <v>42200</v>
      </c>
      <c r="B122" s="534" t="s">
        <v>297</v>
      </c>
      <c r="C122" s="529">
        <v>914.54499999999996</v>
      </c>
      <c r="D122" s="531">
        <v>914545</v>
      </c>
      <c r="E122" s="494">
        <v>33058</v>
      </c>
      <c r="F122" s="521">
        <v>4116</v>
      </c>
      <c r="G122" s="471" t="s">
        <v>685</v>
      </c>
      <c r="I122" s="496"/>
      <c r="J122" s="497"/>
      <c r="K122" s="498"/>
    </row>
    <row r="123" spans="1:11" x14ac:dyDescent="0.25">
      <c r="A123" s="491">
        <v>42200</v>
      </c>
      <c r="B123" s="534" t="s">
        <v>298</v>
      </c>
      <c r="C123" s="529">
        <v>797.56700000000001</v>
      </c>
      <c r="D123" s="531">
        <v>797567</v>
      </c>
      <c r="E123" s="494">
        <v>33058</v>
      </c>
      <c r="F123" s="521">
        <v>4116</v>
      </c>
      <c r="G123" s="471" t="s">
        <v>685</v>
      </c>
      <c r="I123" s="496"/>
      <c r="J123" s="497"/>
      <c r="K123" s="498"/>
    </row>
    <row r="124" spans="1:11" x14ac:dyDescent="0.25">
      <c r="A124" s="491">
        <v>42200</v>
      </c>
      <c r="B124" s="534" t="s">
        <v>299</v>
      </c>
      <c r="C124" s="529">
        <v>991.53399999999999</v>
      </c>
      <c r="D124" s="531">
        <v>991534</v>
      </c>
      <c r="E124" s="494">
        <v>33058</v>
      </c>
      <c r="F124" s="521">
        <v>4116</v>
      </c>
      <c r="G124" s="471" t="s">
        <v>685</v>
      </c>
      <c r="I124" s="496"/>
      <c r="J124" s="497"/>
      <c r="K124" s="498"/>
    </row>
    <row r="125" spans="1:11" x14ac:dyDescent="0.25">
      <c r="A125" s="491">
        <v>42200</v>
      </c>
      <c r="B125" s="534" t="s">
        <v>300</v>
      </c>
      <c r="C125" s="529">
        <v>959.90899999999999</v>
      </c>
      <c r="D125" s="531">
        <v>959909</v>
      </c>
      <c r="E125" s="494">
        <v>33058</v>
      </c>
      <c r="F125" s="521">
        <v>4116</v>
      </c>
      <c r="G125" s="471" t="s">
        <v>685</v>
      </c>
      <c r="I125" s="496"/>
      <c r="J125" s="497"/>
      <c r="K125" s="498"/>
    </row>
    <row r="126" spans="1:11" x14ac:dyDescent="0.25">
      <c r="A126" s="491">
        <v>42206</v>
      </c>
      <c r="B126" s="534" t="s">
        <v>314</v>
      </c>
      <c r="C126" s="529">
        <v>415.29</v>
      </c>
      <c r="D126" s="531">
        <v>415290</v>
      </c>
      <c r="E126" s="494">
        <v>33058</v>
      </c>
      <c r="F126" s="521">
        <v>4116</v>
      </c>
      <c r="G126" s="471" t="s">
        <v>685</v>
      </c>
      <c r="I126" s="496"/>
      <c r="J126" s="497"/>
      <c r="K126" s="498"/>
    </row>
    <row r="127" spans="1:11" x14ac:dyDescent="0.25">
      <c r="A127" s="491">
        <v>42206</v>
      </c>
      <c r="B127" s="534" t="s">
        <v>315</v>
      </c>
      <c r="C127" s="529">
        <v>578.94200000000001</v>
      </c>
      <c r="D127" s="531">
        <v>578942</v>
      </c>
      <c r="E127" s="494">
        <v>33058</v>
      </c>
      <c r="F127" s="521">
        <v>4116</v>
      </c>
      <c r="G127" s="471" t="s">
        <v>685</v>
      </c>
      <c r="I127" s="496"/>
      <c r="J127" s="497"/>
      <c r="K127" s="498"/>
    </row>
    <row r="128" spans="1:11" x14ac:dyDescent="0.25">
      <c r="A128" s="491">
        <v>42206</v>
      </c>
      <c r="B128" s="534" t="s">
        <v>316</v>
      </c>
      <c r="C128" s="529">
        <v>528.80200000000002</v>
      </c>
      <c r="D128" s="531">
        <v>528802</v>
      </c>
      <c r="E128" s="494">
        <v>33058</v>
      </c>
      <c r="F128" s="521">
        <v>4116</v>
      </c>
      <c r="G128" s="471" t="s">
        <v>685</v>
      </c>
      <c r="I128" s="496"/>
      <c r="J128" s="497"/>
      <c r="K128" s="498"/>
    </row>
    <row r="129" spans="1:11" x14ac:dyDescent="0.25">
      <c r="A129" s="491">
        <v>42206</v>
      </c>
      <c r="B129" s="534" t="s">
        <v>317</v>
      </c>
      <c r="C129" s="529">
        <v>672.51599999999996</v>
      </c>
      <c r="D129" s="531">
        <v>672516</v>
      </c>
      <c r="E129" s="494">
        <v>33058</v>
      </c>
      <c r="F129" s="521">
        <v>4116</v>
      </c>
      <c r="G129" s="471" t="s">
        <v>685</v>
      </c>
      <c r="I129" s="496"/>
      <c r="J129" s="497"/>
      <c r="K129" s="498"/>
    </row>
    <row r="130" spans="1:11" x14ac:dyDescent="0.25">
      <c r="A130" s="491">
        <v>42206</v>
      </c>
      <c r="B130" s="534" t="s">
        <v>318</v>
      </c>
      <c r="C130" s="529">
        <v>424.34399999999999</v>
      </c>
      <c r="D130" s="531">
        <v>424344</v>
      </c>
      <c r="E130" s="494">
        <v>33058</v>
      </c>
      <c r="F130" s="521">
        <v>4116</v>
      </c>
      <c r="G130" s="471" t="s">
        <v>685</v>
      </c>
      <c r="I130" s="496"/>
      <c r="J130" s="497"/>
      <c r="K130" s="498"/>
    </row>
    <row r="131" spans="1:11" x14ac:dyDescent="0.25">
      <c r="A131" s="491">
        <v>42206</v>
      </c>
      <c r="B131" s="534" t="s">
        <v>319</v>
      </c>
      <c r="C131" s="535">
        <v>315.46100000000001</v>
      </c>
      <c r="D131" s="531">
        <v>315461</v>
      </c>
      <c r="E131" s="494">
        <v>33058</v>
      </c>
      <c r="F131" s="521">
        <v>4116</v>
      </c>
      <c r="G131" s="471" t="s">
        <v>685</v>
      </c>
      <c r="I131" s="496"/>
      <c r="J131" s="497"/>
      <c r="K131" s="498"/>
    </row>
    <row r="132" spans="1:11" x14ac:dyDescent="0.25">
      <c r="A132" s="491">
        <v>42206</v>
      </c>
      <c r="B132" s="534" t="s">
        <v>320</v>
      </c>
      <c r="C132" s="535">
        <v>537.85599999999999</v>
      </c>
      <c r="D132" s="531">
        <v>537856</v>
      </c>
      <c r="E132" s="494">
        <v>33058</v>
      </c>
      <c r="F132" s="521">
        <v>4116</v>
      </c>
      <c r="G132" s="471" t="s">
        <v>685</v>
      </c>
      <c r="I132" s="496"/>
      <c r="J132" s="497"/>
      <c r="K132" s="498"/>
    </row>
    <row r="133" spans="1:11" x14ac:dyDescent="0.25">
      <c r="A133" s="491">
        <v>42206</v>
      </c>
      <c r="B133" s="534" t="s">
        <v>321</v>
      </c>
      <c r="C133" s="535">
        <v>980.19799999999998</v>
      </c>
      <c r="D133" s="531">
        <v>980198</v>
      </c>
      <c r="E133" s="494">
        <v>33058</v>
      </c>
      <c r="F133" s="521">
        <v>4116</v>
      </c>
      <c r="G133" s="471" t="s">
        <v>685</v>
      </c>
      <c r="I133" s="496"/>
      <c r="J133" s="497"/>
      <c r="K133" s="498"/>
    </row>
    <row r="134" spans="1:11" x14ac:dyDescent="0.25">
      <c r="A134" s="491">
        <v>42209</v>
      </c>
      <c r="B134" s="534" t="s">
        <v>323</v>
      </c>
      <c r="C134" s="535">
        <v>715.23800000000006</v>
      </c>
      <c r="D134" s="531">
        <v>715238</v>
      </c>
      <c r="E134" s="494">
        <v>33058</v>
      </c>
      <c r="F134" s="521">
        <v>4116</v>
      </c>
      <c r="G134" s="471" t="s">
        <v>685</v>
      </c>
      <c r="I134" s="496"/>
      <c r="J134" s="497"/>
      <c r="K134" s="498"/>
    </row>
    <row r="135" spans="1:11" x14ac:dyDescent="0.25">
      <c r="A135" s="491">
        <v>42209</v>
      </c>
      <c r="B135" s="534" t="s">
        <v>324</v>
      </c>
      <c r="C135" s="535">
        <v>692.15</v>
      </c>
      <c r="D135" s="531">
        <v>692150</v>
      </c>
      <c r="E135" s="494">
        <v>33058</v>
      </c>
      <c r="F135" s="521">
        <v>4116</v>
      </c>
      <c r="G135" s="471" t="s">
        <v>685</v>
      </c>
      <c r="I135" s="496"/>
      <c r="J135" s="497"/>
      <c r="K135" s="498"/>
    </row>
    <row r="136" spans="1:11" x14ac:dyDescent="0.25">
      <c r="A136" s="491">
        <v>42209</v>
      </c>
      <c r="B136" s="534" t="s">
        <v>325</v>
      </c>
      <c r="C136" s="535">
        <v>903.15300000000002</v>
      </c>
      <c r="D136" s="531">
        <v>903153</v>
      </c>
      <c r="E136" s="494">
        <v>33058</v>
      </c>
      <c r="F136" s="521">
        <v>4116</v>
      </c>
      <c r="G136" s="471" t="s">
        <v>685</v>
      </c>
      <c r="I136" s="496"/>
      <c r="J136" s="497"/>
      <c r="K136" s="498"/>
    </row>
    <row r="137" spans="1:11" x14ac:dyDescent="0.25">
      <c r="A137" s="491">
        <v>42209</v>
      </c>
      <c r="B137" s="534" t="s">
        <v>326</v>
      </c>
      <c r="C137" s="535">
        <v>328.98700000000002</v>
      </c>
      <c r="D137" s="531">
        <v>328987</v>
      </c>
      <c r="E137" s="494">
        <v>33058</v>
      </c>
      <c r="F137" s="521">
        <v>4116</v>
      </c>
      <c r="G137" s="471" t="s">
        <v>685</v>
      </c>
      <c r="I137" s="496"/>
      <c r="J137" s="497"/>
      <c r="K137" s="498"/>
    </row>
    <row r="138" spans="1:11" x14ac:dyDescent="0.25">
      <c r="A138" s="491">
        <v>42209</v>
      </c>
      <c r="B138" s="534" t="s">
        <v>327</v>
      </c>
      <c r="C138" s="535">
        <v>989.45600000000002</v>
      </c>
      <c r="D138" s="531">
        <v>989456</v>
      </c>
      <c r="E138" s="494">
        <v>33058</v>
      </c>
      <c r="F138" s="521">
        <v>4116</v>
      </c>
      <c r="G138" s="471" t="s">
        <v>685</v>
      </c>
      <c r="I138" s="496"/>
      <c r="J138" s="497"/>
      <c r="K138" s="498"/>
    </row>
    <row r="139" spans="1:11" x14ac:dyDescent="0.25">
      <c r="A139" s="491">
        <v>42209</v>
      </c>
      <c r="B139" s="534" t="s">
        <v>328</v>
      </c>
      <c r="C139" s="535">
        <v>990.11099999999999</v>
      </c>
      <c r="D139" s="531">
        <v>990111</v>
      </c>
      <c r="E139" s="494">
        <v>33058</v>
      </c>
      <c r="F139" s="521">
        <v>4116</v>
      </c>
      <c r="G139" s="471" t="s">
        <v>685</v>
      </c>
      <c r="I139" s="496"/>
      <c r="J139" s="497"/>
      <c r="K139" s="498"/>
    </row>
    <row r="140" spans="1:11" x14ac:dyDescent="0.25">
      <c r="A140" s="491">
        <v>42214</v>
      </c>
      <c r="B140" s="534" t="s">
        <v>335</v>
      </c>
      <c r="C140" s="535">
        <v>973.43499999999995</v>
      </c>
      <c r="D140" s="531">
        <f>827419.75+146015.25</f>
        <v>973435</v>
      </c>
      <c r="E140" s="494">
        <v>33058</v>
      </c>
      <c r="F140" s="495">
        <v>4116</v>
      </c>
      <c r="G140" s="471" t="s">
        <v>685</v>
      </c>
      <c r="I140" s="496"/>
      <c r="J140" s="497"/>
      <c r="K140" s="498"/>
    </row>
    <row r="141" spans="1:11" x14ac:dyDescent="0.25">
      <c r="A141" s="491">
        <v>42214</v>
      </c>
      <c r="B141" s="534" t="s">
        <v>336</v>
      </c>
      <c r="C141" s="535">
        <v>600.303</v>
      </c>
      <c r="D141" s="531">
        <f>510257.55+90045.45</f>
        <v>600303</v>
      </c>
      <c r="E141" s="494">
        <v>33058</v>
      </c>
      <c r="F141" s="495">
        <v>4116</v>
      </c>
      <c r="G141" s="471" t="s">
        <v>685</v>
      </c>
      <c r="I141" s="496"/>
      <c r="J141" s="497"/>
      <c r="K141" s="498"/>
    </row>
    <row r="142" spans="1:11" x14ac:dyDescent="0.25">
      <c r="A142" s="491">
        <v>42214</v>
      </c>
      <c r="B142" s="533" t="s">
        <v>337</v>
      </c>
      <c r="C142" s="535">
        <v>87.683000000000007</v>
      </c>
      <c r="D142" s="531">
        <v>87683</v>
      </c>
      <c r="E142" s="494">
        <v>33060</v>
      </c>
      <c r="F142" s="495">
        <v>4116</v>
      </c>
      <c r="G142" s="471"/>
      <c r="I142" s="496"/>
      <c r="J142" s="497"/>
      <c r="K142" s="498"/>
    </row>
    <row r="143" spans="1:11" x14ac:dyDescent="0.25">
      <c r="A143" s="491">
        <v>42214</v>
      </c>
      <c r="B143" s="533" t="s">
        <v>338</v>
      </c>
      <c r="C143" s="535">
        <v>40</v>
      </c>
      <c r="D143" s="531">
        <v>40000</v>
      </c>
      <c r="E143" s="494">
        <v>33060</v>
      </c>
      <c r="F143" s="495">
        <v>4116</v>
      </c>
      <c r="G143" s="471"/>
      <c r="I143" s="496"/>
      <c r="J143" s="497"/>
      <c r="K143" s="498"/>
    </row>
    <row r="144" spans="1:11" x14ac:dyDescent="0.25">
      <c r="A144" s="491">
        <v>42214</v>
      </c>
      <c r="B144" s="533" t="s">
        <v>339</v>
      </c>
      <c r="C144" s="535">
        <v>100.455</v>
      </c>
      <c r="D144" s="531">
        <v>100455</v>
      </c>
      <c r="E144" s="494">
        <v>33060</v>
      </c>
      <c r="F144" s="495">
        <v>4116</v>
      </c>
      <c r="G144" s="471"/>
      <c r="I144" s="496"/>
      <c r="J144" s="497"/>
      <c r="K144" s="498"/>
    </row>
    <row r="145" spans="1:11" x14ac:dyDescent="0.25">
      <c r="A145" s="491">
        <v>42222</v>
      </c>
      <c r="B145" s="534" t="s">
        <v>361</v>
      </c>
      <c r="C145" s="505">
        <v>568.97299999999996</v>
      </c>
      <c r="D145" s="531">
        <v>568973</v>
      </c>
      <c r="E145" s="494">
        <v>33058</v>
      </c>
      <c r="F145" s="495">
        <v>4116</v>
      </c>
      <c r="G145" s="471" t="s">
        <v>685</v>
      </c>
      <c r="I145" s="496"/>
      <c r="J145" s="497"/>
      <c r="K145" s="498"/>
    </row>
    <row r="146" spans="1:11" x14ac:dyDescent="0.25">
      <c r="A146" s="491">
        <v>42227</v>
      </c>
      <c r="B146" s="534" t="s">
        <v>362</v>
      </c>
      <c r="C146" s="505">
        <v>417.58100000000002</v>
      </c>
      <c r="D146" s="531">
        <v>417581</v>
      </c>
      <c r="E146" s="494">
        <v>33058</v>
      </c>
      <c r="F146" s="495">
        <v>4116</v>
      </c>
      <c r="G146" s="471" t="s">
        <v>685</v>
      </c>
      <c r="I146" s="496"/>
      <c r="J146" s="497"/>
      <c r="K146" s="498"/>
    </row>
    <row r="147" spans="1:11" x14ac:dyDescent="0.25">
      <c r="A147" s="491">
        <v>42227</v>
      </c>
      <c r="B147" s="534" t="s">
        <v>363</v>
      </c>
      <c r="C147" s="505">
        <v>707.96699999999998</v>
      </c>
      <c r="D147" s="531">
        <v>707967</v>
      </c>
      <c r="E147" s="494">
        <v>33058</v>
      </c>
      <c r="F147" s="495">
        <v>4116</v>
      </c>
      <c r="G147" s="471" t="s">
        <v>685</v>
      </c>
      <c r="I147" s="496"/>
      <c r="J147" s="497"/>
      <c r="K147" s="498"/>
    </row>
    <row r="148" spans="1:11" x14ac:dyDescent="0.25">
      <c r="A148" s="491">
        <v>42227</v>
      </c>
      <c r="B148" s="534" t="s">
        <v>364</v>
      </c>
      <c r="C148" s="505">
        <v>542.32799999999997</v>
      </c>
      <c r="D148" s="531">
        <v>542328</v>
      </c>
      <c r="E148" s="494">
        <v>33058</v>
      </c>
      <c r="F148" s="495">
        <v>4116</v>
      </c>
      <c r="G148" s="471" t="s">
        <v>685</v>
      </c>
      <c r="I148" s="496"/>
      <c r="J148" s="497"/>
      <c r="K148" s="498"/>
    </row>
    <row r="149" spans="1:11" x14ac:dyDescent="0.25">
      <c r="A149" s="491">
        <v>42227</v>
      </c>
      <c r="B149" s="534" t="s">
        <v>365</v>
      </c>
      <c r="C149" s="505">
        <v>605.84699999999998</v>
      </c>
      <c r="D149" s="531">
        <v>605847</v>
      </c>
      <c r="E149" s="494">
        <v>33058</v>
      </c>
      <c r="F149" s="495">
        <v>4116</v>
      </c>
      <c r="G149" s="471" t="s">
        <v>685</v>
      </c>
      <c r="I149" s="496"/>
      <c r="J149" s="497"/>
      <c r="K149" s="498"/>
    </row>
    <row r="150" spans="1:11" x14ac:dyDescent="0.25">
      <c r="A150" s="491">
        <v>42227</v>
      </c>
      <c r="B150" s="534" t="s">
        <v>366</v>
      </c>
      <c r="C150" s="505">
        <v>914.54499999999996</v>
      </c>
      <c r="D150" s="531">
        <v>914545</v>
      </c>
      <c r="E150" s="494">
        <v>33058</v>
      </c>
      <c r="F150" s="495">
        <v>4116</v>
      </c>
      <c r="G150" s="471" t="s">
        <v>685</v>
      </c>
      <c r="I150" s="496"/>
      <c r="J150" s="497"/>
      <c r="K150" s="498"/>
    </row>
    <row r="151" spans="1:11" x14ac:dyDescent="0.25">
      <c r="A151" s="491">
        <v>42229</v>
      </c>
      <c r="B151" s="534" t="s">
        <v>369</v>
      </c>
      <c r="C151" s="505">
        <v>614.12400000000002</v>
      </c>
      <c r="D151" s="531">
        <v>614124</v>
      </c>
      <c r="E151" s="494">
        <v>33058</v>
      </c>
      <c r="F151" s="495">
        <v>4116</v>
      </c>
      <c r="G151" s="471" t="s">
        <v>685</v>
      </c>
      <c r="I151" s="496"/>
      <c r="J151" s="497"/>
      <c r="K151" s="498"/>
    </row>
    <row r="152" spans="1:11" x14ac:dyDescent="0.25">
      <c r="A152" s="491">
        <v>42229</v>
      </c>
      <c r="B152" s="534" t="s">
        <v>370</v>
      </c>
      <c r="C152" s="505">
        <v>492.49200000000002</v>
      </c>
      <c r="D152" s="531">
        <v>492492</v>
      </c>
      <c r="E152" s="494">
        <v>33058</v>
      </c>
      <c r="F152" s="495">
        <v>4116</v>
      </c>
      <c r="G152" s="471" t="s">
        <v>685</v>
      </c>
      <c r="I152" s="496"/>
      <c r="J152" s="497"/>
      <c r="K152" s="498"/>
    </row>
    <row r="153" spans="1:11" x14ac:dyDescent="0.25">
      <c r="A153" s="491">
        <v>42233</v>
      </c>
      <c r="B153" s="534" t="s">
        <v>371</v>
      </c>
      <c r="C153" s="505">
        <v>378.98</v>
      </c>
      <c r="D153" s="531">
        <v>378980</v>
      </c>
      <c r="E153" s="494">
        <v>33058</v>
      </c>
      <c r="F153" s="495">
        <v>4116</v>
      </c>
      <c r="G153" s="471" t="s">
        <v>685</v>
      </c>
      <c r="I153" s="496"/>
      <c r="J153" s="497"/>
      <c r="K153" s="498"/>
    </row>
    <row r="154" spans="1:11" x14ac:dyDescent="0.25">
      <c r="A154" s="491">
        <v>42233</v>
      </c>
      <c r="B154" s="534" t="s">
        <v>372</v>
      </c>
      <c r="C154" s="505">
        <v>785.52</v>
      </c>
      <c r="D154" s="531">
        <v>785520</v>
      </c>
      <c r="E154" s="494">
        <v>33058</v>
      </c>
      <c r="F154" s="495">
        <v>4116</v>
      </c>
      <c r="G154" s="471" t="s">
        <v>685</v>
      </c>
      <c r="I154" s="496"/>
      <c r="J154" s="497"/>
      <c r="K154" s="498"/>
    </row>
    <row r="155" spans="1:11" x14ac:dyDescent="0.25">
      <c r="A155" s="491">
        <v>42233</v>
      </c>
      <c r="B155" s="534" t="s">
        <v>373</v>
      </c>
      <c r="C155" s="505">
        <v>447.12799999999999</v>
      </c>
      <c r="D155" s="531">
        <v>447128</v>
      </c>
      <c r="E155" s="494">
        <v>33058</v>
      </c>
      <c r="F155" s="495">
        <v>4116</v>
      </c>
      <c r="G155" s="471" t="s">
        <v>685</v>
      </c>
      <c r="I155" s="496"/>
      <c r="J155" s="497"/>
      <c r="K155" s="498"/>
    </row>
    <row r="156" spans="1:11" x14ac:dyDescent="0.25">
      <c r="A156" s="491">
        <v>42233</v>
      </c>
      <c r="B156" s="534" t="s">
        <v>374</v>
      </c>
      <c r="C156" s="505">
        <v>692.15</v>
      </c>
      <c r="D156" s="531">
        <v>692150</v>
      </c>
      <c r="E156" s="494">
        <v>33058</v>
      </c>
      <c r="F156" s="495">
        <v>4116</v>
      </c>
      <c r="G156" s="471" t="s">
        <v>685</v>
      </c>
      <c r="I156" s="496"/>
      <c r="J156" s="497"/>
      <c r="K156" s="498"/>
    </row>
    <row r="157" spans="1:11" x14ac:dyDescent="0.25">
      <c r="A157" s="491">
        <v>42236</v>
      </c>
      <c r="B157" s="534" t="s">
        <v>375</v>
      </c>
      <c r="C157" s="505">
        <v>479.97199999999998</v>
      </c>
      <c r="D157" s="531">
        <v>479972</v>
      </c>
      <c r="E157" s="494">
        <v>33058</v>
      </c>
      <c r="F157" s="495">
        <v>4116</v>
      </c>
      <c r="G157" s="471" t="s">
        <v>685</v>
      </c>
      <c r="I157" s="496"/>
      <c r="J157" s="497"/>
      <c r="K157" s="498"/>
    </row>
    <row r="158" spans="1:11" x14ac:dyDescent="0.25">
      <c r="A158" s="491">
        <v>42236</v>
      </c>
      <c r="B158" s="534" t="s">
        <v>376</v>
      </c>
      <c r="C158" s="505">
        <v>964.17700000000002</v>
      </c>
      <c r="D158" s="531">
        <v>964177</v>
      </c>
      <c r="E158" s="494">
        <v>33058</v>
      </c>
      <c r="F158" s="495">
        <v>4116</v>
      </c>
      <c r="G158" s="471" t="s">
        <v>685</v>
      </c>
      <c r="I158" s="496"/>
      <c r="J158" s="497"/>
      <c r="K158" s="498"/>
    </row>
    <row r="159" spans="1:11" x14ac:dyDescent="0.25">
      <c r="A159" s="491">
        <v>42236</v>
      </c>
      <c r="B159" s="534" t="s">
        <v>377</v>
      </c>
      <c r="C159" s="505">
        <v>736.59900000000005</v>
      </c>
      <c r="D159" s="531">
        <v>736599</v>
      </c>
      <c r="E159" s="494">
        <v>33058</v>
      </c>
      <c r="F159" s="495">
        <v>4116</v>
      </c>
      <c r="G159" s="471" t="s">
        <v>685</v>
      </c>
      <c r="I159" s="496"/>
      <c r="J159" s="497"/>
      <c r="K159" s="498"/>
    </row>
    <row r="160" spans="1:11" x14ac:dyDescent="0.25">
      <c r="A160" s="491">
        <v>42236</v>
      </c>
      <c r="B160" s="534" t="s">
        <v>378</v>
      </c>
      <c r="C160" s="505">
        <v>501.89699999999999</v>
      </c>
      <c r="D160" s="531">
        <v>501897</v>
      </c>
      <c r="E160" s="494">
        <v>33058</v>
      </c>
      <c r="F160" s="495">
        <v>4116</v>
      </c>
      <c r="G160" s="471" t="s">
        <v>685</v>
      </c>
      <c r="I160" s="496"/>
      <c r="J160" s="497"/>
      <c r="K160" s="498"/>
    </row>
    <row r="161" spans="1:11" x14ac:dyDescent="0.25">
      <c r="A161" s="491">
        <v>42240</v>
      </c>
      <c r="B161" s="534" t="s">
        <v>400</v>
      </c>
      <c r="C161" s="505">
        <v>390.37200000000001</v>
      </c>
      <c r="D161" s="531">
        <v>390372</v>
      </c>
      <c r="E161" s="494">
        <v>33058</v>
      </c>
      <c r="F161" s="495">
        <v>4116</v>
      </c>
      <c r="G161" s="471" t="s">
        <v>685</v>
      </c>
      <c r="I161" s="496"/>
      <c r="J161" s="497"/>
      <c r="K161" s="498"/>
    </row>
    <row r="162" spans="1:11" x14ac:dyDescent="0.25">
      <c r="A162" s="491">
        <v>42240</v>
      </c>
      <c r="B162" s="534" t="s">
        <v>384</v>
      </c>
      <c r="C162" s="505">
        <v>227.024</v>
      </c>
      <c r="D162" s="531">
        <v>227024</v>
      </c>
      <c r="E162" s="494">
        <v>33058</v>
      </c>
      <c r="F162" s="495">
        <v>4116</v>
      </c>
      <c r="G162" s="471" t="s">
        <v>685</v>
      </c>
      <c r="I162" s="496"/>
      <c r="J162" s="497"/>
      <c r="K162" s="498"/>
    </row>
    <row r="163" spans="1:11" x14ac:dyDescent="0.25">
      <c r="A163" s="491">
        <v>42240</v>
      </c>
      <c r="B163" s="534" t="s">
        <v>385</v>
      </c>
      <c r="C163" s="505">
        <v>649.077</v>
      </c>
      <c r="D163" s="531">
        <v>649077</v>
      </c>
      <c r="E163" s="494">
        <v>33058</v>
      </c>
      <c r="F163" s="495">
        <v>4116</v>
      </c>
      <c r="G163" s="471" t="s">
        <v>685</v>
      </c>
      <c r="I163" s="496"/>
      <c r="J163" s="497"/>
      <c r="K163" s="498"/>
    </row>
    <row r="164" spans="1:11" x14ac:dyDescent="0.25">
      <c r="A164" s="491">
        <v>42240</v>
      </c>
      <c r="B164" s="534" t="s">
        <v>386</v>
      </c>
      <c r="C164" s="505">
        <v>982.69299999999998</v>
      </c>
      <c r="D164" s="531">
        <v>982693</v>
      </c>
      <c r="E164" s="494">
        <v>33058</v>
      </c>
      <c r="F164" s="495">
        <v>4116</v>
      </c>
      <c r="G164" s="471" t="s">
        <v>685</v>
      </c>
      <c r="I164" s="496"/>
      <c r="J164" s="497"/>
      <c r="K164" s="498"/>
    </row>
    <row r="165" spans="1:11" x14ac:dyDescent="0.25">
      <c r="A165" s="491">
        <v>42240</v>
      </c>
      <c r="B165" s="534" t="s">
        <v>387</v>
      </c>
      <c r="C165" s="505">
        <v>481.1</v>
      </c>
      <c r="D165" s="531">
        <v>481100</v>
      </c>
      <c r="E165" s="494">
        <v>33058</v>
      </c>
      <c r="F165" s="495">
        <v>4116</v>
      </c>
      <c r="G165" s="471" t="s">
        <v>685</v>
      </c>
      <c r="I165" s="496"/>
      <c r="J165" s="497"/>
      <c r="K165" s="498"/>
    </row>
    <row r="166" spans="1:11" x14ac:dyDescent="0.25">
      <c r="A166" s="491">
        <v>42240</v>
      </c>
      <c r="B166" s="534" t="s">
        <v>388</v>
      </c>
      <c r="C166" s="505">
        <v>979.07</v>
      </c>
      <c r="D166" s="531">
        <v>979070</v>
      </c>
      <c r="E166" s="494">
        <v>33058</v>
      </c>
      <c r="F166" s="495">
        <v>4116</v>
      </c>
      <c r="G166" s="471" t="s">
        <v>685</v>
      </c>
      <c r="I166" s="496"/>
      <c r="J166" s="497"/>
      <c r="K166" s="498"/>
    </row>
    <row r="167" spans="1:11" x14ac:dyDescent="0.25">
      <c r="A167" s="491">
        <v>42240</v>
      </c>
      <c r="B167" s="534" t="s">
        <v>389</v>
      </c>
      <c r="C167" s="505">
        <v>354.06200000000001</v>
      </c>
      <c r="D167" s="531">
        <v>354062</v>
      </c>
      <c r="E167" s="494">
        <v>33058</v>
      </c>
      <c r="F167" s="495">
        <v>4116</v>
      </c>
      <c r="G167" s="471" t="s">
        <v>685</v>
      </c>
      <c r="I167" s="496"/>
      <c r="J167" s="497"/>
      <c r="K167" s="498"/>
    </row>
    <row r="168" spans="1:11" x14ac:dyDescent="0.25">
      <c r="A168" s="491">
        <v>42240</v>
      </c>
      <c r="B168" s="534" t="s">
        <v>390</v>
      </c>
      <c r="C168" s="505">
        <v>227.024</v>
      </c>
      <c r="D168" s="531">
        <v>227024</v>
      </c>
      <c r="E168" s="494">
        <v>33058</v>
      </c>
      <c r="F168" s="495">
        <v>4116</v>
      </c>
      <c r="G168" s="471" t="s">
        <v>685</v>
      </c>
      <c r="I168" s="496"/>
      <c r="J168" s="497"/>
      <c r="K168" s="498"/>
    </row>
    <row r="169" spans="1:11" x14ac:dyDescent="0.25">
      <c r="A169" s="491">
        <v>42240</v>
      </c>
      <c r="B169" s="534" t="s">
        <v>391</v>
      </c>
      <c r="C169" s="505">
        <v>998.44399999999996</v>
      </c>
      <c r="D169" s="531">
        <v>998444</v>
      </c>
      <c r="E169" s="494">
        <v>33058</v>
      </c>
      <c r="F169" s="495">
        <v>4116</v>
      </c>
      <c r="G169" s="471" t="s">
        <v>685</v>
      </c>
      <c r="I169" s="496"/>
      <c r="J169" s="497"/>
      <c r="K169" s="498"/>
    </row>
    <row r="170" spans="1:11" x14ac:dyDescent="0.25">
      <c r="A170" s="491">
        <v>42240</v>
      </c>
      <c r="B170" s="534" t="s">
        <v>540</v>
      </c>
      <c r="C170" s="505">
        <v>265.46800000000002</v>
      </c>
      <c r="D170" s="531">
        <v>265468</v>
      </c>
      <c r="E170" s="494">
        <v>33058</v>
      </c>
      <c r="F170" s="495">
        <v>4116</v>
      </c>
      <c r="G170" s="471" t="s">
        <v>685</v>
      </c>
      <c r="I170" s="496"/>
      <c r="J170" s="497"/>
      <c r="K170" s="498"/>
    </row>
    <row r="171" spans="1:11" x14ac:dyDescent="0.25">
      <c r="A171" s="491">
        <v>42242</v>
      </c>
      <c r="B171" s="533" t="s">
        <v>148</v>
      </c>
      <c r="C171" s="505">
        <v>2092.5357399999998</v>
      </c>
      <c r="D171" s="530">
        <v>2092535.74</v>
      </c>
      <c r="E171" s="494">
        <v>33019</v>
      </c>
      <c r="F171" s="495">
        <v>4116</v>
      </c>
      <c r="G171" s="471"/>
      <c r="I171" s="496"/>
      <c r="J171" s="497"/>
      <c r="K171" s="498"/>
    </row>
    <row r="172" spans="1:11" x14ac:dyDescent="0.25">
      <c r="A172" s="491">
        <v>42299</v>
      </c>
      <c r="B172" s="534" t="s">
        <v>544</v>
      </c>
      <c r="C172" s="505">
        <f>+D172/1000</f>
        <v>204.11199999999999</v>
      </c>
      <c r="D172" s="530">
        <v>204112</v>
      </c>
      <c r="E172" s="494">
        <v>33058</v>
      </c>
      <c r="F172" s="495">
        <v>4116</v>
      </c>
      <c r="G172" s="471" t="s">
        <v>685</v>
      </c>
      <c r="I172" s="496"/>
      <c r="J172" s="497"/>
      <c r="K172" s="498"/>
    </row>
    <row r="173" spans="1:11" x14ac:dyDescent="0.25">
      <c r="A173" s="491">
        <v>42299</v>
      </c>
      <c r="B173" s="534" t="s">
        <v>545</v>
      </c>
      <c r="C173" s="505">
        <f t="shared" ref="C173:C205" si="2">+D173/1000</f>
        <v>570.93200000000002</v>
      </c>
      <c r="D173" s="530">
        <v>570932</v>
      </c>
      <c r="E173" s="494">
        <v>33058</v>
      </c>
      <c r="F173" s="495">
        <v>4116</v>
      </c>
      <c r="G173" s="471" t="s">
        <v>685</v>
      </c>
      <c r="I173" s="496"/>
      <c r="J173" s="497"/>
      <c r="K173" s="498"/>
    </row>
    <row r="174" spans="1:11" x14ac:dyDescent="0.25">
      <c r="A174" s="491">
        <v>42299</v>
      </c>
      <c r="B174" s="534" t="s">
        <v>546</v>
      </c>
      <c r="C174" s="505">
        <f t="shared" si="2"/>
        <v>204.11199999999999</v>
      </c>
      <c r="D174" s="530">
        <v>204112</v>
      </c>
      <c r="E174" s="494">
        <v>33058</v>
      </c>
      <c r="F174" s="495">
        <v>4116</v>
      </c>
      <c r="G174" s="471" t="s">
        <v>685</v>
      </c>
      <c r="I174" s="496"/>
      <c r="J174" s="497"/>
      <c r="K174" s="498"/>
    </row>
    <row r="175" spans="1:11" x14ac:dyDescent="0.25">
      <c r="A175" s="491">
        <v>42299</v>
      </c>
      <c r="B175" s="534" t="s">
        <v>547</v>
      </c>
      <c r="C175" s="505">
        <f t="shared" si="2"/>
        <v>204.11199999999999</v>
      </c>
      <c r="D175" s="530">
        <v>204112</v>
      </c>
      <c r="E175" s="494">
        <v>33058</v>
      </c>
      <c r="F175" s="495">
        <v>4116</v>
      </c>
      <c r="G175" s="471" t="s">
        <v>685</v>
      </c>
      <c r="I175" s="496"/>
      <c r="J175" s="497"/>
      <c r="K175" s="498"/>
    </row>
    <row r="176" spans="1:11" x14ac:dyDescent="0.25">
      <c r="A176" s="491">
        <v>42299</v>
      </c>
      <c r="B176" s="534" t="s">
        <v>548</v>
      </c>
      <c r="C176" s="505">
        <f t="shared" si="2"/>
        <v>529.08699999999999</v>
      </c>
      <c r="D176" s="530">
        <v>529087</v>
      </c>
      <c r="E176" s="494">
        <v>33058</v>
      </c>
      <c r="F176" s="495">
        <v>4116</v>
      </c>
      <c r="G176" s="471" t="s">
        <v>685</v>
      </c>
      <c r="I176" s="496"/>
      <c r="J176" s="497"/>
      <c r="K176" s="498"/>
    </row>
    <row r="177" spans="1:11" x14ac:dyDescent="0.25">
      <c r="A177" s="491">
        <v>42299</v>
      </c>
      <c r="B177" s="534" t="s">
        <v>549</v>
      </c>
      <c r="C177" s="505">
        <f t="shared" si="2"/>
        <v>225.61600000000001</v>
      </c>
      <c r="D177" s="530">
        <v>225616</v>
      </c>
      <c r="E177" s="494">
        <v>33058</v>
      </c>
      <c r="F177" s="495">
        <v>4116</v>
      </c>
      <c r="G177" s="471" t="s">
        <v>685</v>
      </c>
      <c r="I177" s="496"/>
      <c r="J177" s="497"/>
      <c r="K177" s="498"/>
    </row>
    <row r="178" spans="1:11" x14ac:dyDescent="0.25">
      <c r="A178" s="491">
        <v>42299</v>
      </c>
      <c r="B178" s="534" t="s">
        <v>550</v>
      </c>
      <c r="C178" s="505">
        <f t="shared" si="2"/>
        <v>204.11199999999999</v>
      </c>
      <c r="D178" s="530">
        <v>204112</v>
      </c>
      <c r="E178" s="494">
        <v>33058</v>
      </c>
      <c r="F178" s="495">
        <v>4116</v>
      </c>
      <c r="G178" s="471" t="s">
        <v>685</v>
      </c>
      <c r="I178" s="496"/>
      <c r="J178" s="497"/>
      <c r="K178" s="498"/>
    </row>
    <row r="179" spans="1:11" x14ac:dyDescent="0.25">
      <c r="A179" s="491">
        <v>42299</v>
      </c>
      <c r="B179" s="534" t="s">
        <v>551</v>
      </c>
      <c r="C179" s="505">
        <f t="shared" si="2"/>
        <v>616.33799999999997</v>
      </c>
      <c r="D179" s="530">
        <v>616338</v>
      </c>
      <c r="E179" s="494">
        <v>33058</v>
      </c>
      <c r="F179" s="495">
        <v>4116</v>
      </c>
      <c r="G179" s="471" t="s">
        <v>685</v>
      </c>
      <c r="I179" s="496"/>
      <c r="J179" s="497"/>
      <c r="K179" s="498"/>
    </row>
    <row r="180" spans="1:11" x14ac:dyDescent="0.25">
      <c r="A180" s="491">
        <v>42299</v>
      </c>
      <c r="B180" s="534" t="s">
        <v>552</v>
      </c>
      <c r="C180" s="505">
        <f t="shared" si="2"/>
        <v>220.85</v>
      </c>
      <c r="D180" s="530">
        <v>220850</v>
      </c>
      <c r="E180" s="494">
        <v>33058</v>
      </c>
      <c r="F180" s="495">
        <v>4116</v>
      </c>
      <c r="G180" s="471" t="s">
        <v>685</v>
      </c>
      <c r="I180" s="496"/>
      <c r="J180" s="497"/>
      <c r="K180" s="498"/>
    </row>
    <row r="181" spans="1:11" x14ac:dyDescent="0.25">
      <c r="A181" s="491">
        <v>42299</v>
      </c>
      <c r="B181" s="534" t="s">
        <v>553</v>
      </c>
      <c r="C181" s="505">
        <f t="shared" si="2"/>
        <v>229.21899999999999</v>
      </c>
      <c r="D181" s="530">
        <v>229219</v>
      </c>
      <c r="E181" s="494">
        <v>33058</v>
      </c>
      <c r="F181" s="495">
        <v>4116</v>
      </c>
      <c r="G181" s="471" t="s">
        <v>685</v>
      </c>
      <c r="I181" s="496"/>
      <c r="J181" s="497"/>
      <c r="K181" s="498"/>
    </row>
    <row r="182" spans="1:11" x14ac:dyDescent="0.25">
      <c r="A182" s="491">
        <v>42299</v>
      </c>
      <c r="B182" s="534" t="s">
        <v>554</v>
      </c>
      <c r="C182" s="505">
        <f t="shared" si="2"/>
        <v>204.11199999999999</v>
      </c>
      <c r="D182" s="530">
        <v>204112</v>
      </c>
      <c r="E182" s="494">
        <v>33058</v>
      </c>
      <c r="F182" s="495">
        <v>4116</v>
      </c>
      <c r="G182" s="471" t="s">
        <v>685</v>
      </c>
      <c r="I182" s="496"/>
      <c r="J182" s="497"/>
      <c r="K182" s="498"/>
    </row>
    <row r="183" spans="1:11" x14ac:dyDescent="0.25">
      <c r="A183" s="491">
        <v>42300</v>
      </c>
      <c r="B183" s="534" t="s">
        <v>555</v>
      </c>
      <c r="C183" s="505">
        <f t="shared" si="2"/>
        <v>229.21899999999999</v>
      </c>
      <c r="D183" s="530">
        <v>229219</v>
      </c>
      <c r="E183" s="494">
        <v>33058</v>
      </c>
      <c r="F183" s="495">
        <v>4116</v>
      </c>
      <c r="G183" s="471" t="s">
        <v>685</v>
      </c>
      <c r="I183" s="496"/>
      <c r="J183" s="497"/>
      <c r="K183" s="498"/>
    </row>
    <row r="184" spans="1:11" x14ac:dyDescent="0.25">
      <c r="A184" s="491">
        <v>42300</v>
      </c>
      <c r="B184" s="534" t="s">
        <v>556</v>
      </c>
      <c r="C184" s="505">
        <f t="shared" si="2"/>
        <v>392.95600000000002</v>
      </c>
      <c r="D184" s="530">
        <v>392956</v>
      </c>
      <c r="E184" s="494">
        <v>33058</v>
      </c>
      <c r="F184" s="495">
        <v>4116</v>
      </c>
      <c r="G184" s="471" t="s">
        <v>685</v>
      </c>
      <c r="I184" s="496"/>
      <c r="J184" s="497"/>
      <c r="K184" s="498"/>
    </row>
    <row r="185" spans="1:11" x14ac:dyDescent="0.25">
      <c r="A185" s="491">
        <v>42300</v>
      </c>
      <c r="B185" s="534" t="s">
        <v>557</v>
      </c>
      <c r="C185" s="505">
        <f t="shared" si="2"/>
        <v>220.85</v>
      </c>
      <c r="D185" s="530">
        <v>220850</v>
      </c>
      <c r="E185" s="494">
        <v>33058</v>
      </c>
      <c r="F185" s="495">
        <v>4116</v>
      </c>
      <c r="G185" s="471" t="s">
        <v>685</v>
      </c>
      <c r="I185" s="496"/>
      <c r="J185" s="497"/>
      <c r="K185" s="498"/>
    </row>
    <row r="186" spans="1:11" x14ac:dyDescent="0.25">
      <c r="A186" s="491">
        <v>42300</v>
      </c>
      <c r="B186" s="534" t="s">
        <v>558</v>
      </c>
      <c r="C186" s="505">
        <f t="shared" si="2"/>
        <v>353.69200000000001</v>
      </c>
      <c r="D186" s="530">
        <v>353692</v>
      </c>
      <c r="E186" s="494">
        <v>33058</v>
      </c>
      <c r="F186" s="495">
        <v>4116</v>
      </c>
      <c r="G186" s="471" t="s">
        <v>685</v>
      </c>
      <c r="I186" s="496"/>
      <c r="J186" s="497"/>
      <c r="K186" s="498"/>
    </row>
    <row r="187" spans="1:11" x14ac:dyDescent="0.25">
      <c r="A187" s="491">
        <v>42300</v>
      </c>
      <c r="B187" s="534" t="s">
        <v>559</v>
      </c>
      <c r="C187" s="505">
        <f t="shared" si="2"/>
        <v>112.80800000000001</v>
      </c>
      <c r="D187" s="530">
        <v>112808</v>
      </c>
      <c r="E187" s="494">
        <v>33058</v>
      </c>
      <c r="F187" s="495">
        <v>4116</v>
      </c>
      <c r="G187" s="471" t="s">
        <v>685</v>
      </c>
      <c r="I187" s="496"/>
      <c r="J187" s="497"/>
      <c r="K187" s="498"/>
    </row>
    <row r="188" spans="1:11" x14ac:dyDescent="0.25">
      <c r="A188" s="491">
        <v>42300</v>
      </c>
      <c r="B188" s="534" t="s">
        <v>560</v>
      </c>
      <c r="C188" s="505">
        <f t="shared" si="2"/>
        <v>220.85</v>
      </c>
      <c r="D188" s="530">
        <v>220850</v>
      </c>
      <c r="E188" s="494">
        <v>33058</v>
      </c>
      <c r="F188" s="495">
        <v>4116</v>
      </c>
      <c r="G188" s="471" t="s">
        <v>685</v>
      </c>
      <c r="I188" s="496"/>
      <c r="J188" s="497"/>
      <c r="K188" s="498"/>
    </row>
    <row r="189" spans="1:11" x14ac:dyDescent="0.25">
      <c r="A189" s="491">
        <v>42310</v>
      </c>
      <c r="B189" s="534" t="s">
        <v>574</v>
      </c>
      <c r="C189" s="505">
        <f t="shared" si="2"/>
        <v>299.16000000000003</v>
      </c>
      <c r="D189" s="530">
        <f>254286+44874</f>
        <v>299160</v>
      </c>
      <c r="E189" s="494">
        <v>33058</v>
      </c>
      <c r="F189" s="495">
        <v>4116</v>
      </c>
      <c r="G189" s="471" t="s">
        <v>685</v>
      </c>
      <c r="I189" s="496"/>
      <c r="J189" s="497"/>
      <c r="K189" s="498"/>
    </row>
    <row r="190" spans="1:11" x14ac:dyDescent="0.25">
      <c r="A190" s="491">
        <v>42310</v>
      </c>
      <c r="B190" s="534" t="s">
        <v>575</v>
      </c>
      <c r="C190" s="505">
        <f t="shared" si="2"/>
        <v>220.85</v>
      </c>
      <c r="D190" s="530">
        <f>187722.5+33127.5</f>
        <v>220850</v>
      </c>
      <c r="E190" s="494">
        <v>33058</v>
      </c>
      <c r="F190" s="495">
        <v>4116</v>
      </c>
      <c r="G190" s="471" t="s">
        <v>685</v>
      </c>
      <c r="I190" s="496"/>
      <c r="J190" s="497"/>
      <c r="K190" s="498"/>
    </row>
    <row r="191" spans="1:11" x14ac:dyDescent="0.25">
      <c r="A191" s="491">
        <v>42310</v>
      </c>
      <c r="B191" s="534" t="s">
        <v>573</v>
      </c>
      <c r="C191" s="505">
        <f t="shared" si="2"/>
        <v>212.48099999999999</v>
      </c>
      <c r="D191" s="530">
        <f>180608.85+31872.15</f>
        <v>212481</v>
      </c>
      <c r="E191" s="494">
        <v>33058</v>
      </c>
      <c r="F191" s="495">
        <v>4116</v>
      </c>
      <c r="G191" s="471" t="s">
        <v>685</v>
      </c>
      <c r="I191" s="496"/>
      <c r="J191" s="497"/>
      <c r="K191" s="498"/>
    </row>
    <row r="192" spans="1:11" x14ac:dyDescent="0.25">
      <c r="A192" s="491">
        <v>42310</v>
      </c>
      <c r="B192" s="534" t="s">
        <v>576</v>
      </c>
      <c r="C192" s="505">
        <f t="shared" si="2"/>
        <v>220.85</v>
      </c>
      <c r="D192" s="530">
        <f>187722.5+33127.5</f>
        <v>220850</v>
      </c>
      <c r="E192" s="494">
        <v>33058</v>
      </c>
      <c r="F192" s="495">
        <v>4116</v>
      </c>
      <c r="G192" s="471" t="s">
        <v>685</v>
      </c>
      <c r="I192" s="496"/>
      <c r="J192" s="497"/>
      <c r="K192" s="498"/>
    </row>
    <row r="193" spans="1:11" x14ac:dyDescent="0.25">
      <c r="A193" s="491">
        <v>42310</v>
      </c>
      <c r="B193" s="534" t="s">
        <v>577</v>
      </c>
      <c r="C193" s="505">
        <f t="shared" si="2"/>
        <v>220.85</v>
      </c>
      <c r="D193" s="530">
        <f>187722.5+33127.5</f>
        <v>220850</v>
      </c>
      <c r="E193" s="494">
        <v>33058</v>
      </c>
      <c r="F193" s="495">
        <v>4116</v>
      </c>
      <c r="G193" s="471" t="s">
        <v>685</v>
      </c>
      <c r="I193" s="496"/>
      <c r="J193" s="497"/>
      <c r="K193" s="498"/>
    </row>
    <row r="194" spans="1:11" x14ac:dyDescent="0.25">
      <c r="A194" s="491">
        <v>42310</v>
      </c>
      <c r="B194" s="534" t="s">
        <v>578</v>
      </c>
      <c r="C194" s="505">
        <f t="shared" si="2"/>
        <v>225.56899999999999</v>
      </c>
      <c r="D194" s="530">
        <f>191733.65+33835.35</f>
        <v>225569</v>
      </c>
      <c r="E194" s="494">
        <v>33058</v>
      </c>
      <c r="F194" s="495">
        <v>4116</v>
      </c>
      <c r="G194" s="471" t="s">
        <v>685</v>
      </c>
      <c r="I194" s="496"/>
      <c r="J194" s="497"/>
      <c r="K194" s="498"/>
    </row>
    <row r="195" spans="1:11" x14ac:dyDescent="0.25">
      <c r="A195" s="491">
        <v>42310</v>
      </c>
      <c r="B195" s="534" t="s">
        <v>579</v>
      </c>
      <c r="C195" s="505">
        <f t="shared" si="2"/>
        <v>204.11199999999999</v>
      </c>
      <c r="D195" s="530">
        <f>173495.2+30616.8</f>
        <v>204112</v>
      </c>
      <c r="E195" s="494">
        <v>33058</v>
      </c>
      <c r="F195" s="495">
        <v>4116</v>
      </c>
      <c r="G195" s="471" t="s">
        <v>685</v>
      </c>
      <c r="I195" s="496"/>
      <c r="J195" s="497"/>
      <c r="K195" s="498"/>
    </row>
    <row r="196" spans="1:11" x14ac:dyDescent="0.25">
      <c r="A196" s="491">
        <v>42310</v>
      </c>
      <c r="B196" s="534" t="s">
        <v>580</v>
      </c>
      <c r="C196" s="505">
        <f t="shared" si="2"/>
        <v>204.11199999999999</v>
      </c>
      <c r="D196" s="530">
        <f>173495.2+30616.8</f>
        <v>204112</v>
      </c>
      <c r="E196" s="494">
        <v>33058</v>
      </c>
      <c r="F196" s="495">
        <v>4116</v>
      </c>
      <c r="G196" s="471" t="s">
        <v>685</v>
      </c>
      <c r="I196" s="496"/>
      <c r="J196" s="497"/>
      <c r="K196" s="498"/>
    </row>
    <row r="197" spans="1:11" x14ac:dyDescent="0.25">
      <c r="A197" s="491">
        <v>42310</v>
      </c>
      <c r="B197" s="534" t="s">
        <v>581</v>
      </c>
      <c r="C197" s="505">
        <f t="shared" si="2"/>
        <v>212.48099999999999</v>
      </c>
      <c r="D197" s="530">
        <f>180608.85+31872.15</f>
        <v>212481</v>
      </c>
      <c r="E197" s="494">
        <v>33058</v>
      </c>
      <c r="F197" s="495">
        <v>4116</v>
      </c>
      <c r="G197" s="471" t="s">
        <v>685</v>
      </c>
      <c r="I197" s="496"/>
      <c r="J197" s="497"/>
      <c r="K197" s="498"/>
    </row>
    <row r="198" spans="1:11" x14ac:dyDescent="0.25">
      <c r="A198" s="491">
        <v>42310</v>
      </c>
      <c r="B198" s="534" t="s">
        <v>582</v>
      </c>
      <c r="C198" s="505">
        <f t="shared" si="2"/>
        <v>338.01600000000002</v>
      </c>
      <c r="D198" s="530">
        <f>287313.6+50702.4</f>
        <v>338016</v>
      </c>
      <c r="E198" s="494">
        <v>33058</v>
      </c>
      <c r="F198" s="495">
        <v>4116</v>
      </c>
      <c r="G198" s="471" t="s">
        <v>685</v>
      </c>
      <c r="I198" s="496"/>
      <c r="J198" s="497"/>
      <c r="K198" s="498"/>
    </row>
    <row r="199" spans="1:11" x14ac:dyDescent="0.25">
      <c r="A199" s="491">
        <v>42310</v>
      </c>
      <c r="B199" s="534" t="s">
        <v>583</v>
      </c>
      <c r="C199" s="505">
        <f t="shared" si="2"/>
        <v>204.11199999999999</v>
      </c>
      <c r="D199" s="530">
        <f>173495.2+30616.8</f>
        <v>204112</v>
      </c>
      <c r="E199" s="494">
        <v>33058</v>
      </c>
      <c r="F199" s="495">
        <v>4116</v>
      </c>
      <c r="G199" s="471" t="s">
        <v>685</v>
      </c>
      <c r="I199" s="496"/>
      <c r="J199" s="497"/>
      <c r="K199" s="498"/>
    </row>
    <row r="200" spans="1:11" x14ac:dyDescent="0.25">
      <c r="A200" s="491">
        <v>42310</v>
      </c>
      <c r="B200" s="534" t="s">
        <v>584</v>
      </c>
      <c r="C200" s="505">
        <f t="shared" si="2"/>
        <v>204.11199999999999</v>
      </c>
      <c r="D200" s="530">
        <f>173495.2+30616.8</f>
        <v>204112</v>
      </c>
      <c r="E200" s="494">
        <v>33058</v>
      </c>
      <c r="F200" s="495">
        <v>4116</v>
      </c>
      <c r="G200" s="471" t="s">
        <v>685</v>
      </c>
      <c r="I200" s="496"/>
      <c r="J200" s="497"/>
      <c r="K200" s="498"/>
    </row>
    <row r="201" spans="1:11" x14ac:dyDescent="0.25">
      <c r="A201" s="491">
        <v>42310</v>
      </c>
      <c r="B201" s="534" t="s">
        <v>585</v>
      </c>
      <c r="C201" s="505">
        <f t="shared" si="2"/>
        <v>212.48099999999999</v>
      </c>
      <c r="D201" s="530">
        <f>180608.85+31872.15</f>
        <v>212481</v>
      </c>
      <c r="E201" s="494">
        <v>33058</v>
      </c>
      <c r="F201" s="495">
        <v>4116</v>
      </c>
      <c r="G201" s="471" t="s">
        <v>685</v>
      </c>
      <c r="I201" s="496"/>
      <c r="J201" s="497"/>
      <c r="K201" s="498"/>
    </row>
    <row r="202" spans="1:11" x14ac:dyDescent="0.25">
      <c r="A202" s="491">
        <v>42310</v>
      </c>
      <c r="B202" s="534" t="s">
        <v>586</v>
      </c>
      <c r="C202" s="505">
        <f t="shared" si="2"/>
        <v>212.48099999999999</v>
      </c>
      <c r="D202" s="530">
        <f>180608.85+31872.15</f>
        <v>212481</v>
      </c>
      <c r="E202" s="494">
        <v>33058</v>
      </c>
      <c r="F202" s="495">
        <v>4116</v>
      </c>
      <c r="G202" s="471" t="s">
        <v>685</v>
      </c>
      <c r="I202" s="496"/>
      <c r="J202" s="497"/>
      <c r="K202" s="498"/>
    </row>
    <row r="203" spans="1:11" x14ac:dyDescent="0.25">
      <c r="A203" s="491">
        <v>42310</v>
      </c>
      <c r="B203" s="534" t="s">
        <v>587</v>
      </c>
      <c r="C203" s="505">
        <f t="shared" si="2"/>
        <v>477.40800000000002</v>
      </c>
      <c r="D203" s="530">
        <f>405796.8+71611.2</f>
        <v>477408</v>
      </c>
      <c r="E203" s="494">
        <v>33058</v>
      </c>
      <c r="F203" s="495">
        <v>4116</v>
      </c>
      <c r="G203" s="471" t="s">
        <v>685</v>
      </c>
      <c r="I203" s="496"/>
      <c r="J203" s="497"/>
      <c r="K203" s="498"/>
    </row>
    <row r="204" spans="1:11" x14ac:dyDescent="0.25">
      <c r="A204" s="491">
        <v>42312</v>
      </c>
      <c r="B204" s="534" t="s">
        <v>592</v>
      </c>
      <c r="C204" s="505">
        <f t="shared" si="2"/>
        <v>237.58799999999999</v>
      </c>
      <c r="D204" s="530">
        <f>201949.8+35638.2</f>
        <v>237588</v>
      </c>
      <c r="E204" s="494">
        <v>33058</v>
      </c>
      <c r="F204" s="495">
        <v>4116</v>
      </c>
      <c r="G204" s="471" t="s">
        <v>685</v>
      </c>
      <c r="I204" s="496"/>
      <c r="J204" s="497"/>
      <c r="K204" s="498"/>
    </row>
    <row r="205" spans="1:11" x14ac:dyDescent="0.25">
      <c r="A205" s="491">
        <v>42312</v>
      </c>
      <c r="B205" s="534" t="s">
        <v>593</v>
      </c>
      <c r="C205" s="505">
        <f t="shared" si="2"/>
        <v>333.65800000000002</v>
      </c>
      <c r="D205" s="530">
        <f>283609.3+50048.7</f>
        <v>333658</v>
      </c>
      <c r="E205" s="494">
        <v>33058</v>
      </c>
      <c r="F205" s="495">
        <v>4116</v>
      </c>
      <c r="G205" s="471" t="s">
        <v>685</v>
      </c>
      <c r="I205" s="496"/>
      <c r="J205" s="497"/>
      <c r="K205" s="498"/>
    </row>
    <row r="206" spans="1:11" x14ac:dyDescent="0.25">
      <c r="A206" s="491">
        <v>42326</v>
      </c>
      <c r="B206" s="533" t="s">
        <v>605</v>
      </c>
      <c r="C206" s="505">
        <v>-496.64810999999997</v>
      </c>
      <c r="D206" s="530">
        <v>-496648.11</v>
      </c>
      <c r="E206" s="494">
        <v>33019</v>
      </c>
      <c r="F206" s="495">
        <v>4116</v>
      </c>
      <c r="G206" s="471"/>
      <c r="I206" s="496"/>
      <c r="J206" s="497"/>
      <c r="K206" s="498"/>
    </row>
    <row r="207" spans="1:11" x14ac:dyDescent="0.25">
      <c r="A207" s="491">
        <v>42327</v>
      </c>
      <c r="B207" s="499" t="s">
        <v>606</v>
      </c>
      <c r="C207" s="505">
        <v>-167.35856999999999</v>
      </c>
      <c r="D207" s="530">
        <v>-167358.57</v>
      </c>
      <c r="E207" s="494">
        <v>33019</v>
      </c>
      <c r="F207" s="495">
        <v>4116</v>
      </c>
      <c r="G207" s="471"/>
      <c r="I207" s="496"/>
      <c r="J207" s="497"/>
      <c r="K207" s="498"/>
    </row>
    <row r="208" spans="1:11" x14ac:dyDescent="0.25">
      <c r="A208" s="491">
        <v>42338</v>
      </c>
      <c r="B208" s="533" t="s">
        <v>597</v>
      </c>
      <c r="C208" s="505">
        <v>-629.31254999999999</v>
      </c>
      <c r="D208" s="530">
        <v>-629312.55000000005</v>
      </c>
      <c r="E208" s="494">
        <v>33019</v>
      </c>
      <c r="F208" s="495">
        <v>4116</v>
      </c>
      <c r="G208" s="471"/>
      <c r="I208" s="496"/>
      <c r="J208" s="497"/>
      <c r="K208" s="498"/>
    </row>
    <row r="209" spans="1:11" x14ac:dyDescent="0.25">
      <c r="A209" s="491"/>
      <c r="B209" s="533"/>
      <c r="C209" s="505"/>
      <c r="D209" s="530"/>
      <c r="E209" s="494"/>
      <c r="F209" s="495"/>
      <c r="G209" s="471"/>
      <c r="I209" s="496"/>
      <c r="J209" s="497"/>
      <c r="K209" s="498"/>
    </row>
    <row r="210" spans="1:11" x14ac:dyDescent="0.25">
      <c r="A210" s="491"/>
      <c r="B210" s="492" t="s">
        <v>35</v>
      </c>
      <c r="C210" s="506">
        <f>+SUM(C211:C218)</f>
        <v>3499.8644400000003</v>
      </c>
      <c r="D210" s="506">
        <f>+SUM(D211:D218)</f>
        <v>3499864.44</v>
      </c>
      <c r="E210" s="494"/>
      <c r="F210" s="495"/>
      <c r="G210" s="471"/>
      <c r="I210" s="496"/>
      <c r="J210" s="497"/>
      <c r="K210" s="498"/>
    </row>
    <row r="211" spans="1:11" x14ac:dyDescent="0.25">
      <c r="A211" s="491">
        <v>42040</v>
      </c>
      <c r="B211" s="499" t="s">
        <v>60</v>
      </c>
      <c r="C211" s="529">
        <v>2686.6678700000002</v>
      </c>
      <c r="D211" s="529">
        <v>2686667.87</v>
      </c>
      <c r="E211" s="494">
        <v>17003</v>
      </c>
      <c r="F211" s="495" t="s">
        <v>18</v>
      </c>
      <c r="G211" s="471"/>
      <c r="I211" s="496"/>
      <c r="J211" s="497"/>
      <c r="K211" s="498"/>
    </row>
    <row r="212" spans="1:11" x14ac:dyDescent="0.25">
      <c r="A212" s="491">
        <v>42059</v>
      </c>
      <c r="B212" s="499" t="s">
        <v>105</v>
      </c>
      <c r="C212" s="529">
        <v>188.21549999999999</v>
      </c>
      <c r="D212" s="529">
        <v>188215.5</v>
      </c>
      <c r="E212" s="494">
        <v>17003</v>
      </c>
      <c r="F212" s="495">
        <v>4116</v>
      </c>
      <c r="G212" s="471"/>
      <c r="I212" s="496"/>
      <c r="J212" s="497"/>
      <c r="K212" s="498"/>
    </row>
    <row r="213" spans="1:11" x14ac:dyDescent="0.25">
      <c r="A213" s="491">
        <v>42059</v>
      </c>
      <c r="B213" s="499" t="s">
        <v>105</v>
      </c>
      <c r="C213" s="529">
        <v>33.214500000000001</v>
      </c>
      <c r="D213" s="529">
        <v>33214.5</v>
      </c>
      <c r="E213" s="494">
        <v>17002</v>
      </c>
      <c r="F213" s="495">
        <v>4116</v>
      </c>
      <c r="G213" s="471"/>
      <c r="I213" s="496"/>
      <c r="J213" s="497"/>
      <c r="K213" s="498"/>
    </row>
    <row r="214" spans="1:11" x14ac:dyDescent="0.25">
      <c r="A214" s="491">
        <v>42241</v>
      </c>
      <c r="B214" s="499" t="s">
        <v>379</v>
      </c>
      <c r="C214" s="529">
        <v>-188.21549999999999</v>
      </c>
      <c r="D214" s="529">
        <v>-188215.5</v>
      </c>
      <c r="E214" s="494">
        <v>17003</v>
      </c>
      <c r="F214" s="495">
        <v>4116</v>
      </c>
      <c r="G214" s="471"/>
      <c r="I214" s="496"/>
      <c r="J214" s="497"/>
      <c r="K214" s="498"/>
    </row>
    <row r="215" spans="1:11" x14ac:dyDescent="0.25">
      <c r="A215" s="491">
        <v>42241</v>
      </c>
      <c r="B215" s="499" t="s">
        <v>379</v>
      </c>
      <c r="C215" s="529">
        <v>-33.214500000000001</v>
      </c>
      <c r="D215" s="529">
        <v>-33214.5</v>
      </c>
      <c r="E215" s="494">
        <v>17002</v>
      </c>
      <c r="F215" s="495">
        <v>4116</v>
      </c>
      <c r="G215" s="471"/>
      <c r="I215" s="496"/>
      <c r="J215" s="497"/>
      <c r="K215" s="498"/>
    </row>
    <row r="216" spans="1:11" x14ac:dyDescent="0.25">
      <c r="A216" s="491">
        <v>42318</v>
      </c>
      <c r="B216" s="508" t="s">
        <v>601</v>
      </c>
      <c r="C216" s="529">
        <v>12.06457</v>
      </c>
      <c r="D216" s="529">
        <v>12064.57</v>
      </c>
      <c r="E216" s="494">
        <v>17007</v>
      </c>
      <c r="F216" s="495">
        <v>4116</v>
      </c>
      <c r="G216" s="471" t="s">
        <v>685</v>
      </c>
      <c r="I216" s="496"/>
      <c r="J216" s="497"/>
      <c r="K216" s="498"/>
    </row>
    <row r="217" spans="1:11" x14ac:dyDescent="0.25">
      <c r="A217" s="491"/>
      <c r="B217" s="536" t="s">
        <v>541</v>
      </c>
      <c r="C217" s="529">
        <v>801.13199999999995</v>
      </c>
      <c r="D217" s="529">
        <v>801132</v>
      </c>
      <c r="E217" s="494">
        <v>17005</v>
      </c>
      <c r="F217" s="495">
        <v>4116</v>
      </c>
      <c r="G217" s="503"/>
      <c r="I217" s="496"/>
      <c r="J217" s="497">
        <v>801132</v>
      </c>
      <c r="K217" s="498"/>
    </row>
    <row r="218" spans="1:11" x14ac:dyDescent="0.25">
      <c r="A218" s="491"/>
      <c r="B218" s="537"/>
      <c r="C218" s="529"/>
      <c r="D218" s="529"/>
      <c r="E218" s="494"/>
      <c r="F218" s="495"/>
      <c r="G218" s="471"/>
      <c r="I218" s="496"/>
      <c r="J218" s="497"/>
      <c r="K218" s="498"/>
    </row>
    <row r="219" spans="1:11" x14ac:dyDescent="0.25">
      <c r="A219" s="491"/>
      <c r="B219" s="538" t="s">
        <v>36</v>
      </c>
      <c r="C219" s="506">
        <f>+SUM(C220:C225)</f>
        <v>59159.327660000003</v>
      </c>
      <c r="D219" s="506">
        <f>+SUM(D220:D225)</f>
        <v>59159327.660000004</v>
      </c>
      <c r="E219" s="494"/>
      <c r="F219" s="495"/>
      <c r="G219" s="471"/>
      <c r="I219" s="496"/>
      <c r="J219" s="497"/>
      <c r="K219" s="498"/>
    </row>
    <row r="220" spans="1:11" x14ac:dyDescent="0.25">
      <c r="A220" s="491">
        <v>42163</v>
      </c>
      <c r="B220" s="499" t="s">
        <v>237</v>
      </c>
      <c r="C220" s="505">
        <v>46797.196000000004</v>
      </c>
      <c r="D220" s="529">
        <v>46797196</v>
      </c>
      <c r="E220" s="494">
        <v>13011</v>
      </c>
      <c r="F220" s="495">
        <v>4116</v>
      </c>
      <c r="G220" s="503" t="s">
        <v>348</v>
      </c>
      <c r="I220" s="496"/>
      <c r="J220" s="497">
        <v>42649848</v>
      </c>
      <c r="K220" s="498"/>
    </row>
    <row r="221" spans="1:11" x14ac:dyDescent="0.25">
      <c r="A221" s="491">
        <v>42163</v>
      </c>
      <c r="B221" s="499" t="s">
        <v>238</v>
      </c>
      <c r="C221" s="505">
        <v>505.56599999999997</v>
      </c>
      <c r="D221" s="529">
        <v>505566</v>
      </c>
      <c r="E221" s="494">
        <v>13011</v>
      </c>
      <c r="F221" s="495">
        <v>4116</v>
      </c>
      <c r="G221" s="471"/>
      <c r="I221" s="496"/>
      <c r="J221" s="497"/>
      <c r="K221" s="498"/>
    </row>
    <row r="222" spans="1:11" x14ac:dyDescent="0.25">
      <c r="A222" s="491">
        <v>42271</v>
      </c>
      <c r="B222" s="499" t="s">
        <v>423</v>
      </c>
      <c r="C222" s="505">
        <v>12309</v>
      </c>
      <c r="D222" s="529">
        <v>12309000</v>
      </c>
      <c r="E222" s="494">
        <v>13015</v>
      </c>
      <c r="F222" s="495">
        <v>4116</v>
      </c>
      <c r="G222" s="471"/>
      <c r="I222" s="496"/>
      <c r="J222" s="497"/>
      <c r="K222" s="498"/>
    </row>
    <row r="223" spans="1:11" x14ac:dyDescent="0.25">
      <c r="A223" s="491">
        <v>42312</v>
      </c>
      <c r="B223" s="499" t="s">
        <v>594</v>
      </c>
      <c r="C223" s="505">
        <v>-1500</v>
      </c>
      <c r="D223" s="529">
        <v>-1500000</v>
      </c>
      <c r="E223" s="494">
        <v>13011</v>
      </c>
      <c r="F223" s="495">
        <v>4116</v>
      </c>
      <c r="G223" s="471"/>
      <c r="I223" s="496"/>
      <c r="J223" s="497"/>
      <c r="K223" s="498"/>
    </row>
    <row r="224" spans="1:11" x14ac:dyDescent="0.25">
      <c r="A224" s="491"/>
      <c r="B224" s="522" t="s">
        <v>196</v>
      </c>
      <c r="C224" s="539">
        <f>181.30393+81.16981</f>
        <v>262.47374000000002</v>
      </c>
      <c r="D224" s="539">
        <f>181303.93+81169.81</f>
        <v>262473.74</v>
      </c>
      <c r="E224" s="494">
        <v>13233</v>
      </c>
      <c r="F224" s="495">
        <v>4116</v>
      </c>
      <c r="G224" s="471"/>
      <c r="I224" s="496"/>
      <c r="J224" s="497">
        <f>181303.93+81169.81</f>
        <v>262473.74</v>
      </c>
      <c r="K224" s="498"/>
    </row>
    <row r="225" spans="1:11" x14ac:dyDescent="0.25">
      <c r="A225" s="491"/>
      <c r="B225" s="522" t="s">
        <v>203</v>
      </c>
      <c r="C225" s="539">
        <f>327.72258+457.36934</f>
        <v>785.09192000000007</v>
      </c>
      <c r="D225" s="539">
        <f>327722.58+457369.34</f>
        <v>785091.92</v>
      </c>
      <c r="E225" s="494">
        <v>13233</v>
      </c>
      <c r="F225" s="495">
        <v>4116</v>
      </c>
      <c r="G225" s="471"/>
      <c r="I225" s="496"/>
      <c r="J225" s="497">
        <f>327722.58+457369.34</f>
        <v>785091.92</v>
      </c>
      <c r="K225" s="498"/>
    </row>
    <row r="226" spans="1:11" x14ac:dyDescent="0.25">
      <c r="A226" s="491"/>
      <c r="B226" s="540"/>
      <c r="C226" s="535"/>
      <c r="D226" s="541"/>
      <c r="E226" s="494"/>
      <c r="F226" s="495"/>
      <c r="G226" s="471"/>
      <c r="I226" s="496"/>
      <c r="J226" s="497"/>
      <c r="K226" s="498"/>
    </row>
    <row r="227" spans="1:11" x14ac:dyDescent="0.25">
      <c r="A227" s="491"/>
      <c r="B227" s="492" t="s">
        <v>38</v>
      </c>
      <c r="C227" s="506">
        <f>+C228+C229</f>
        <v>747.2</v>
      </c>
      <c r="D227" s="506">
        <f>+D228+D229</f>
        <v>747200</v>
      </c>
      <c r="E227" s="494"/>
      <c r="F227" s="495"/>
      <c r="G227" s="471"/>
      <c r="I227" s="496"/>
      <c r="J227" s="497"/>
      <c r="K227" s="498"/>
    </row>
    <row r="228" spans="1:11" x14ac:dyDescent="0.25">
      <c r="A228" s="491">
        <v>42051</v>
      </c>
      <c r="B228" s="499" t="s">
        <v>39</v>
      </c>
      <c r="C228" s="535">
        <v>600</v>
      </c>
      <c r="D228" s="535">
        <v>600000</v>
      </c>
      <c r="E228" s="494">
        <v>22005</v>
      </c>
      <c r="F228" s="495" t="s">
        <v>18</v>
      </c>
      <c r="G228" s="471"/>
      <c r="I228" s="496"/>
      <c r="J228" s="497"/>
      <c r="K228" s="498"/>
    </row>
    <row r="229" spans="1:11" x14ac:dyDescent="0.25">
      <c r="A229" s="491">
        <v>42324</v>
      </c>
      <c r="B229" s="499" t="s">
        <v>607</v>
      </c>
      <c r="C229" s="535">
        <v>147.19999999999999</v>
      </c>
      <c r="D229" s="535">
        <v>147200</v>
      </c>
      <c r="E229" s="494">
        <v>22003</v>
      </c>
      <c r="F229" s="495">
        <v>4116</v>
      </c>
      <c r="G229" s="471"/>
      <c r="I229" s="496"/>
      <c r="J229" s="497"/>
      <c r="K229" s="498"/>
    </row>
    <row r="230" spans="1:11" x14ac:dyDescent="0.25">
      <c r="A230" s="491"/>
      <c r="B230" s="533"/>
      <c r="C230" s="535"/>
      <c r="D230" s="535"/>
      <c r="E230" s="494"/>
      <c r="F230" s="495"/>
      <c r="G230" s="471"/>
      <c r="I230" s="496"/>
      <c r="J230" s="497"/>
      <c r="K230" s="498"/>
    </row>
    <row r="231" spans="1:11" x14ac:dyDescent="0.25">
      <c r="A231" s="491"/>
      <c r="B231" s="492" t="s">
        <v>40</v>
      </c>
      <c r="C231" s="506">
        <f>SUM(C232:C253)</f>
        <v>2297.6125699999998</v>
      </c>
      <c r="D231" s="506">
        <f>SUM(D232:D253)</f>
        <v>2297612.5699999998</v>
      </c>
      <c r="E231" s="494"/>
      <c r="F231" s="495"/>
      <c r="G231" s="471"/>
      <c r="I231" s="496"/>
      <c r="J231" s="497"/>
      <c r="K231" s="498"/>
    </row>
    <row r="232" spans="1:11" x14ac:dyDescent="0.25">
      <c r="A232" s="491">
        <v>42081</v>
      </c>
      <c r="B232" s="533" t="s">
        <v>118</v>
      </c>
      <c r="C232" s="535">
        <v>134.988</v>
      </c>
      <c r="D232" s="542">
        <v>134988</v>
      </c>
      <c r="E232" s="494">
        <v>14023</v>
      </c>
      <c r="F232" s="495">
        <v>4116</v>
      </c>
      <c r="G232" s="471"/>
      <c r="I232" s="496"/>
      <c r="J232" s="497"/>
      <c r="K232" s="498"/>
    </row>
    <row r="233" spans="1:11" x14ac:dyDescent="0.25">
      <c r="A233" s="491">
        <v>42082</v>
      </c>
      <c r="B233" s="533" t="s">
        <v>119</v>
      </c>
      <c r="C233" s="535">
        <v>72</v>
      </c>
      <c r="D233" s="542">
        <v>72000</v>
      </c>
      <c r="E233" s="494">
        <v>14336</v>
      </c>
      <c r="F233" s="495">
        <v>4116</v>
      </c>
      <c r="G233" s="471"/>
      <c r="I233" s="496"/>
      <c r="J233" s="497"/>
      <c r="K233" s="498"/>
    </row>
    <row r="234" spans="1:11" x14ac:dyDescent="0.25">
      <c r="A234" s="491">
        <v>42087</v>
      </c>
      <c r="B234" s="533" t="s">
        <v>118</v>
      </c>
      <c r="C234" s="535">
        <v>0.8</v>
      </c>
      <c r="D234" s="542">
        <v>800</v>
      </c>
      <c r="E234" s="494">
        <v>14023</v>
      </c>
      <c r="F234" s="495">
        <v>4116</v>
      </c>
      <c r="G234" s="471"/>
      <c r="I234" s="496"/>
      <c r="J234" s="497"/>
      <c r="K234" s="498"/>
    </row>
    <row r="235" spans="1:11" x14ac:dyDescent="0.25">
      <c r="A235" s="491">
        <v>42090</v>
      </c>
      <c r="B235" s="533" t="s">
        <v>118</v>
      </c>
      <c r="C235" s="535">
        <v>66.06</v>
      </c>
      <c r="D235" s="542">
        <v>66060</v>
      </c>
      <c r="E235" s="494">
        <v>14023</v>
      </c>
      <c r="F235" s="495">
        <v>4116</v>
      </c>
      <c r="G235" s="471"/>
      <c r="I235" s="496"/>
      <c r="J235" s="497"/>
      <c r="K235" s="498"/>
    </row>
    <row r="236" spans="1:11" x14ac:dyDescent="0.25">
      <c r="A236" s="491">
        <v>42096</v>
      </c>
      <c r="B236" s="533" t="s">
        <v>136</v>
      </c>
      <c r="C236" s="535">
        <v>72</v>
      </c>
      <c r="D236" s="542">
        <v>72000</v>
      </c>
      <c r="E236" s="494">
        <v>14336</v>
      </c>
      <c r="F236" s="495">
        <v>4116</v>
      </c>
      <c r="G236" s="471"/>
      <c r="I236" s="496"/>
      <c r="J236" s="497"/>
      <c r="K236" s="498"/>
    </row>
    <row r="237" spans="1:11" x14ac:dyDescent="0.25">
      <c r="A237" s="491">
        <v>42096</v>
      </c>
      <c r="B237" s="533" t="s">
        <v>137</v>
      </c>
      <c r="C237" s="535">
        <v>72</v>
      </c>
      <c r="D237" s="542">
        <v>72000</v>
      </c>
      <c r="E237" s="494">
        <v>14336</v>
      </c>
      <c r="F237" s="495">
        <v>4116</v>
      </c>
      <c r="G237" s="471"/>
      <c r="I237" s="496"/>
      <c r="J237" s="497"/>
      <c r="K237" s="498"/>
    </row>
    <row r="238" spans="1:11" x14ac:dyDescent="0.25">
      <c r="A238" s="491">
        <v>42123</v>
      </c>
      <c r="B238" s="533" t="s">
        <v>153</v>
      </c>
      <c r="C238" s="535">
        <v>72</v>
      </c>
      <c r="D238" s="542">
        <v>72000</v>
      </c>
      <c r="E238" s="494">
        <v>14336</v>
      </c>
      <c r="F238" s="495">
        <v>4116</v>
      </c>
      <c r="G238" s="471"/>
      <c r="I238" s="496"/>
      <c r="J238" s="497"/>
      <c r="K238" s="498"/>
    </row>
    <row r="239" spans="1:11" x14ac:dyDescent="0.25">
      <c r="A239" s="491">
        <v>42128</v>
      </c>
      <c r="B239" s="533" t="s">
        <v>118</v>
      </c>
      <c r="C239" s="535">
        <v>65.341999999999999</v>
      </c>
      <c r="D239" s="542">
        <v>65342</v>
      </c>
      <c r="E239" s="494">
        <v>14023</v>
      </c>
      <c r="F239" s="495">
        <v>4116</v>
      </c>
      <c r="G239" s="471"/>
      <c r="I239" s="496"/>
      <c r="J239" s="497"/>
      <c r="K239" s="498"/>
    </row>
    <row r="240" spans="1:11" x14ac:dyDescent="0.25">
      <c r="A240" s="491">
        <v>42152</v>
      </c>
      <c r="B240" s="533" t="s">
        <v>118</v>
      </c>
      <c r="C240" s="535">
        <v>69.66</v>
      </c>
      <c r="D240" s="542">
        <v>69660</v>
      </c>
      <c r="E240" s="494">
        <v>14023</v>
      </c>
      <c r="F240" s="495">
        <v>4116</v>
      </c>
      <c r="G240" s="471"/>
      <c r="I240" s="496"/>
      <c r="J240" s="497"/>
      <c r="K240" s="498"/>
    </row>
    <row r="241" spans="1:11" x14ac:dyDescent="0.25">
      <c r="A241" s="491">
        <v>42166</v>
      </c>
      <c r="B241" s="533" t="s">
        <v>229</v>
      </c>
      <c r="C241" s="535">
        <v>721</v>
      </c>
      <c r="D241" s="542">
        <f>757000-36000</f>
        <v>721000</v>
      </c>
      <c r="E241" s="494">
        <v>14018</v>
      </c>
      <c r="F241" s="495">
        <v>4116</v>
      </c>
      <c r="G241" s="471"/>
      <c r="I241" s="496"/>
      <c r="J241" s="497"/>
      <c r="K241" s="498"/>
    </row>
    <row r="242" spans="1:11" x14ac:dyDescent="0.25">
      <c r="A242" s="491">
        <v>42181</v>
      </c>
      <c r="B242" s="533" t="s">
        <v>247</v>
      </c>
      <c r="C242" s="535">
        <v>102.74966999999999</v>
      </c>
      <c r="D242" s="542">
        <v>102749.67</v>
      </c>
      <c r="E242" s="494">
        <v>14013</v>
      </c>
      <c r="F242" s="495">
        <v>4116</v>
      </c>
      <c r="G242" s="471"/>
      <c r="I242" s="496"/>
      <c r="J242" s="497"/>
      <c r="K242" s="498"/>
    </row>
    <row r="243" spans="1:11" x14ac:dyDescent="0.25">
      <c r="A243" s="491">
        <v>42184</v>
      </c>
      <c r="B243" s="533" t="s">
        <v>118</v>
      </c>
      <c r="C243" s="535">
        <f>69.6456+12.2904</f>
        <v>81.936000000000007</v>
      </c>
      <c r="D243" s="542">
        <v>81936</v>
      </c>
      <c r="E243" s="494">
        <v>14023</v>
      </c>
      <c r="F243" s="495">
        <v>4116</v>
      </c>
      <c r="G243" s="471"/>
      <c r="I243" s="496"/>
      <c r="J243" s="497"/>
      <c r="K243" s="498"/>
    </row>
    <row r="244" spans="1:11" x14ac:dyDescent="0.25">
      <c r="A244" s="491">
        <v>42213</v>
      </c>
      <c r="B244" s="533" t="s">
        <v>118</v>
      </c>
      <c r="C244" s="535">
        <v>67.016000000000005</v>
      </c>
      <c r="D244" s="542">
        <v>67016</v>
      </c>
      <c r="E244" s="494">
        <v>14023</v>
      </c>
      <c r="F244" s="495">
        <v>4116</v>
      </c>
      <c r="G244" s="471"/>
      <c r="I244" s="496"/>
      <c r="J244" s="509"/>
      <c r="K244" s="498"/>
    </row>
    <row r="245" spans="1:11" x14ac:dyDescent="0.25">
      <c r="A245" s="491">
        <v>42241</v>
      </c>
      <c r="B245" s="533" t="s">
        <v>118</v>
      </c>
      <c r="C245" s="535">
        <v>69.228999999999999</v>
      </c>
      <c r="D245" s="542">
        <f>58844.65+10384.35</f>
        <v>69229</v>
      </c>
      <c r="E245" s="494">
        <v>14023</v>
      </c>
      <c r="F245" s="495">
        <v>4116</v>
      </c>
      <c r="G245" s="471"/>
      <c r="I245" s="496"/>
      <c r="J245" s="509"/>
      <c r="K245" s="498"/>
    </row>
    <row r="246" spans="1:11" x14ac:dyDescent="0.25">
      <c r="A246" s="491">
        <v>42278</v>
      </c>
      <c r="B246" s="533" t="s">
        <v>118</v>
      </c>
      <c r="C246" s="535">
        <v>75.543000000000006</v>
      </c>
      <c r="D246" s="542">
        <v>75543</v>
      </c>
      <c r="E246" s="494">
        <v>14023</v>
      </c>
      <c r="F246" s="495">
        <v>4116</v>
      </c>
      <c r="G246" s="471"/>
      <c r="I246" s="496"/>
      <c r="J246" s="509"/>
      <c r="K246" s="498"/>
    </row>
    <row r="247" spans="1:11" x14ac:dyDescent="0.25">
      <c r="A247" s="491">
        <v>42314</v>
      </c>
      <c r="B247" s="533" t="s">
        <v>118</v>
      </c>
      <c r="C247" s="535">
        <v>67.688000000000002</v>
      </c>
      <c r="D247" s="542">
        <v>67688</v>
      </c>
      <c r="E247" s="494">
        <v>14023</v>
      </c>
      <c r="F247" s="495">
        <v>4116</v>
      </c>
      <c r="G247" s="471"/>
      <c r="I247" s="496"/>
      <c r="J247" s="509"/>
      <c r="K247" s="498"/>
    </row>
    <row r="248" spans="1:11" x14ac:dyDescent="0.25">
      <c r="A248" s="491">
        <v>42335</v>
      </c>
      <c r="B248" s="533" t="s">
        <v>118</v>
      </c>
      <c r="C248" s="535">
        <v>62.695</v>
      </c>
      <c r="D248" s="542">
        <v>62695</v>
      </c>
      <c r="E248" s="494">
        <v>14023</v>
      </c>
      <c r="F248" s="495">
        <v>4116</v>
      </c>
      <c r="G248" s="471"/>
      <c r="I248" s="496"/>
      <c r="J248" s="509"/>
      <c r="K248" s="498"/>
    </row>
    <row r="249" spans="1:11" x14ac:dyDescent="0.25">
      <c r="A249" s="491">
        <v>42353</v>
      </c>
      <c r="B249" s="533" t="s">
        <v>653</v>
      </c>
      <c r="C249" s="535">
        <v>-1.7091000000000001</v>
      </c>
      <c r="D249" s="542">
        <v>-1709.1</v>
      </c>
      <c r="E249" s="494">
        <v>14018</v>
      </c>
      <c r="F249" s="495">
        <v>4116</v>
      </c>
      <c r="G249" s="471"/>
      <c r="I249" s="496"/>
      <c r="J249" s="509"/>
      <c r="K249" s="498"/>
    </row>
    <row r="250" spans="1:11" x14ac:dyDescent="0.25">
      <c r="A250" s="491">
        <v>42354</v>
      </c>
      <c r="B250" s="533" t="s">
        <v>118</v>
      </c>
      <c r="C250" s="535">
        <f>48.63275+8.58225</f>
        <v>57.215000000000003</v>
      </c>
      <c r="D250" s="542">
        <f>48632.75+8582.25</f>
        <v>57215</v>
      </c>
      <c r="E250" s="494">
        <v>14023</v>
      </c>
      <c r="F250" s="495">
        <v>4116</v>
      </c>
      <c r="G250" s="471"/>
      <c r="I250" s="496"/>
      <c r="J250" s="509"/>
      <c r="K250" s="498"/>
    </row>
    <row r="251" spans="1:11" x14ac:dyDescent="0.25">
      <c r="A251" s="491"/>
      <c r="B251" s="533" t="s">
        <v>398</v>
      </c>
      <c r="C251" s="543">
        <v>300</v>
      </c>
      <c r="D251" s="543">
        <v>300000</v>
      </c>
      <c r="E251" s="494">
        <v>14336</v>
      </c>
      <c r="F251" s="495">
        <v>4116</v>
      </c>
      <c r="G251" s="503"/>
      <c r="I251" s="496"/>
      <c r="J251" s="509">
        <v>300000</v>
      </c>
      <c r="K251" s="498"/>
    </row>
    <row r="252" spans="1:11" x14ac:dyDescent="0.25">
      <c r="A252" s="491"/>
      <c r="B252" s="533" t="s">
        <v>274</v>
      </c>
      <c r="C252" s="543">
        <v>36</v>
      </c>
      <c r="D252" s="543">
        <v>36000</v>
      </c>
      <c r="E252" s="494">
        <v>14018</v>
      </c>
      <c r="F252" s="495">
        <v>4116</v>
      </c>
      <c r="G252" s="471"/>
      <c r="I252" s="496"/>
      <c r="J252" s="509">
        <v>36000</v>
      </c>
      <c r="K252" s="498"/>
    </row>
    <row r="253" spans="1:11" x14ac:dyDescent="0.25">
      <c r="A253" s="491"/>
      <c r="B253" s="533" t="s">
        <v>113</v>
      </c>
      <c r="C253" s="543">
        <f>15.968+8.904+8.528</f>
        <v>33.4</v>
      </c>
      <c r="D253" s="543">
        <f>7480+8488+8904+8528</f>
        <v>33400</v>
      </c>
      <c r="E253" s="494">
        <v>14137</v>
      </c>
      <c r="F253" s="495">
        <v>4116</v>
      </c>
      <c r="G253" s="471"/>
      <c r="I253" s="496"/>
      <c r="J253" s="509">
        <f>7480+8488+8904+8528</f>
        <v>33400</v>
      </c>
      <c r="K253" s="498"/>
    </row>
    <row r="254" spans="1:11" x14ac:dyDescent="0.25">
      <c r="A254" s="491"/>
      <c r="B254" s="533"/>
      <c r="C254" s="535"/>
      <c r="D254" s="535"/>
      <c r="E254" s="494"/>
      <c r="F254" s="544"/>
      <c r="G254" s="471"/>
      <c r="I254" s="496"/>
      <c r="J254" s="497"/>
      <c r="K254" s="498"/>
    </row>
    <row r="255" spans="1:11" x14ac:dyDescent="0.25">
      <c r="A255" s="491"/>
      <c r="B255" s="492" t="s">
        <v>41</v>
      </c>
      <c r="C255" s="506">
        <f>+SUM(C256:C274)</f>
        <v>935.77300000000014</v>
      </c>
      <c r="D255" s="506">
        <f>+SUM(D256:D274)</f>
        <v>935773</v>
      </c>
      <c r="E255" s="494"/>
      <c r="F255" s="544"/>
      <c r="G255" s="471"/>
      <c r="I255" s="496"/>
      <c r="J255" s="497"/>
      <c r="K255" s="498"/>
    </row>
    <row r="256" spans="1:11" x14ac:dyDescent="0.25">
      <c r="A256" s="491">
        <v>42118</v>
      </c>
      <c r="B256" s="533" t="s">
        <v>93</v>
      </c>
      <c r="C256" s="535">
        <v>18.0625</v>
      </c>
      <c r="D256" s="535">
        <v>18062.5</v>
      </c>
      <c r="E256" s="494">
        <v>35019</v>
      </c>
      <c r="F256" s="544">
        <v>4116</v>
      </c>
      <c r="G256" s="471"/>
      <c r="I256" s="496"/>
      <c r="J256" s="497"/>
      <c r="K256" s="498"/>
    </row>
    <row r="257" spans="1:11" x14ac:dyDescent="0.25">
      <c r="A257" s="491">
        <v>42118</v>
      </c>
      <c r="B257" s="533" t="s">
        <v>94</v>
      </c>
      <c r="C257" s="535">
        <v>17.977499999999999</v>
      </c>
      <c r="D257" s="535">
        <v>17977.5</v>
      </c>
      <c r="E257" s="494">
        <v>35019</v>
      </c>
      <c r="F257" s="544">
        <v>4116</v>
      </c>
      <c r="G257" s="439"/>
      <c r="I257" s="496"/>
      <c r="J257" s="497"/>
      <c r="K257" s="498"/>
    </row>
    <row r="258" spans="1:11" x14ac:dyDescent="0.25">
      <c r="A258" s="491">
        <v>42118</v>
      </c>
      <c r="B258" s="533" t="s">
        <v>95</v>
      </c>
      <c r="C258" s="535">
        <v>32.084000000000003</v>
      </c>
      <c r="D258" s="535">
        <v>32084</v>
      </c>
      <c r="E258" s="494">
        <v>35019</v>
      </c>
      <c r="F258" s="544">
        <v>4116</v>
      </c>
      <c r="G258" s="439"/>
      <c r="I258" s="496"/>
      <c r="J258" s="497"/>
      <c r="K258" s="498"/>
    </row>
    <row r="259" spans="1:11" x14ac:dyDescent="0.25">
      <c r="A259" s="491">
        <v>42118</v>
      </c>
      <c r="B259" s="533" t="s">
        <v>95</v>
      </c>
      <c r="C259" s="535">
        <v>77</v>
      </c>
      <c r="D259" s="535">
        <v>77000</v>
      </c>
      <c r="E259" s="494">
        <v>35019</v>
      </c>
      <c r="F259" s="544">
        <v>4116</v>
      </c>
      <c r="G259" s="439"/>
      <c r="I259" s="496"/>
      <c r="J259" s="497"/>
      <c r="K259" s="498"/>
    </row>
    <row r="260" spans="1:11" x14ac:dyDescent="0.25">
      <c r="A260" s="491">
        <v>42118</v>
      </c>
      <c r="B260" s="533" t="s">
        <v>92</v>
      </c>
      <c r="C260" s="535">
        <v>40.25</v>
      </c>
      <c r="D260" s="535">
        <v>40250</v>
      </c>
      <c r="E260" s="494">
        <v>35019</v>
      </c>
      <c r="F260" s="544">
        <v>4116</v>
      </c>
      <c r="G260" s="439"/>
      <c r="I260" s="496"/>
      <c r="J260" s="497"/>
      <c r="K260" s="498"/>
    </row>
    <row r="261" spans="1:11" x14ac:dyDescent="0.25">
      <c r="A261" s="491">
        <v>42172</v>
      </c>
      <c r="B261" s="533" t="s">
        <v>100</v>
      </c>
      <c r="C261" s="535">
        <v>140</v>
      </c>
      <c r="D261" s="535">
        <v>140000</v>
      </c>
      <c r="E261" s="494">
        <v>35015</v>
      </c>
      <c r="F261" s="544">
        <v>4116</v>
      </c>
      <c r="G261" s="439"/>
      <c r="I261" s="496"/>
      <c r="J261" s="497"/>
      <c r="K261" s="498"/>
    </row>
    <row r="262" spans="1:11" x14ac:dyDescent="0.25">
      <c r="A262" s="491">
        <v>42299</v>
      </c>
      <c r="B262" s="533" t="s">
        <v>93</v>
      </c>
      <c r="C262" s="535">
        <v>18.0625</v>
      </c>
      <c r="D262" s="535">
        <v>18062.5</v>
      </c>
      <c r="E262" s="494">
        <v>35019</v>
      </c>
      <c r="F262" s="544">
        <v>4116</v>
      </c>
      <c r="G262" s="439"/>
      <c r="I262" s="496"/>
      <c r="J262" s="497"/>
      <c r="K262" s="498"/>
    </row>
    <row r="263" spans="1:11" x14ac:dyDescent="0.25">
      <c r="A263" s="491">
        <v>42299</v>
      </c>
      <c r="B263" s="533" t="s">
        <v>94</v>
      </c>
      <c r="C263" s="535">
        <v>17.977499999999999</v>
      </c>
      <c r="D263" s="535">
        <v>17977.5</v>
      </c>
      <c r="E263" s="494">
        <v>35019</v>
      </c>
      <c r="F263" s="544">
        <v>4116</v>
      </c>
      <c r="G263" s="471"/>
      <c r="I263" s="496"/>
      <c r="J263" s="497"/>
      <c r="K263" s="498"/>
    </row>
    <row r="264" spans="1:11" x14ac:dyDescent="0.25">
      <c r="A264" s="491">
        <v>42299</v>
      </c>
      <c r="B264" s="533" t="s">
        <v>95</v>
      </c>
      <c r="C264" s="535">
        <v>32.084000000000003</v>
      </c>
      <c r="D264" s="535">
        <v>32084</v>
      </c>
      <c r="E264" s="494">
        <v>35019</v>
      </c>
      <c r="F264" s="544">
        <v>4116</v>
      </c>
      <c r="G264" s="471"/>
      <c r="I264" s="496"/>
      <c r="J264" s="497"/>
      <c r="K264" s="498"/>
    </row>
    <row r="265" spans="1:11" x14ac:dyDescent="0.25">
      <c r="A265" s="491">
        <v>42300</v>
      </c>
      <c r="B265" s="533" t="s">
        <v>95</v>
      </c>
      <c r="C265" s="535">
        <v>77</v>
      </c>
      <c r="D265" s="535">
        <v>77000</v>
      </c>
      <c r="E265" s="494">
        <v>35019</v>
      </c>
      <c r="F265" s="544">
        <v>4116</v>
      </c>
      <c r="G265" s="471"/>
      <c r="I265" s="496"/>
      <c r="J265" s="497"/>
      <c r="K265" s="498"/>
    </row>
    <row r="266" spans="1:11" x14ac:dyDescent="0.25">
      <c r="A266" s="491">
        <v>42300</v>
      </c>
      <c r="B266" s="533" t="s">
        <v>92</v>
      </c>
      <c r="C266" s="535">
        <v>40.25</v>
      </c>
      <c r="D266" s="535">
        <v>40250</v>
      </c>
      <c r="E266" s="494">
        <v>35019</v>
      </c>
      <c r="F266" s="544">
        <v>4116</v>
      </c>
      <c r="G266" s="471"/>
      <c r="I266" s="496"/>
      <c r="J266" s="497"/>
      <c r="K266" s="498"/>
    </row>
    <row r="267" spans="1:11" x14ac:dyDescent="0.25">
      <c r="A267" s="491">
        <v>42300</v>
      </c>
      <c r="B267" s="533" t="s">
        <v>100</v>
      </c>
      <c r="C267" s="535">
        <v>140</v>
      </c>
      <c r="D267" s="535">
        <v>140000</v>
      </c>
      <c r="E267" s="494">
        <v>35015</v>
      </c>
      <c r="F267" s="544">
        <v>4116</v>
      </c>
      <c r="G267" s="471"/>
      <c r="I267" s="496"/>
      <c r="J267" s="497"/>
      <c r="K267" s="498"/>
    </row>
    <row r="268" spans="1:11" x14ac:dyDescent="0.25">
      <c r="A268" s="491">
        <v>42311</v>
      </c>
      <c r="B268" s="533" t="s">
        <v>590</v>
      </c>
      <c r="C268" s="535">
        <v>100</v>
      </c>
      <c r="D268" s="535">
        <v>100000</v>
      </c>
      <c r="E268" s="494">
        <v>35015</v>
      </c>
      <c r="F268" s="544">
        <v>4116</v>
      </c>
      <c r="G268" s="471"/>
      <c r="I268" s="496"/>
      <c r="J268" s="497"/>
      <c r="K268" s="498"/>
    </row>
    <row r="269" spans="1:11" x14ac:dyDescent="0.25">
      <c r="A269" s="491">
        <v>42332</v>
      </c>
      <c r="B269" s="533" t="s">
        <v>610</v>
      </c>
      <c r="C269" s="535">
        <v>2.0219999999999998</v>
      </c>
      <c r="D269" s="535">
        <v>2022</v>
      </c>
      <c r="E269" s="494">
        <v>35019</v>
      </c>
      <c r="F269" s="544">
        <v>4116</v>
      </c>
      <c r="G269" s="471"/>
      <c r="I269" s="496"/>
      <c r="J269" s="497"/>
      <c r="K269" s="498"/>
    </row>
    <row r="270" spans="1:11" x14ac:dyDescent="0.25">
      <c r="A270" s="491">
        <v>42332</v>
      </c>
      <c r="B270" s="533" t="s">
        <v>611</v>
      </c>
      <c r="C270" s="535">
        <v>6.431</v>
      </c>
      <c r="D270" s="535">
        <v>6431</v>
      </c>
      <c r="E270" s="494">
        <v>35019</v>
      </c>
      <c r="F270" s="544">
        <v>4116</v>
      </c>
      <c r="G270" s="471"/>
      <c r="I270" s="496"/>
      <c r="J270" s="497"/>
      <c r="K270" s="498"/>
    </row>
    <row r="271" spans="1:11" x14ac:dyDescent="0.25">
      <c r="A271" s="491">
        <v>42332</v>
      </c>
      <c r="B271" s="533" t="s">
        <v>612</v>
      </c>
      <c r="C271" s="535">
        <v>8.5719999999999992</v>
      </c>
      <c r="D271" s="535">
        <v>8572</v>
      </c>
      <c r="E271" s="494">
        <v>35019</v>
      </c>
      <c r="F271" s="544">
        <v>4116</v>
      </c>
      <c r="G271" s="471"/>
      <c r="I271" s="496"/>
      <c r="J271" s="497"/>
      <c r="K271" s="498"/>
    </row>
    <row r="272" spans="1:11" x14ac:dyDescent="0.25">
      <c r="A272" s="491">
        <v>42333</v>
      </c>
      <c r="B272" s="533" t="s">
        <v>621</v>
      </c>
      <c r="C272" s="535">
        <v>48</v>
      </c>
      <c r="D272" s="535">
        <v>48000</v>
      </c>
      <c r="E272" s="494">
        <v>35015</v>
      </c>
      <c r="F272" s="544">
        <v>4116</v>
      </c>
      <c r="G272" s="471"/>
      <c r="I272" s="496"/>
      <c r="J272" s="497"/>
      <c r="K272" s="498"/>
    </row>
    <row r="273" spans="1:11" x14ac:dyDescent="0.25">
      <c r="A273" s="491">
        <v>42346</v>
      </c>
      <c r="B273" s="533" t="s">
        <v>622</v>
      </c>
      <c r="C273" s="535">
        <v>40</v>
      </c>
      <c r="D273" s="535">
        <v>40000</v>
      </c>
      <c r="E273" s="494">
        <v>35015</v>
      </c>
      <c r="F273" s="544">
        <v>4116</v>
      </c>
      <c r="G273" s="471"/>
      <c r="I273" s="496"/>
      <c r="J273" s="497"/>
      <c r="K273" s="498"/>
    </row>
    <row r="274" spans="1:11" x14ac:dyDescent="0.25">
      <c r="A274" s="491">
        <v>42346</v>
      </c>
      <c r="B274" s="533" t="s">
        <v>623</v>
      </c>
      <c r="C274" s="535">
        <v>80</v>
      </c>
      <c r="D274" s="535">
        <v>80000</v>
      </c>
      <c r="E274" s="494">
        <v>35015</v>
      </c>
      <c r="F274" s="544">
        <v>4116</v>
      </c>
      <c r="G274" s="471"/>
      <c r="I274" s="496"/>
      <c r="J274" s="497"/>
      <c r="K274" s="498"/>
    </row>
    <row r="275" spans="1:11" x14ac:dyDescent="0.25">
      <c r="A275" s="491"/>
      <c r="B275" s="533"/>
      <c r="C275" s="535"/>
      <c r="D275" s="535"/>
      <c r="E275" s="494"/>
      <c r="F275" s="544"/>
      <c r="G275" s="471"/>
      <c r="I275" s="496"/>
      <c r="J275" s="497"/>
      <c r="K275" s="498"/>
    </row>
    <row r="276" spans="1:11" x14ac:dyDescent="0.25">
      <c r="A276" s="491"/>
      <c r="B276" s="492" t="s">
        <v>42</v>
      </c>
      <c r="C276" s="506">
        <f>+SUM(C277:C282)</f>
        <v>381.32499999999999</v>
      </c>
      <c r="D276" s="506">
        <f>+SUM(D277:D282)</f>
        <v>381325</v>
      </c>
      <c r="E276" s="494"/>
      <c r="F276" s="544"/>
      <c r="G276" s="471"/>
      <c r="I276" s="496"/>
      <c r="J276" s="497"/>
      <c r="K276" s="498"/>
    </row>
    <row r="277" spans="1:11" x14ac:dyDescent="0.25">
      <c r="A277" s="491">
        <v>42142</v>
      </c>
      <c r="B277" s="533" t="s">
        <v>43</v>
      </c>
      <c r="C277" s="535">
        <v>86.159000000000006</v>
      </c>
      <c r="D277" s="535">
        <v>86159</v>
      </c>
      <c r="E277" s="494">
        <v>29008</v>
      </c>
      <c r="F277" s="544">
        <v>4116</v>
      </c>
      <c r="G277" s="471"/>
      <c r="I277" s="496"/>
      <c r="J277" s="497"/>
      <c r="K277" s="498"/>
    </row>
    <row r="278" spans="1:11" x14ac:dyDescent="0.25">
      <c r="A278" s="491">
        <v>42157</v>
      </c>
      <c r="B278" s="533" t="s">
        <v>44</v>
      </c>
      <c r="C278" s="535">
        <v>10.5</v>
      </c>
      <c r="D278" s="535">
        <v>10500</v>
      </c>
      <c r="E278" s="494">
        <v>29004</v>
      </c>
      <c r="F278" s="544">
        <v>4116</v>
      </c>
      <c r="G278" s="471"/>
      <c r="I278" s="496"/>
      <c r="J278" s="497"/>
      <c r="K278" s="498"/>
    </row>
    <row r="279" spans="1:11" x14ac:dyDescent="0.25">
      <c r="A279" s="491">
        <v>42163</v>
      </c>
      <c r="B279" s="533" t="s">
        <v>43</v>
      </c>
      <c r="C279" s="535">
        <v>84.284999999999997</v>
      </c>
      <c r="D279" s="535">
        <v>84285</v>
      </c>
      <c r="E279" s="494">
        <v>29008</v>
      </c>
      <c r="F279" s="544">
        <v>4116</v>
      </c>
      <c r="G279" s="471"/>
      <c r="I279" s="496"/>
      <c r="J279" s="497"/>
      <c r="K279" s="498"/>
    </row>
    <row r="280" spans="1:11" x14ac:dyDescent="0.25">
      <c r="A280" s="491">
        <v>42278</v>
      </c>
      <c r="B280" s="533" t="s">
        <v>43</v>
      </c>
      <c r="C280" s="535">
        <v>85.221999999999994</v>
      </c>
      <c r="D280" s="535">
        <v>85222</v>
      </c>
      <c r="E280" s="494">
        <v>29008</v>
      </c>
      <c r="F280" s="544">
        <v>4116</v>
      </c>
      <c r="G280" s="471"/>
      <c r="I280" s="496"/>
      <c r="J280" s="497"/>
      <c r="K280" s="498"/>
    </row>
    <row r="281" spans="1:11" x14ac:dyDescent="0.25">
      <c r="A281" s="491">
        <v>42333</v>
      </c>
      <c r="B281" s="533" t="s">
        <v>44</v>
      </c>
      <c r="C281" s="535">
        <v>29</v>
      </c>
      <c r="D281" s="535">
        <v>29000</v>
      </c>
      <c r="E281" s="494">
        <v>29004</v>
      </c>
      <c r="F281" s="544">
        <v>4116</v>
      </c>
      <c r="G281" s="471"/>
      <c r="I281" s="496"/>
      <c r="J281" s="497"/>
      <c r="K281" s="498"/>
    </row>
    <row r="282" spans="1:11" x14ac:dyDescent="0.25">
      <c r="A282" s="491">
        <v>42340</v>
      </c>
      <c r="B282" s="533" t="s">
        <v>43</v>
      </c>
      <c r="C282" s="535">
        <v>86.159000000000006</v>
      </c>
      <c r="D282" s="535">
        <v>86159</v>
      </c>
      <c r="E282" s="494">
        <v>29008</v>
      </c>
      <c r="F282" s="544">
        <v>4116</v>
      </c>
      <c r="G282" s="471"/>
      <c r="I282" s="496"/>
      <c r="J282" s="497"/>
      <c r="K282" s="498"/>
    </row>
    <row r="283" spans="1:11" x14ac:dyDescent="0.25">
      <c r="A283" s="491"/>
      <c r="B283" s="533"/>
      <c r="C283" s="535"/>
      <c r="D283" s="535"/>
      <c r="E283" s="494"/>
      <c r="F283" s="544"/>
      <c r="G283" s="471"/>
      <c r="I283" s="496"/>
      <c r="J283" s="497"/>
      <c r="K283" s="498"/>
    </row>
    <row r="284" spans="1:11" x14ac:dyDescent="0.25">
      <c r="A284" s="491"/>
      <c r="B284" s="492" t="s">
        <v>45</v>
      </c>
      <c r="C284" s="506">
        <f>+SUM(C285:C306)</f>
        <v>8233.5089299999981</v>
      </c>
      <c r="D284" s="506">
        <f>+SUM(D285:D306)</f>
        <v>8233508.9299999997</v>
      </c>
      <c r="E284" s="494"/>
      <c r="F284" s="544"/>
      <c r="G284" s="471"/>
      <c r="I284" s="496"/>
      <c r="J284" s="497"/>
      <c r="K284" s="498"/>
    </row>
    <row r="285" spans="1:11" x14ac:dyDescent="0.25">
      <c r="A285" s="491">
        <v>42057</v>
      </c>
      <c r="B285" s="499" t="s">
        <v>146</v>
      </c>
      <c r="C285" s="535">
        <v>466.28609999999998</v>
      </c>
      <c r="D285" s="535">
        <v>466286.1</v>
      </c>
      <c r="E285" s="494">
        <v>15319</v>
      </c>
      <c r="F285" s="544">
        <v>4116</v>
      </c>
      <c r="G285" s="471"/>
      <c r="I285" s="496"/>
      <c r="J285" s="497"/>
      <c r="K285" s="498"/>
    </row>
    <row r="286" spans="1:11" x14ac:dyDescent="0.25">
      <c r="A286" s="491">
        <v>42193</v>
      </c>
      <c r="B286" s="499" t="s">
        <v>279</v>
      </c>
      <c r="C286" s="535">
        <v>77.653800000000004</v>
      </c>
      <c r="D286" s="535">
        <v>77653.8</v>
      </c>
      <c r="E286" s="494">
        <v>15319</v>
      </c>
      <c r="F286" s="544">
        <v>4116</v>
      </c>
      <c r="G286" s="471"/>
      <c r="I286" s="496"/>
      <c r="J286" s="497"/>
      <c r="K286" s="498"/>
    </row>
    <row r="287" spans="1:11" x14ac:dyDescent="0.25">
      <c r="A287" s="491">
        <v>42272</v>
      </c>
      <c r="B287" s="499" t="s">
        <v>516</v>
      </c>
      <c r="C287" s="535">
        <v>931.58199999999999</v>
      </c>
      <c r="D287" s="535">
        <v>931582</v>
      </c>
      <c r="E287" s="494">
        <v>15065</v>
      </c>
      <c r="F287" s="544">
        <v>4116</v>
      </c>
      <c r="G287" s="471"/>
      <c r="I287" s="496"/>
      <c r="J287" s="497"/>
      <c r="K287" s="498"/>
    </row>
    <row r="288" spans="1:11" x14ac:dyDescent="0.25">
      <c r="A288" s="491">
        <v>42347</v>
      </c>
      <c r="B288" s="499" t="s">
        <v>633</v>
      </c>
      <c r="C288" s="535">
        <v>656.17619000000002</v>
      </c>
      <c r="D288" s="535">
        <v>656176.18999999994</v>
      </c>
      <c r="E288" s="494">
        <v>15319</v>
      </c>
      <c r="F288" s="544">
        <v>4116</v>
      </c>
      <c r="G288" s="471"/>
      <c r="I288" s="496"/>
      <c r="J288" s="497"/>
      <c r="K288" s="498"/>
    </row>
    <row r="289" spans="1:11" x14ac:dyDescent="0.25">
      <c r="A289" s="491">
        <v>42347</v>
      </c>
      <c r="B289" s="499" t="s">
        <v>634</v>
      </c>
      <c r="C289" s="535">
        <v>281.79867999999999</v>
      </c>
      <c r="D289" s="535">
        <v>281798.68</v>
      </c>
      <c r="E289" s="494">
        <v>15319</v>
      </c>
      <c r="F289" s="544">
        <v>4116</v>
      </c>
      <c r="G289" s="471"/>
      <c r="I289" s="496"/>
      <c r="J289" s="497"/>
      <c r="K289" s="498"/>
    </row>
    <row r="290" spans="1:11" x14ac:dyDescent="0.25">
      <c r="A290" s="491">
        <v>42347</v>
      </c>
      <c r="B290" s="499" t="s">
        <v>646</v>
      </c>
      <c r="C290" s="535">
        <v>45.917290000000001</v>
      </c>
      <c r="D290" s="535">
        <v>45917.29</v>
      </c>
      <c r="E290" s="494">
        <v>15319</v>
      </c>
      <c r="F290" s="544">
        <v>4116</v>
      </c>
      <c r="G290" s="471"/>
      <c r="I290" s="496"/>
      <c r="J290" s="497"/>
      <c r="K290" s="498"/>
    </row>
    <row r="291" spans="1:11" x14ac:dyDescent="0.25">
      <c r="A291" s="491">
        <v>42349</v>
      </c>
      <c r="B291" s="499" t="s">
        <v>647</v>
      </c>
      <c r="C291" s="535">
        <v>131.89410000000001</v>
      </c>
      <c r="D291" s="535">
        <v>131894.1</v>
      </c>
      <c r="E291" s="494">
        <v>15319</v>
      </c>
      <c r="F291" s="544">
        <v>4116</v>
      </c>
      <c r="G291" s="471"/>
      <c r="I291" s="496"/>
      <c r="J291" s="497"/>
      <c r="K291" s="498"/>
    </row>
    <row r="292" spans="1:11" x14ac:dyDescent="0.25">
      <c r="A292" s="491">
        <v>42354</v>
      </c>
      <c r="B292" s="499" t="s">
        <v>648</v>
      </c>
      <c r="C292" s="535">
        <v>55.871099999999998</v>
      </c>
      <c r="D292" s="535">
        <v>55871.1</v>
      </c>
      <c r="E292" s="494">
        <v>15319</v>
      </c>
      <c r="F292" s="544">
        <v>4116</v>
      </c>
      <c r="G292" s="471"/>
      <c r="I292" s="496"/>
      <c r="J292" s="497"/>
      <c r="K292" s="498"/>
    </row>
    <row r="293" spans="1:11" x14ac:dyDescent="0.25">
      <c r="A293" s="491">
        <v>42354</v>
      </c>
      <c r="B293" s="499" t="s">
        <v>649</v>
      </c>
      <c r="C293" s="535">
        <v>36.701630000000002</v>
      </c>
      <c r="D293" s="535">
        <v>36701.629999999997</v>
      </c>
      <c r="E293" s="494">
        <v>15319</v>
      </c>
      <c r="F293" s="544">
        <v>4116</v>
      </c>
      <c r="G293" s="471"/>
      <c r="I293" s="496"/>
      <c r="J293" s="497"/>
      <c r="K293" s="498"/>
    </row>
    <row r="294" spans="1:11" x14ac:dyDescent="0.25">
      <c r="A294" s="504">
        <v>42354</v>
      </c>
      <c r="B294" s="499" t="s">
        <v>650</v>
      </c>
      <c r="C294" s="535">
        <v>119.77634</v>
      </c>
      <c r="D294" s="535">
        <v>119776.34</v>
      </c>
      <c r="E294" s="494">
        <v>15319</v>
      </c>
      <c r="F294" s="544">
        <v>4116</v>
      </c>
      <c r="G294" s="471"/>
      <c r="I294" s="496"/>
      <c r="J294" s="497"/>
      <c r="K294" s="498"/>
    </row>
    <row r="295" spans="1:11" x14ac:dyDescent="0.25">
      <c r="A295" s="504">
        <v>42354</v>
      </c>
      <c r="B295" s="499" t="s">
        <v>651</v>
      </c>
      <c r="C295" s="535">
        <v>2.0578400000000001</v>
      </c>
      <c r="D295" s="535">
        <v>2057.84</v>
      </c>
      <c r="E295" s="494">
        <v>15319</v>
      </c>
      <c r="F295" s="544">
        <v>4116</v>
      </c>
      <c r="G295" s="471"/>
      <c r="I295" s="496"/>
      <c r="J295" s="497"/>
      <c r="K295" s="498"/>
    </row>
    <row r="296" spans="1:11" x14ac:dyDescent="0.25">
      <c r="A296" s="504">
        <v>42354</v>
      </c>
      <c r="B296" s="499" t="s">
        <v>664</v>
      </c>
      <c r="C296" s="535">
        <v>10.285</v>
      </c>
      <c r="D296" s="535">
        <v>10285</v>
      </c>
      <c r="E296" s="494">
        <v>15319</v>
      </c>
      <c r="F296" s="544">
        <v>4116</v>
      </c>
      <c r="G296" s="471"/>
      <c r="I296" s="496"/>
      <c r="J296" s="497"/>
      <c r="K296" s="498"/>
    </row>
    <row r="297" spans="1:11" x14ac:dyDescent="0.25">
      <c r="A297" s="491">
        <v>42354</v>
      </c>
      <c r="B297" s="499" t="s">
        <v>652</v>
      </c>
      <c r="C297" s="535">
        <v>37.168799999999997</v>
      </c>
      <c r="D297" s="535">
        <v>37168.800000000003</v>
      </c>
      <c r="E297" s="494">
        <v>15325</v>
      </c>
      <c r="F297" s="544">
        <v>4116</v>
      </c>
      <c r="G297" s="471"/>
      <c r="I297" s="496"/>
      <c r="J297" s="497"/>
      <c r="K297" s="498"/>
    </row>
    <row r="298" spans="1:11" x14ac:dyDescent="0.25">
      <c r="A298" s="491"/>
      <c r="B298" s="499" t="s">
        <v>498</v>
      </c>
      <c r="C298" s="543">
        <v>3.3335499999999998</v>
      </c>
      <c r="D298" s="543">
        <v>3333.55</v>
      </c>
      <c r="E298" s="494">
        <v>15319</v>
      </c>
      <c r="F298" s="544">
        <v>4116</v>
      </c>
      <c r="G298" s="471"/>
      <c r="I298" s="496"/>
      <c r="J298" s="497">
        <v>3333.55</v>
      </c>
      <c r="K298" s="498"/>
    </row>
    <row r="299" spans="1:11" x14ac:dyDescent="0.25">
      <c r="A299" s="491"/>
      <c r="B299" s="499" t="s">
        <v>620</v>
      </c>
      <c r="C299" s="543">
        <v>4.36104</v>
      </c>
      <c r="D299" s="543">
        <v>4361.04</v>
      </c>
      <c r="E299" s="494">
        <v>15320</v>
      </c>
      <c r="F299" s="544">
        <v>4116</v>
      </c>
      <c r="G299" s="471"/>
      <c r="I299" s="496"/>
      <c r="J299" s="497">
        <v>4361.04</v>
      </c>
      <c r="K299" s="498"/>
    </row>
    <row r="300" spans="1:11" x14ac:dyDescent="0.25">
      <c r="A300" s="491"/>
      <c r="B300" s="499" t="s">
        <v>620</v>
      </c>
      <c r="C300" s="543">
        <v>74.137839999999997</v>
      </c>
      <c r="D300" s="543">
        <v>74137.84</v>
      </c>
      <c r="E300" s="494">
        <v>15321</v>
      </c>
      <c r="F300" s="544">
        <v>4116</v>
      </c>
      <c r="G300" s="471"/>
      <c r="I300" s="496"/>
      <c r="J300" s="497">
        <v>74137.84</v>
      </c>
      <c r="K300" s="498"/>
    </row>
    <row r="301" spans="1:11" x14ac:dyDescent="0.25">
      <c r="A301" s="491"/>
      <c r="B301" s="499" t="s">
        <v>617</v>
      </c>
      <c r="C301" s="543">
        <v>3507.09303</v>
      </c>
      <c r="D301" s="543">
        <v>3507093.03</v>
      </c>
      <c r="E301" s="494">
        <v>15319</v>
      </c>
      <c r="F301" s="544">
        <v>4116</v>
      </c>
      <c r="G301" s="471"/>
      <c r="I301" s="496"/>
      <c r="J301" s="497">
        <v>3507093.03</v>
      </c>
      <c r="K301" s="498"/>
    </row>
    <row r="302" spans="1:11" x14ac:dyDescent="0.25">
      <c r="A302" s="491"/>
      <c r="B302" s="499" t="s">
        <v>168</v>
      </c>
      <c r="C302" s="543">
        <v>26.2395</v>
      </c>
      <c r="D302" s="543">
        <v>26239.5</v>
      </c>
      <c r="E302" s="494">
        <v>15319</v>
      </c>
      <c r="F302" s="544">
        <v>4116</v>
      </c>
      <c r="G302" s="471"/>
      <c r="I302" s="496"/>
      <c r="J302" s="497">
        <v>26239.5</v>
      </c>
      <c r="K302" s="498"/>
    </row>
    <row r="303" spans="1:11" x14ac:dyDescent="0.25">
      <c r="A303" s="491"/>
      <c r="B303" s="499" t="s">
        <v>624</v>
      </c>
      <c r="C303" s="543">
        <v>27.007200000000001</v>
      </c>
      <c r="D303" s="543">
        <v>27007.200000000001</v>
      </c>
      <c r="E303" s="494">
        <v>15370</v>
      </c>
      <c r="F303" s="544">
        <v>4116</v>
      </c>
      <c r="G303" s="471"/>
      <c r="I303" s="496"/>
      <c r="J303" s="497">
        <v>27007.200000000001</v>
      </c>
      <c r="K303" s="498"/>
    </row>
    <row r="304" spans="1:11" x14ac:dyDescent="0.25">
      <c r="A304" s="491"/>
      <c r="B304" s="499" t="s">
        <v>643</v>
      </c>
      <c r="C304" s="543">
        <v>447.52120000000002</v>
      </c>
      <c r="D304" s="543">
        <v>447521.2</v>
      </c>
      <c r="E304" s="494">
        <v>15319</v>
      </c>
      <c r="F304" s="544">
        <v>4116</v>
      </c>
      <c r="G304" s="471"/>
      <c r="I304" s="496"/>
      <c r="J304" s="497">
        <v>447521.2</v>
      </c>
      <c r="K304" s="498"/>
    </row>
    <row r="305" spans="1:11" x14ac:dyDescent="0.25">
      <c r="A305" s="491"/>
      <c r="B305" s="499" t="s">
        <v>591</v>
      </c>
      <c r="C305" s="543">
        <v>1290.6467</v>
      </c>
      <c r="D305" s="543">
        <v>1290646.7</v>
      </c>
      <c r="E305" s="494">
        <v>15319</v>
      </c>
      <c r="F305" s="501">
        <v>4116</v>
      </c>
      <c r="G305" s="471"/>
      <c r="I305" s="496"/>
      <c r="J305" s="497">
        <v>1290646.7</v>
      </c>
      <c r="K305" s="498"/>
    </row>
    <row r="306" spans="1:11" x14ac:dyDescent="0.25">
      <c r="A306" s="491"/>
      <c r="B306" s="533"/>
      <c r="C306" s="546"/>
      <c r="D306" s="546"/>
      <c r="E306" s="494"/>
      <c r="F306" s="544"/>
      <c r="G306" s="471"/>
      <c r="I306" s="496"/>
      <c r="J306" s="497"/>
      <c r="K306" s="498"/>
    </row>
    <row r="307" spans="1:11" x14ac:dyDescent="0.25">
      <c r="A307" s="491"/>
      <c r="B307" s="492" t="s">
        <v>48</v>
      </c>
      <c r="C307" s="493">
        <f>SUM(C308:C379)</f>
        <v>129571.74773000002</v>
      </c>
      <c r="D307" s="493">
        <f>SUM(D308:D379)</f>
        <v>129571747.73</v>
      </c>
      <c r="E307" s="494"/>
      <c r="F307" s="501"/>
      <c r="G307" s="471"/>
      <c r="I307" s="496"/>
      <c r="J307" s="497"/>
      <c r="K307" s="498"/>
    </row>
    <row r="308" spans="1:11" x14ac:dyDescent="0.25">
      <c r="A308" s="491">
        <v>42046</v>
      </c>
      <c r="B308" s="547" t="s">
        <v>104</v>
      </c>
      <c r="C308" s="529">
        <v>345.49686000000003</v>
      </c>
      <c r="D308" s="546">
        <v>345496.86</v>
      </c>
      <c r="E308" s="494">
        <v>33030</v>
      </c>
      <c r="F308" s="544" t="s">
        <v>49</v>
      </c>
      <c r="G308" s="471"/>
      <c r="I308" s="496"/>
      <c r="J308" s="497"/>
      <c r="K308" s="498"/>
    </row>
    <row r="309" spans="1:11" x14ac:dyDescent="0.25">
      <c r="A309" s="491">
        <v>42096</v>
      </c>
      <c r="B309" s="547" t="s">
        <v>140</v>
      </c>
      <c r="C309" s="529">
        <v>90.980059999999995</v>
      </c>
      <c r="D309" s="546">
        <v>90980.06</v>
      </c>
      <c r="E309" s="494">
        <v>33030</v>
      </c>
      <c r="F309" s="544" t="s">
        <v>49</v>
      </c>
      <c r="G309" s="471"/>
      <c r="I309" s="496"/>
      <c r="J309" s="497"/>
      <c r="K309" s="498"/>
    </row>
    <row r="310" spans="1:11" x14ac:dyDescent="0.25">
      <c r="A310" s="491">
        <v>42118</v>
      </c>
      <c r="B310" s="547" t="s">
        <v>334</v>
      </c>
      <c r="C310" s="529">
        <v>60346.559999999998</v>
      </c>
      <c r="D310" s="546">
        <v>60346560</v>
      </c>
      <c r="E310" s="494">
        <v>13305</v>
      </c>
      <c r="F310" s="544">
        <v>4122</v>
      </c>
      <c r="G310" s="503" t="s">
        <v>346</v>
      </c>
      <c r="H310" s="503">
        <v>-8464560</v>
      </c>
      <c r="I310" s="548"/>
      <c r="J310" s="497">
        <v>8464560</v>
      </c>
      <c r="K310" s="498"/>
    </row>
    <row r="311" spans="1:11" x14ac:dyDescent="0.25">
      <c r="A311" s="491">
        <v>42122</v>
      </c>
      <c r="B311" s="547" t="s">
        <v>150</v>
      </c>
      <c r="C311" s="546">
        <v>341.41081000000003</v>
      </c>
      <c r="D311" s="546">
        <v>341410.81</v>
      </c>
      <c r="E311" s="494">
        <v>33030</v>
      </c>
      <c r="F311" s="544">
        <v>4122</v>
      </c>
      <c r="G311" s="471"/>
      <c r="I311" s="496"/>
      <c r="J311" s="497"/>
      <c r="K311" s="498"/>
    </row>
    <row r="312" spans="1:11" x14ac:dyDescent="0.25">
      <c r="A312" s="491">
        <v>42138</v>
      </c>
      <c r="B312" s="547" t="s">
        <v>181</v>
      </c>
      <c r="C312" s="546">
        <v>41.08</v>
      </c>
      <c r="D312" s="546">
        <v>41080</v>
      </c>
      <c r="E312" s="494">
        <v>14011</v>
      </c>
      <c r="F312" s="544">
        <v>4122</v>
      </c>
      <c r="G312" s="471"/>
      <c r="I312" s="496"/>
      <c r="J312" s="497"/>
      <c r="K312" s="498"/>
    </row>
    <row r="313" spans="1:11" x14ac:dyDescent="0.25">
      <c r="A313" s="491">
        <v>42145</v>
      </c>
      <c r="B313" s="547" t="s">
        <v>200</v>
      </c>
      <c r="C313" s="529">
        <v>8.3298000000000005</v>
      </c>
      <c r="D313" s="546">
        <f>7080.33+1249.47</f>
        <v>8329.7999999999993</v>
      </c>
      <c r="E313" s="494">
        <v>33030</v>
      </c>
      <c r="F313" s="544">
        <v>4122</v>
      </c>
      <c r="G313" s="471"/>
      <c r="I313" s="496"/>
      <c r="J313" s="497"/>
      <c r="K313" s="498"/>
    </row>
    <row r="314" spans="1:11" x14ac:dyDescent="0.25">
      <c r="A314" s="491">
        <v>42145</v>
      </c>
      <c r="B314" s="547" t="s">
        <v>415</v>
      </c>
      <c r="C314" s="529">
        <v>1476.0851600000001</v>
      </c>
      <c r="D314" s="546">
        <f>1254672.38+221412.78</f>
        <v>1476085.16</v>
      </c>
      <c r="E314" s="494">
        <v>33030</v>
      </c>
      <c r="F314" s="544">
        <v>4122</v>
      </c>
      <c r="G314" s="471"/>
      <c r="I314" s="496"/>
      <c r="J314" s="497"/>
      <c r="K314" s="498"/>
    </row>
    <row r="315" spans="1:11" x14ac:dyDescent="0.25">
      <c r="A315" s="491">
        <v>42145</v>
      </c>
      <c r="B315" s="547" t="s">
        <v>202</v>
      </c>
      <c r="C315" s="529">
        <v>452.84152</v>
      </c>
      <c r="D315" s="546">
        <f>384915.29+67926.23</f>
        <v>452841.51999999996</v>
      </c>
      <c r="E315" s="494">
        <v>33030</v>
      </c>
      <c r="F315" s="544">
        <v>4122</v>
      </c>
      <c r="G315" s="471"/>
      <c r="I315" s="496"/>
      <c r="J315" s="497"/>
      <c r="K315" s="498"/>
    </row>
    <row r="316" spans="1:11" x14ac:dyDescent="0.25">
      <c r="A316" s="491">
        <v>42152</v>
      </c>
      <c r="B316" s="547" t="s">
        <v>181</v>
      </c>
      <c r="C316" s="529">
        <v>29.64</v>
      </c>
      <c r="D316" s="546">
        <v>29640</v>
      </c>
      <c r="E316" s="494">
        <v>14011</v>
      </c>
      <c r="F316" s="544">
        <v>4122</v>
      </c>
      <c r="G316" s="471"/>
      <c r="I316" s="496"/>
      <c r="J316" s="497"/>
      <c r="K316" s="498"/>
    </row>
    <row r="317" spans="1:11" x14ac:dyDescent="0.25">
      <c r="A317" s="491">
        <v>42160</v>
      </c>
      <c r="B317" s="547" t="s">
        <v>239</v>
      </c>
      <c r="C317" s="529">
        <v>100</v>
      </c>
      <c r="D317" s="546">
        <v>100000</v>
      </c>
      <c r="E317" s="494">
        <v>539</v>
      </c>
      <c r="F317" s="544">
        <v>4122</v>
      </c>
      <c r="G317" s="471"/>
      <c r="I317" s="496"/>
      <c r="J317" s="497"/>
      <c r="K317" s="498"/>
    </row>
    <row r="318" spans="1:11" x14ac:dyDescent="0.25">
      <c r="A318" s="491">
        <v>42160</v>
      </c>
      <c r="B318" s="547" t="s">
        <v>240</v>
      </c>
      <c r="C318" s="529">
        <v>98</v>
      </c>
      <c r="D318" s="546">
        <v>98000</v>
      </c>
      <c r="E318" s="494">
        <v>539</v>
      </c>
      <c r="F318" s="544">
        <v>4122</v>
      </c>
      <c r="G318" s="471"/>
      <c r="I318" s="496"/>
      <c r="J318" s="497"/>
      <c r="K318" s="498"/>
    </row>
    <row r="319" spans="1:11" x14ac:dyDescent="0.25">
      <c r="A319" s="491">
        <v>42173</v>
      </c>
      <c r="B319" s="547" t="s">
        <v>236</v>
      </c>
      <c r="C319" s="529">
        <v>100</v>
      </c>
      <c r="D319" s="546">
        <v>100000</v>
      </c>
      <c r="E319" s="494">
        <v>539</v>
      </c>
      <c r="F319" s="544">
        <v>4122</v>
      </c>
      <c r="G319" s="471"/>
      <c r="I319" s="496"/>
      <c r="J319" s="497"/>
      <c r="K319" s="498"/>
    </row>
    <row r="320" spans="1:11" x14ac:dyDescent="0.25">
      <c r="A320" s="491">
        <v>42178</v>
      </c>
      <c r="B320" s="547" t="s">
        <v>243</v>
      </c>
      <c r="C320" s="529">
        <v>81.797319999999999</v>
      </c>
      <c r="D320" s="546">
        <f>69527.72+12269.6</f>
        <v>81797.320000000007</v>
      </c>
      <c r="E320" s="494">
        <v>33030</v>
      </c>
      <c r="F320" s="544">
        <v>4122</v>
      </c>
      <c r="G320" s="471"/>
      <c r="I320" s="496"/>
      <c r="J320" s="497"/>
      <c r="K320" s="498"/>
    </row>
    <row r="321" spans="1:11" x14ac:dyDescent="0.25">
      <c r="A321" s="491">
        <v>42181</v>
      </c>
      <c r="B321" s="547" t="s">
        <v>250</v>
      </c>
      <c r="C321" s="529">
        <v>200</v>
      </c>
      <c r="D321" s="546">
        <v>200000</v>
      </c>
      <c r="E321" s="494">
        <v>539</v>
      </c>
      <c r="F321" s="544">
        <v>4122</v>
      </c>
      <c r="G321" s="471"/>
      <c r="I321" s="496"/>
      <c r="J321" s="497"/>
      <c r="K321" s="498"/>
    </row>
    <row r="322" spans="1:11" x14ac:dyDescent="0.25">
      <c r="A322" s="491">
        <v>42181</v>
      </c>
      <c r="B322" s="547" t="s">
        <v>252</v>
      </c>
      <c r="C322" s="529">
        <v>701.62408000000005</v>
      </c>
      <c r="D322" s="546">
        <v>701624.08</v>
      </c>
      <c r="E322" s="494">
        <v>33030</v>
      </c>
      <c r="F322" s="544">
        <v>4122</v>
      </c>
      <c r="G322" s="471"/>
      <c r="I322" s="496"/>
      <c r="J322" s="497"/>
      <c r="K322" s="498"/>
    </row>
    <row r="323" spans="1:11" x14ac:dyDescent="0.25">
      <c r="A323" s="491">
        <v>42181</v>
      </c>
      <c r="B323" s="547" t="s">
        <v>251</v>
      </c>
      <c r="C323" s="529">
        <v>93.395690000000002</v>
      </c>
      <c r="D323" s="546">
        <v>93395.69</v>
      </c>
      <c r="E323" s="494">
        <v>33030</v>
      </c>
      <c r="F323" s="544">
        <v>4122</v>
      </c>
      <c r="G323" s="471"/>
      <c r="I323" s="496"/>
      <c r="J323" s="497"/>
      <c r="K323" s="498"/>
    </row>
    <row r="324" spans="1:11" x14ac:dyDescent="0.25">
      <c r="A324" s="491">
        <v>42181</v>
      </c>
      <c r="B324" s="547" t="s">
        <v>253</v>
      </c>
      <c r="C324" s="529">
        <v>137.19474</v>
      </c>
      <c r="D324" s="546">
        <v>137194.74</v>
      </c>
      <c r="E324" s="494">
        <v>33030</v>
      </c>
      <c r="F324" s="544">
        <v>4122</v>
      </c>
      <c r="G324" s="471"/>
      <c r="I324" s="496"/>
      <c r="J324" s="497"/>
      <c r="K324" s="498"/>
    </row>
    <row r="325" spans="1:11" x14ac:dyDescent="0.25">
      <c r="A325" s="491">
        <v>42184</v>
      </c>
      <c r="B325" s="547" t="s">
        <v>254</v>
      </c>
      <c r="C325" s="529">
        <v>276.28805999999997</v>
      </c>
      <c r="D325" s="546">
        <v>276288.06</v>
      </c>
      <c r="E325" s="494">
        <v>33030</v>
      </c>
      <c r="F325" s="544">
        <v>4122</v>
      </c>
      <c r="G325" s="471"/>
      <c r="I325" s="496"/>
      <c r="J325" s="497"/>
      <c r="K325" s="498"/>
    </row>
    <row r="326" spans="1:11" x14ac:dyDescent="0.25">
      <c r="A326" s="491">
        <v>42184</v>
      </c>
      <c r="B326" s="547" t="s">
        <v>150</v>
      </c>
      <c r="C326" s="529">
        <v>371.08757000000003</v>
      </c>
      <c r="D326" s="546">
        <v>371087.57</v>
      </c>
      <c r="E326" s="494">
        <v>33030</v>
      </c>
      <c r="F326" s="544">
        <v>4122</v>
      </c>
      <c r="G326" s="471"/>
      <c r="I326" s="496"/>
      <c r="J326" s="497"/>
      <c r="K326" s="498"/>
    </row>
    <row r="327" spans="1:11" x14ac:dyDescent="0.25">
      <c r="A327" s="491">
        <v>42184</v>
      </c>
      <c r="B327" s="547" t="s">
        <v>256</v>
      </c>
      <c r="C327" s="529">
        <v>120</v>
      </c>
      <c r="D327" s="546">
        <v>120000</v>
      </c>
      <c r="E327" s="494">
        <v>311</v>
      </c>
      <c r="F327" s="544">
        <v>4122</v>
      </c>
      <c r="G327" s="471"/>
      <c r="I327" s="496"/>
      <c r="J327" s="497"/>
      <c r="K327" s="498"/>
    </row>
    <row r="328" spans="1:11" x14ac:dyDescent="0.25">
      <c r="A328" s="491">
        <v>42184</v>
      </c>
      <c r="B328" s="547" t="s">
        <v>255</v>
      </c>
      <c r="C328" s="529">
        <v>60</v>
      </c>
      <c r="D328" s="546">
        <v>60000</v>
      </c>
      <c r="E328" s="494">
        <v>311</v>
      </c>
      <c r="F328" s="544">
        <v>4122</v>
      </c>
      <c r="G328" s="471"/>
      <c r="I328" s="496"/>
      <c r="J328" s="497"/>
      <c r="K328" s="498"/>
    </row>
    <row r="329" spans="1:11" x14ac:dyDescent="0.25">
      <c r="A329" s="491">
        <v>42187</v>
      </c>
      <c r="B329" s="547" t="s">
        <v>281</v>
      </c>
      <c r="C329" s="529">
        <v>50</v>
      </c>
      <c r="D329" s="546">
        <v>50000</v>
      </c>
      <c r="E329" s="494">
        <v>311</v>
      </c>
      <c r="F329" s="544">
        <v>4122</v>
      </c>
      <c r="G329" s="471"/>
      <c r="I329" s="496"/>
      <c r="J329" s="497"/>
      <c r="K329" s="498"/>
    </row>
    <row r="330" spans="1:11" x14ac:dyDescent="0.25">
      <c r="A330" s="491">
        <v>42187</v>
      </c>
      <c r="B330" s="547" t="s">
        <v>282</v>
      </c>
      <c r="C330" s="529">
        <v>50</v>
      </c>
      <c r="D330" s="546">
        <v>50000</v>
      </c>
      <c r="E330" s="494">
        <v>311</v>
      </c>
      <c r="F330" s="544">
        <v>4122</v>
      </c>
      <c r="G330" s="471"/>
      <c r="I330" s="496"/>
      <c r="J330" s="497"/>
      <c r="K330" s="498"/>
    </row>
    <row r="331" spans="1:11" x14ac:dyDescent="0.25">
      <c r="A331" s="491">
        <v>42192</v>
      </c>
      <c r="B331" s="547" t="s">
        <v>285</v>
      </c>
      <c r="C331" s="529">
        <v>100</v>
      </c>
      <c r="D331" s="546">
        <v>100000</v>
      </c>
      <c r="E331" s="494">
        <v>331</v>
      </c>
      <c r="F331" s="544">
        <v>4122</v>
      </c>
      <c r="G331" s="471"/>
      <c r="I331" s="496"/>
      <c r="J331" s="497"/>
      <c r="K331" s="498"/>
    </row>
    <row r="332" spans="1:11" x14ac:dyDescent="0.25">
      <c r="A332" s="491">
        <v>42192</v>
      </c>
      <c r="B332" s="547" t="s">
        <v>286</v>
      </c>
      <c r="C332" s="529">
        <v>100</v>
      </c>
      <c r="D332" s="546">
        <v>100000</v>
      </c>
      <c r="E332" s="494">
        <v>331</v>
      </c>
      <c r="F332" s="544">
        <v>4122</v>
      </c>
      <c r="G332" s="471"/>
      <c r="I332" s="496"/>
      <c r="J332" s="497"/>
      <c r="K332" s="498"/>
    </row>
    <row r="333" spans="1:11" x14ac:dyDescent="0.25">
      <c r="A333" s="491">
        <v>42192</v>
      </c>
      <c r="B333" s="547" t="s">
        <v>287</v>
      </c>
      <c r="C333" s="529">
        <v>200</v>
      </c>
      <c r="D333" s="546">
        <v>200000</v>
      </c>
      <c r="E333" s="494">
        <v>331</v>
      </c>
      <c r="F333" s="544">
        <v>4122</v>
      </c>
      <c r="G333" s="471"/>
      <c r="I333" s="496"/>
      <c r="J333" s="497"/>
      <c r="K333" s="498"/>
    </row>
    <row r="334" spans="1:11" x14ac:dyDescent="0.25">
      <c r="A334" s="491">
        <v>42192</v>
      </c>
      <c r="B334" s="547" t="s">
        <v>288</v>
      </c>
      <c r="C334" s="529">
        <v>600</v>
      </c>
      <c r="D334" s="546">
        <v>600000</v>
      </c>
      <c r="E334" s="494">
        <v>331</v>
      </c>
      <c r="F334" s="544">
        <v>4122</v>
      </c>
      <c r="G334" s="471"/>
      <c r="I334" s="496"/>
      <c r="J334" s="497"/>
      <c r="K334" s="498"/>
    </row>
    <row r="335" spans="1:11" x14ac:dyDescent="0.25">
      <c r="A335" s="491">
        <v>42192</v>
      </c>
      <c r="B335" s="547" t="s">
        <v>414</v>
      </c>
      <c r="C335" s="529">
        <v>400</v>
      </c>
      <c r="D335" s="546">
        <v>400000</v>
      </c>
      <c r="E335" s="494">
        <v>331</v>
      </c>
      <c r="F335" s="544">
        <v>4122</v>
      </c>
      <c r="G335" s="471"/>
      <c r="I335" s="496"/>
      <c r="J335" s="497"/>
      <c r="K335" s="498"/>
    </row>
    <row r="336" spans="1:11" x14ac:dyDescent="0.25">
      <c r="A336" s="491">
        <v>42192</v>
      </c>
      <c r="B336" s="547" t="s">
        <v>290</v>
      </c>
      <c r="C336" s="529">
        <v>600</v>
      </c>
      <c r="D336" s="546">
        <v>600000</v>
      </c>
      <c r="E336" s="494">
        <v>331</v>
      </c>
      <c r="F336" s="544">
        <v>4122</v>
      </c>
      <c r="G336" s="471"/>
      <c r="I336" s="496"/>
      <c r="J336" s="497"/>
      <c r="K336" s="498"/>
    </row>
    <row r="337" spans="1:11" x14ac:dyDescent="0.25">
      <c r="A337" s="491">
        <v>42192</v>
      </c>
      <c r="B337" s="547" t="s">
        <v>291</v>
      </c>
      <c r="C337" s="529">
        <v>600</v>
      </c>
      <c r="D337" s="546">
        <v>600000</v>
      </c>
      <c r="E337" s="494">
        <v>331</v>
      </c>
      <c r="F337" s="544">
        <v>4122</v>
      </c>
      <c r="G337" s="471"/>
      <c r="I337" s="496"/>
      <c r="J337" s="497"/>
      <c r="K337" s="498"/>
    </row>
    <row r="338" spans="1:11" x14ac:dyDescent="0.25">
      <c r="A338" s="491">
        <v>42192</v>
      </c>
      <c r="B338" s="547" t="s">
        <v>292</v>
      </c>
      <c r="C338" s="529">
        <v>600</v>
      </c>
      <c r="D338" s="546">
        <v>600000</v>
      </c>
      <c r="E338" s="494">
        <v>331</v>
      </c>
      <c r="F338" s="544">
        <v>4122</v>
      </c>
      <c r="G338" s="471"/>
      <c r="I338" s="496"/>
      <c r="J338" s="497"/>
      <c r="K338" s="498"/>
    </row>
    <row r="339" spans="1:11" x14ac:dyDescent="0.25">
      <c r="A339" s="491">
        <v>42192</v>
      </c>
      <c r="B339" s="547" t="s">
        <v>293</v>
      </c>
      <c r="C339" s="529">
        <v>600</v>
      </c>
      <c r="D339" s="546">
        <v>600000</v>
      </c>
      <c r="E339" s="494">
        <v>331</v>
      </c>
      <c r="F339" s="544">
        <v>4122</v>
      </c>
      <c r="G339" s="471"/>
      <c r="I339" s="496"/>
      <c r="J339" s="497"/>
      <c r="K339" s="498"/>
    </row>
    <row r="340" spans="1:11" x14ac:dyDescent="0.25">
      <c r="A340" s="491">
        <v>42213</v>
      </c>
      <c r="B340" s="547" t="s">
        <v>333</v>
      </c>
      <c r="C340" s="529">
        <v>40231.040000000001</v>
      </c>
      <c r="D340" s="546">
        <v>40231040</v>
      </c>
      <c r="E340" s="494">
        <v>13305</v>
      </c>
      <c r="F340" s="544">
        <v>4122</v>
      </c>
      <c r="G340" s="503" t="s">
        <v>346</v>
      </c>
      <c r="H340" s="503">
        <f>-3646440-1996600</f>
        <v>-5643040</v>
      </c>
      <c r="I340" s="548"/>
      <c r="J340" s="497">
        <v>5643040</v>
      </c>
      <c r="K340" s="498"/>
    </row>
    <row r="341" spans="1:11" x14ac:dyDescent="0.25">
      <c r="A341" s="491">
        <v>42254</v>
      </c>
      <c r="B341" s="547" t="s">
        <v>432</v>
      </c>
      <c r="C341" s="546">
        <v>15</v>
      </c>
      <c r="D341" s="546">
        <v>15000</v>
      </c>
      <c r="E341" s="494">
        <v>359</v>
      </c>
      <c r="F341" s="544">
        <v>4122</v>
      </c>
      <c r="G341" s="471"/>
      <c r="I341" s="496"/>
      <c r="J341" s="497"/>
      <c r="K341" s="498"/>
    </row>
    <row r="342" spans="1:11" x14ac:dyDescent="0.25">
      <c r="A342" s="491">
        <v>42256</v>
      </c>
      <c r="B342" s="547" t="s">
        <v>420</v>
      </c>
      <c r="C342" s="529">
        <v>60</v>
      </c>
      <c r="D342" s="546">
        <v>60000</v>
      </c>
      <c r="E342" s="494">
        <v>214</v>
      </c>
      <c r="F342" s="544">
        <v>4122</v>
      </c>
      <c r="G342" s="471"/>
      <c r="I342" s="496"/>
      <c r="J342" s="497"/>
      <c r="K342" s="498"/>
    </row>
    <row r="343" spans="1:11" x14ac:dyDescent="0.25">
      <c r="A343" s="491">
        <v>42291</v>
      </c>
      <c r="B343" s="547" t="s">
        <v>532</v>
      </c>
      <c r="C343" s="529">
        <v>37</v>
      </c>
      <c r="D343" s="546">
        <v>37000</v>
      </c>
      <c r="E343" s="494">
        <v>331</v>
      </c>
      <c r="F343" s="544">
        <v>4122</v>
      </c>
      <c r="G343" s="471"/>
      <c r="I343" s="496"/>
      <c r="J343" s="497"/>
      <c r="K343" s="498"/>
    </row>
    <row r="344" spans="1:11" x14ac:dyDescent="0.25">
      <c r="A344" s="491">
        <v>42291</v>
      </c>
      <c r="B344" s="547" t="s">
        <v>533</v>
      </c>
      <c r="C344" s="529">
        <v>61</v>
      </c>
      <c r="D344" s="546">
        <v>61000</v>
      </c>
      <c r="E344" s="494">
        <v>331</v>
      </c>
      <c r="F344" s="544">
        <v>4122</v>
      </c>
      <c r="G344" s="471"/>
      <c r="I344" s="496"/>
      <c r="J344" s="497"/>
      <c r="K344" s="498"/>
    </row>
    <row r="345" spans="1:11" x14ac:dyDescent="0.25">
      <c r="A345" s="491">
        <v>42291</v>
      </c>
      <c r="B345" s="547" t="s">
        <v>534</v>
      </c>
      <c r="C345" s="529">
        <v>40</v>
      </c>
      <c r="D345" s="546">
        <v>40000</v>
      </c>
      <c r="E345" s="494">
        <v>331</v>
      </c>
      <c r="F345" s="544">
        <v>4122</v>
      </c>
      <c r="G345" s="471"/>
      <c r="I345" s="496"/>
      <c r="J345" s="497"/>
      <c r="K345" s="498"/>
    </row>
    <row r="346" spans="1:11" x14ac:dyDescent="0.25">
      <c r="A346" s="491">
        <v>42291</v>
      </c>
      <c r="B346" s="547" t="s">
        <v>535</v>
      </c>
      <c r="C346" s="529">
        <v>30</v>
      </c>
      <c r="D346" s="546">
        <v>30000</v>
      </c>
      <c r="E346" s="494">
        <v>331</v>
      </c>
      <c r="F346" s="544">
        <v>4122</v>
      </c>
      <c r="G346" s="471"/>
      <c r="I346" s="496"/>
      <c r="J346" s="497"/>
      <c r="K346" s="498"/>
    </row>
    <row r="347" spans="1:11" x14ac:dyDescent="0.25">
      <c r="A347" s="491">
        <v>42318</v>
      </c>
      <c r="B347" s="547" t="s">
        <v>599</v>
      </c>
      <c r="C347" s="529">
        <v>75</v>
      </c>
      <c r="D347" s="546">
        <v>75000</v>
      </c>
      <c r="E347" s="494">
        <v>331</v>
      </c>
      <c r="F347" s="544">
        <v>4122</v>
      </c>
      <c r="G347" s="471"/>
      <c r="I347" s="496"/>
      <c r="J347" s="497"/>
      <c r="K347" s="498"/>
    </row>
    <row r="348" spans="1:11" x14ac:dyDescent="0.25">
      <c r="A348" s="491">
        <v>42331</v>
      </c>
      <c r="B348" s="547" t="s">
        <v>333</v>
      </c>
      <c r="C348" s="529">
        <f>1919.7+1128.5+1862.9+457+543.6+2688.1+431.1+1861.3+451.6+427.8+454.8+912.5+543.6</f>
        <v>13682.5</v>
      </c>
      <c r="D348" s="546">
        <f>11762800+1648000+271700</f>
        <v>13682500</v>
      </c>
      <c r="E348" s="494">
        <v>13305</v>
      </c>
      <c r="F348" s="544">
        <v>4122</v>
      </c>
      <c r="G348" s="503" t="s">
        <v>346</v>
      </c>
      <c r="H348" s="503">
        <v>-1919700</v>
      </c>
      <c r="I348" s="496"/>
      <c r="J348" s="497">
        <v>1919700</v>
      </c>
      <c r="K348" s="498"/>
    </row>
    <row r="349" spans="1:11" x14ac:dyDescent="0.25">
      <c r="A349" s="491">
        <v>42360</v>
      </c>
      <c r="B349" s="547" t="s">
        <v>663</v>
      </c>
      <c r="C349" s="529">
        <v>242</v>
      </c>
      <c r="D349" s="546">
        <v>242000</v>
      </c>
      <c r="E349" s="494">
        <v>331</v>
      </c>
      <c r="F349" s="544">
        <v>4122</v>
      </c>
      <c r="G349" s="503"/>
      <c r="H349" s="503"/>
      <c r="I349" s="496"/>
      <c r="J349" s="497"/>
      <c r="K349" s="498"/>
    </row>
    <row r="350" spans="1:11" x14ac:dyDescent="0.25">
      <c r="A350" s="491">
        <v>42360</v>
      </c>
      <c r="B350" s="547" t="s">
        <v>661</v>
      </c>
      <c r="C350" s="529">
        <v>100</v>
      </c>
      <c r="D350" s="546">
        <v>100000</v>
      </c>
      <c r="E350" s="494">
        <v>331</v>
      </c>
      <c r="F350" s="544">
        <v>4122</v>
      </c>
      <c r="G350" s="503"/>
      <c r="H350" s="503"/>
      <c r="I350" s="496"/>
      <c r="J350" s="497"/>
      <c r="K350" s="498"/>
    </row>
    <row r="351" spans="1:11" x14ac:dyDescent="0.25">
      <c r="A351" s="491">
        <v>42366</v>
      </c>
      <c r="B351" s="547" t="s">
        <v>662</v>
      </c>
      <c r="C351" s="529">
        <v>1000</v>
      </c>
      <c r="D351" s="546">
        <v>1000000</v>
      </c>
      <c r="E351" s="494">
        <v>331</v>
      </c>
      <c r="F351" s="544">
        <v>4122</v>
      </c>
      <c r="G351" s="503"/>
      <c r="H351" s="503"/>
      <c r="I351" s="496"/>
      <c r="J351" s="497"/>
      <c r="K351" s="498"/>
    </row>
    <row r="352" spans="1:11" x14ac:dyDescent="0.25">
      <c r="A352" s="491">
        <v>42356</v>
      </c>
      <c r="B352" s="547" t="s">
        <v>202</v>
      </c>
      <c r="C352" s="529">
        <f>172.92329+30.51588</f>
        <v>203.43917000000002</v>
      </c>
      <c r="D352" s="546">
        <f>172923.29+30515.88</f>
        <v>203439.17</v>
      </c>
      <c r="E352" s="494">
        <v>33030</v>
      </c>
      <c r="F352" s="544">
        <v>4122</v>
      </c>
      <c r="G352" s="503"/>
      <c r="H352" s="503"/>
      <c r="I352" s="496"/>
      <c r="J352" s="497"/>
      <c r="K352" s="498"/>
    </row>
    <row r="353" spans="1:11" x14ac:dyDescent="0.25">
      <c r="A353" s="491">
        <v>42360</v>
      </c>
      <c r="B353" s="547" t="s">
        <v>654</v>
      </c>
      <c r="C353" s="529">
        <v>-55.033000000000001</v>
      </c>
      <c r="D353" s="546">
        <v>-55033</v>
      </c>
      <c r="E353" s="494">
        <v>539</v>
      </c>
      <c r="F353" s="544">
        <v>4122</v>
      </c>
      <c r="G353" s="503"/>
      <c r="H353" s="503"/>
      <c r="I353" s="496"/>
      <c r="J353" s="497"/>
      <c r="K353" s="498"/>
    </row>
    <row r="354" spans="1:11" x14ac:dyDescent="0.25">
      <c r="A354" s="491"/>
      <c r="B354" s="547" t="s">
        <v>309</v>
      </c>
      <c r="C354" s="539">
        <v>50</v>
      </c>
      <c r="D354" s="549">
        <v>50000</v>
      </c>
      <c r="E354" s="494">
        <v>551</v>
      </c>
      <c r="F354" s="544">
        <v>4122</v>
      </c>
      <c r="G354" s="471"/>
      <c r="H354" s="503"/>
      <c r="I354" s="496"/>
      <c r="J354" s="497">
        <v>50000</v>
      </c>
      <c r="K354" s="550"/>
    </row>
    <row r="355" spans="1:11" x14ac:dyDescent="0.25">
      <c r="A355" s="491"/>
      <c r="B355" s="547" t="s">
        <v>640</v>
      </c>
      <c r="C355" s="539">
        <v>23.713999999999999</v>
      </c>
      <c r="D355" s="549">
        <v>23714</v>
      </c>
      <c r="E355" s="494">
        <v>14004</v>
      </c>
      <c r="F355" s="544">
        <v>4122</v>
      </c>
      <c r="G355" s="471"/>
      <c r="H355" s="503"/>
      <c r="I355" s="496"/>
      <c r="J355" s="497">
        <v>23714</v>
      </c>
      <c r="K355" s="550"/>
    </row>
    <row r="356" spans="1:11" x14ac:dyDescent="0.25">
      <c r="A356" s="491"/>
      <c r="B356" s="547" t="s">
        <v>644</v>
      </c>
      <c r="C356" s="539">
        <v>300</v>
      </c>
      <c r="D356" s="549">
        <v>300000</v>
      </c>
      <c r="E356" s="494">
        <v>374</v>
      </c>
      <c r="F356" s="544">
        <v>4122</v>
      </c>
      <c r="G356" s="503" t="s">
        <v>64</v>
      </c>
      <c r="H356" s="503"/>
      <c r="I356" s="496">
        <v>300000</v>
      </c>
      <c r="J356" s="497"/>
      <c r="K356" s="550"/>
    </row>
    <row r="357" spans="1:11" x14ac:dyDescent="0.25">
      <c r="A357" s="491"/>
      <c r="B357" s="547" t="s">
        <v>311</v>
      </c>
      <c r="C357" s="539">
        <v>130</v>
      </c>
      <c r="D357" s="549">
        <v>130000</v>
      </c>
      <c r="E357" s="494">
        <v>551</v>
      </c>
      <c r="F357" s="544">
        <v>4122</v>
      </c>
      <c r="G357" s="503"/>
      <c r="H357" s="503"/>
      <c r="I357" s="496"/>
      <c r="J357" s="497">
        <v>130000</v>
      </c>
      <c r="K357" s="550"/>
    </row>
    <row r="358" spans="1:11" x14ac:dyDescent="0.25">
      <c r="A358" s="491"/>
      <c r="B358" s="547" t="s">
        <v>625</v>
      </c>
      <c r="C358" s="539">
        <v>7.0039999999999996</v>
      </c>
      <c r="D358" s="549">
        <v>7004</v>
      </c>
      <c r="E358" s="494">
        <v>14004</v>
      </c>
      <c r="F358" s="544">
        <v>4122</v>
      </c>
      <c r="G358" s="503"/>
      <c r="H358" s="503"/>
      <c r="I358" s="496"/>
      <c r="J358" s="497">
        <v>7004</v>
      </c>
      <c r="K358" s="550"/>
    </row>
    <row r="359" spans="1:11" x14ac:dyDescent="0.25">
      <c r="A359" s="491"/>
      <c r="B359" s="547" t="s">
        <v>641</v>
      </c>
      <c r="C359" s="539">
        <v>14.084</v>
      </c>
      <c r="D359" s="549">
        <v>14084</v>
      </c>
      <c r="E359" s="494">
        <v>14004</v>
      </c>
      <c r="F359" s="544">
        <v>4122</v>
      </c>
      <c r="G359" s="503"/>
      <c r="H359" s="503"/>
      <c r="I359" s="496"/>
      <c r="J359" s="497">
        <v>14084</v>
      </c>
      <c r="K359" s="550"/>
    </row>
    <row r="360" spans="1:11" x14ac:dyDescent="0.25">
      <c r="A360" s="491"/>
      <c r="B360" s="547" t="s">
        <v>589</v>
      </c>
      <c r="C360" s="539">
        <v>50</v>
      </c>
      <c r="D360" s="551">
        <v>50000</v>
      </c>
      <c r="E360" s="494">
        <v>331</v>
      </c>
      <c r="F360" s="544">
        <v>4122</v>
      </c>
      <c r="G360" s="503"/>
      <c r="H360" s="470"/>
      <c r="I360" s="496"/>
      <c r="J360" s="497">
        <v>50000</v>
      </c>
      <c r="K360" s="498"/>
    </row>
    <row r="361" spans="1:11" x14ac:dyDescent="0.25">
      <c r="A361" s="491"/>
      <c r="B361" s="547" t="s">
        <v>249</v>
      </c>
      <c r="C361" s="539">
        <v>60</v>
      </c>
      <c r="D361" s="549">
        <v>60000</v>
      </c>
      <c r="E361" s="494">
        <v>539</v>
      </c>
      <c r="F361" s="544">
        <v>4122</v>
      </c>
      <c r="G361" s="471"/>
      <c r="I361" s="496"/>
      <c r="J361" s="497">
        <v>60000</v>
      </c>
      <c r="K361" s="498"/>
    </row>
    <row r="362" spans="1:11" x14ac:dyDescent="0.25">
      <c r="A362" s="491"/>
      <c r="B362" s="547" t="s">
        <v>421</v>
      </c>
      <c r="C362" s="539">
        <v>70</v>
      </c>
      <c r="D362" s="549">
        <v>70000</v>
      </c>
      <c r="E362" s="501">
        <v>551</v>
      </c>
      <c r="F362" s="544">
        <v>4122</v>
      </c>
      <c r="G362" s="503"/>
      <c r="H362" s="503"/>
      <c r="I362" s="496"/>
      <c r="J362" s="497">
        <v>70000</v>
      </c>
      <c r="K362" s="498"/>
    </row>
    <row r="363" spans="1:11" x14ac:dyDescent="0.25">
      <c r="A363" s="491"/>
      <c r="B363" s="547" t="s">
        <v>69</v>
      </c>
      <c r="C363" s="539">
        <f>674.88547+191.22315+33.74527</f>
        <v>899.85389000000009</v>
      </c>
      <c r="D363" s="549">
        <f>674885.47+224968.42</f>
        <v>899853.89</v>
      </c>
      <c r="E363" s="501">
        <v>33030</v>
      </c>
      <c r="F363" s="544">
        <v>4122</v>
      </c>
      <c r="G363" s="471"/>
      <c r="I363" s="496"/>
      <c r="J363" s="497">
        <f>674885.47+224968.42</f>
        <v>899853.89</v>
      </c>
      <c r="K363" s="498"/>
    </row>
    <row r="364" spans="1:11" x14ac:dyDescent="0.25">
      <c r="A364" s="491"/>
      <c r="B364" s="547" t="s">
        <v>259</v>
      </c>
      <c r="C364" s="539">
        <v>35</v>
      </c>
      <c r="D364" s="549">
        <v>35000</v>
      </c>
      <c r="E364" s="501">
        <v>539</v>
      </c>
      <c r="F364" s="544">
        <v>4122</v>
      </c>
      <c r="G364" s="471"/>
      <c r="I364" s="496"/>
      <c r="J364" s="497">
        <v>35000</v>
      </c>
      <c r="K364" s="498"/>
    </row>
    <row r="365" spans="1:11" x14ac:dyDescent="0.25">
      <c r="A365" s="491"/>
      <c r="B365" s="547" t="s">
        <v>139</v>
      </c>
      <c r="C365" s="539">
        <f>669.36+446.24+138.2</f>
        <v>1253.8</v>
      </c>
      <c r="D365" s="549">
        <f>669360+446240+138200</f>
        <v>1253800</v>
      </c>
      <c r="E365" s="501">
        <v>13305</v>
      </c>
      <c r="F365" s="544">
        <v>4122</v>
      </c>
      <c r="G365" s="471"/>
      <c r="I365" s="496"/>
      <c r="J365" s="497">
        <f>669360+446240+138200</f>
        <v>1253800</v>
      </c>
      <c r="K365" s="498"/>
    </row>
    <row r="366" spans="1:11" x14ac:dyDescent="0.25">
      <c r="A366" s="491"/>
      <c r="B366" s="547" t="s">
        <v>151</v>
      </c>
      <c r="C366" s="539">
        <v>964</v>
      </c>
      <c r="D366" s="549">
        <f>578400+385600</f>
        <v>964000</v>
      </c>
      <c r="E366" s="501">
        <v>13305</v>
      </c>
      <c r="F366" s="544">
        <v>4122</v>
      </c>
      <c r="G366" s="471"/>
      <c r="I366" s="496"/>
      <c r="J366" s="497">
        <f>578400+385600</f>
        <v>964000</v>
      </c>
      <c r="K366" s="498"/>
    </row>
    <row r="367" spans="1:11" x14ac:dyDescent="0.25">
      <c r="A367" s="491"/>
      <c r="B367" s="547" t="s">
        <v>332</v>
      </c>
      <c r="C367" s="539">
        <v>80</v>
      </c>
      <c r="D367" s="549">
        <v>80000</v>
      </c>
      <c r="E367" s="501">
        <v>551</v>
      </c>
      <c r="F367" s="544">
        <v>4122</v>
      </c>
      <c r="G367" s="503"/>
      <c r="H367" s="503"/>
      <c r="I367" s="496"/>
      <c r="J367" s="497">
        <v>80000</v>
      </c>
      <c r="K367" s="498"/>
    </row>
    <row r="368" spans="1:11" x14ac:dyDescent="0.25">
      <c r="A368" s="491"/>
      <c r="B368" s="547" t="s">
        <v>626</v>
      </c>
      <c r="C368" s="539">
        <v>27.533999999999999</v>
      </c>
      <c r="D368" s="549">
        <v>27534</v>
      </c>
      <c r="E368" s="501">
        <v>14004</v>
      </c>
      <c r="F368" s="544">
        <v>4122</v>
      </c>
      <c r="G368" s="503"/>
      <c r="H368" s="503"/>
      <c r="I368" s="496"/>
      <c r="J368" s="497">
        <v>27534</v>
      </c>
      <c r="K368" s="498"/>
    </row>
    <row r="369" spans="1:11" x14ac:dyDescent="0.25">
      <c r="A369" s="491"/>
      <c r="B369" s="547" t="s">
        <v>600</v>
      </c>
      <c r="C369" s="539">
        <v>60</v>
      </c>
      <c r="D369" s="549">
        <v>60000</v>
      </c>
      <c r="E369" s="501">
        <v>331</v>
      </c>
      <c r="F369" s="544">
        <v>4122</v>
      </c>
      <c r="G369" s="503"/>
      <c r="H369" s="503"/>
      <c r="I369" s="496"/>
      <c r="J369" s="497">
        <v>60000</v>
      </c>
      <c r="K369" s="498"/>
    </row>
    <row r="370" spans="1:11" x14ac:dyDescent="0.25">
      <c r="A370" s="491"/>
      <c r="B370" s="547" t="s">
        <v>304</v>
      </c>
      <c r="C370" s="539">
        <v>55</v>
      </c>
      <c r="D370" s="549">
        <v>55000</v>
      </c>
      <c r="E370" s="501">
        <v>551</v>
      </c>
      <c r="F370" s="544">
        <v>4122</v>
      </c>
      <c r="G370" s="503"/>
      <c r="H370" s="503"/>
      <c r="I370" s="496"/>
      <c r="J370" s="497">
        <v>55000</v>
      </c>
      <c r="K370" s="498"/>
    </row>
    <row r="371" spans="1:11" x14ac:dyDescent="0.25">
      <c r="A371" s="491"/>
      <c r="B371" s="547" t="s">
        <v>619</v>
      </c>
      <c r="C371" s="539">
        <v>50</v>
      </c>
      <c r="D371" s="549">
        <v>50000</v>
      </c>
      <c r="E371" s="501">
        <v>331</v>
      </c>
      <c r="F371" s="544">
        <v>4122</v>
      </c>
      <c r="G371" s="503" t="s">
        <v>64</v>
      </c>
      <c r="H371" s="503"/>
      <c r="I371" s="496">
        <v>50000</v>
      </c>
      <c r="J371" s="497"/>
      <c r="K371" s="498"/>
    </row>
    <row r="372" spans="1:11" x14ac:dyDescent="0.25">
      <c r="A372" s="491"/>
      <c r="B372" s="547" t="s">
        <v>426</v>
      </c>
      <c r="C372" s="539">
        <v>70</v>
      </c>
      <c r="D372" s="549">
        <v>70000</v>
      </c>
      <c r="E372" s="501">
        <v>101</v>
      </c>
      <c r="F372" s="544">
        <v>4122</v>
      </c>
      <c r="G372" s="503"/>
      <c r="H372" s="503"/>
      <c r="I372" s="496"/>
      <c r="J372" s="497">
        <v>70000</v>
      </c>
      <c r="K372" s="498"/>
    </row>
    <row r="373" spans="1:11" x14ac:dyDescent="0.25">
      <c r="A373" s="491"/>
      <c r="B373" s="547" t="s">
        <v>627</v>
      </c>
      <c r="C373" s="539">
        <v>25</v>
      </c>
      <c r="D373" s="549">
        <v>25000</v>
      </c>
      <c r="E373" s="501">
        <v>331</v>
      </c>
      <c r="F373" s="544">
        <v>4122</v>
      </c>
      <c r="G373" s="503"/>
      <c r="H373" s="503"/>
      <c r="I373" s="496"/>
      <c r="J373" s="497">
        <v>25000</v>
      </c>
      <c r="K373" s="498"/>
    </row>
    <row r="374" spans="1:11" x14ac:dyDescent="0.25">
      <c r="A374" s="491"/>
      <c r="B374" s="547" t="s">
        <v>628</v>
      </c>
      <c r="C374" s="539">
        <v>50</v>
      </c>
      <c r="D374" s="549">
        <v>50000</v>
      </c>
      <c r="E374" s="501">
        <v>331</v>
      </c>
      <c r="F374" s="544">
        <v>4122</v>
      </c>
      <c r="G374" s="503"/>
      <c r="H374" s="503"/>
      <c r="I374" s="496"/>
      <c r="J374" s="497">
        <v>50000</v>
      </c>
      <c r="K374" s="498"/>
    </row>
    <row r="375" spans="1:11" x14ac:dyDescent="0.25">
      <c r="A375" s="491"/>
      <c r="B375" s="547" t="s">
        <v>561</v>
      </c>
      <c r="C375" s="539">
        <v>50</v>
      </c>
      <c r="D375" s="549">
        <v>50000</v>
      </c>
      <c r="E375" s="501">
        <v>439</v>
      </c>
      <c r="F375" s="544">
        <v>4122</v>
      </c>
      <c r="G375" s="503" t="s">
        <v>64</v>
      </c>
      <c r="H375" s="503"/>
      <c r="I375" s="496">
        <v>50000</v>
      </c>
      <c r="J375" s="497"/>
      <c r="K375" s="498"/>
    </row>
    <row r="376" spans="1:11" x14ac:dyDescent="0.25">
      <c r="A376" s="491"/>
      <c r="B376" s="547" t="s">
        <v>331</v>
      </c>
      <c r="C376" s="539">
        <v>90</v>
      </c>
      <c r="D376" s="549">
        <v>90000</v>
      </c>
      <c r="E376" s="501">
        <v>551</v>
      </c>
      <c r="F376" s="544">
        <v>4122</v>
      </c>
      <c r="G376" s="503"/>
      <c r="H376" s="503"/>
      <c r="I376" s="496"/>
      <c r="J376" s="497">
        <v>90000</v>
      </c>
      <c r="K376" s="498"/>
    </row>
    <row r="377" spans="1:11" x14ac:dyDescent="0.25">
      <c r="A377" s="491"/>
      <c r="B377" s="547" t="s">
        <v>629</v>
      </c>
      <c r="C377" s="539">
        <v>8</v>
      </c>
      <c r="D377" s="549">
        <v>8000</v>
      </c>
      <c r="E377" s="501">
        <v>14004</v>
      </c>
      <c r="F377" s="544">
        <v>4122</v>
      </c>
      <c r="G377" s="503"/>
      <c r="H377" s="503"/>
      <c r="I377" s="496"/>
      <c r="J377" s="497">
        <v>8000</v>
      </c>
      <c r="K377" s="498"/>
    </row>
    <row r="378" spans="1:11" x14ac:dyDescent="0.25">
      <c r="A378" s="491"/>
      <c r="B378" s="547" t="s">
        <v>310</v>
      </c>
      <c r="C378" s="539">
        <v>55</v>
      </c>
      <c r="D378" s="549">
        <v>55000</v>
      </c>
      <c r="E378" s="501">
        <v>551</v>
      </c>
      <c r="F378" s="544">
        <v>4122</v>
      </c>
      <c r="G378" s="503"/>
      <c r="H378" s="503"/>
      <c r="I378" s="496"/>
      <c r="J378" s="497">
        <v>55000</v>
      </c>
      <c r="K378" s="498"/>
    </row>
    <row r="379" spans="1:11" x14ac:dyDescent="0.25">
      <c r="A379" s="491"/>
      <c r="B379" s="533"/>
      <c r="C379" s="546"/>
      <c r="D379" s="546"/>
      <c r="E379" s="494"/>
      <c r="F379" s="495"/>
      <c r="G379" s="471"/>
      <c r="I379" s="496"/>
      <c r="J379" s="497"/>
      <c r="K379" s="498"/>
    </row>
    <row r="380" spans="1:11" x14ac:dyDescent="0.25">
      <c r="A380" s="491"/>
      <c r="B380" s="538" t="s">
        <v>50</v>
      </c>
      <c r="C380" s="493">
        <f>+SUM(C381:C384)</f>
        <v>3370.2083499999999</v>
      </c>
      <c r="D380" s="493">
        <f>+SUM(D381:D384)</f>
        <v>3370208.3499999996</v>
      </c>
      <c r="E380" s="494"/>
      <c r="F380" s="495"/>
      <c r="G380" s="471"/>
      <c r="I380" s="496"/>
      <c r="J380" s="497"/>
      <c r="K380" s="498"/>
    </row>
    <row r="381" spans="1:11" x14ac:dyDescent="0.25">
      <c r="A381" s="504">
        <v>42101</v>
      </c>
      <c r="B381" s="533" t="s">
        <v>138</v>
      </c>
      <c r="C381" s="529">
        <v>131.06369000000001</v>
      </c>
      <c r="D381" s="546">
        <v>131063.69</v>
      </c>
      <c r="E381" s="501">
        <v>86005</v>
      </c>
      <c r="F381" s="544">
        <v>4123</v>
      </c>
      <c r="G381" s="471"/>
      <c r="I381" s="496"/>
      <c r="J381" s="497"/>
      <c r="K381" s="498"/>
    </row>
    <row r="382" spans="1:11" x14ac:dyDescent="0.25">
      <c r="A382" s="526">
        <v>42131</v>
      </c>
      <c r="B382" s="533" t="s">
        <v>417</v>
      </c>
      <c r="C382" s="529">
        <v>853.73328000000004</v>
      </c>
      <c r="D382" s="546">
        <v>853733.28</v>
      </c>
      <c r="E382" s="552">
        <v>86005</v>
      </c>
      <c r="F382" s="544">
        <v>4123</v>
      </c>
      <c r="G382" s="471"/>
      <c r="I382" s="496"/>
      <c r="J382" s="497"/>
      <c r="K382" s="498"/>
    </row>
    <row r="383" spans="1:11" x14ac:dyDescent="0.25">
      <c r="A383" s="526">
        <v>42178</v>
      </c>
      <c r="B383" s="533" t="s">
        <v>245</v>
      </c>
      <c r="C383" s="529">
        <v>823.85523999999998</v>
      </c>
      <c r="D383" s="546">
        <v>823855.24</v>
      </c>
      <c r="E383" s="552">
        <v>86005</v>
      </c>
      <c r="F383" s="544">
        <v>4123</v>
      </c>
      <c r="G383" s="471"/>
      <c r="I383" s="496"/>
      <c r="J383" s="497"/>
      <c r="K383" s="498"/>
    </row>
    <row r="384" spans="1:11" x14ac:dyDescent="0.25">
      <c r="A384" s="491">
        <v>42324</v>
      </c>
      <c r="B384" s="533" t="s">
        <v>604</v>
      </c>
      <c r="C384" s="535">
        <v>1561.5561399999999</v>
      </c>
      <c r="D384" s="546">
        <v>1561556.14</v>
      </c>
      <c r="E384" s="494">
        <v>86005</v>
      </c>
      <c r="F384" s="544">
        <v>4123</v>
      </c>
      <c r="G384" s="471"/>
      <c r="I384" s="496"/>
      <c r="J384" s="497"/>
      <c r="K384" s="498"/>
    </row>
    <row r="385" spans="1:11" x14ac:dyDescent="0.25">
      <c r="A385" s="491"/>
      <c r="B385" s="522"/>
      <c r="C385" s="535"/>
      <c r="D385" s="553"/>
      <c r="E385" s="494"/>
      <c r="F385" s="544"/>
      <c r="G385" s="471"/>
      <c r="I385" s="496"/>
      <c r="J385" s="497"/>
      <c r="K385" s="498"/>
    </row>
    <row r="386" spans="1:11" x14ac:dyDescent="0.25">
      <c r="A386" s="491"/>
      <c r="B386" s="554" t="s">
        <v>52</v>
      </c>
      <c r="C386" s="506">
        <f>+SUM(C387:C389)</f>
        <v>2377</v>
      </c>
      <c r="D386" s="506">
        <f>+SUM(D387:D389)</f>
        <v>2400018.1000000006</v>
      </c>
      <c r="E386" s="494"/>
      <c r="F386" s="544"/>
      <c r="G386" s="471"/>
      <c r="I386" s="496"/>
      <c r="J386" s="497"/>
      <c r="K386" s="498"/>
    </row>
    <row r="387" spans="1:11" x14ac:dyDescent="0.25">
      <c r="A387" s="491">
        <v>42075</v>
      </c>
      <c r="B387" s="547" t="s">
        <v>124</v>
      </c>
      <c r="C387" s="529">
        <v>582</v>
      </c>
      <c r="D387" s="546">
        <v>581714.24</v>
      </c>
      <c r="E387" s="494"/>
      <c r="F387" s="544">
        <v>4152</v>
      </c>
      <c r="G387" s="471"/>
      <c r="I387" s="496"/>
      <c r="J387" s="497"/>
      <c r="K387" s="498"/>
    </row>
    <row r="388" spans="1:11" x14ac:dyDescent="0.25">
      <c r="A388" s="491">
        <v>42174</v>
      </c>
      <c r="B388" s="547" t="s">
        <v>244</v>
      </c>
      <c r="C388" s="529">
        <v>1795</v>
      </c>
      <c r="D388" s="546">
        <v>1794728.87</v>
      </c>
      <c r="E388" s="494"/>
      <c r="F388" s="544">
        <v>4152</v>
      </c>
      <c r="G388" s="471"/>
      <c r="I388" s="496"/>
      <c r="J388" s="497"/>
      <c r="K388" s="498"/>
    </row>
    <row r="389" spans="1:11" x14ac:dyDescent="0.25">
      <c r="A389" s="491">
        <v>42233</v>
      </c>
      <c r="B389" s="547" t="s">
        <v>402</v>
      </c>
      <c r="C389" s="529">
        <v>0</v>
      </c>
      <c r="D389" s="546">
        <v>23574.99</v>
      </c>
      <c r="E389" s="494"/>
      <c r="F389" s="544">
        <v>4152</v>
      </c>
      <c r="G389" s="471"/>
      <c r="I389" s="496"/>
      <c r="J389" s="497"/>
      <c r="K389" s="498"/>
    </row>
    <row r="390" spans="1:11" x14ac:dyDescent="0.25">
      <c r="A390" s="491"/>
      <c r="B390" s="533"/>
      <c r="C390" s="535"/>
      <c r="D390" s="546"/>
      <c r="E390" s="494"/>
      <c r="F390" s="544"/>
      <c r="G390" s="471"/>
      <c r="I390" s="496"/>
      <c r="J390" s="497"/>
      <c r="K390" s="498"/>
    </row>
    <row r="391" spans="1:11" ht="15.6" customHeight="1" x14ac:dyDescent="0.25">
      <c r="A391" s="491"/>
      <c r="B391" s="555" t="s">
        <v>53</v>
      </c>
      <c r="C391" s="493">
        <f>+C386+C380+C307+C284+C276+C255+C231+C227+C219+C210+C109+C71+C68+C36+C32+C13+C7</f>
        <v>326829.80862999998</v>
      </c>
      <c r="D391" s="493">
        <f>+D386+D380+D307+D284+D276+D255+D231+D227+D219+D210+D109+D71+D68+D36+D32+D13+D7</f>
        <v>322636678.73000002</v>
      </c>
      <c r="E391" s="556"/>
      <c r="F391" s="501"/>
      <c r="G391" s="471"/>
      <c r="I391" s="496"/>
      <c r="J391" s="497"/>
      <c r="K391" s="498"/>
    </row>
    <row r="392" spans="1:11" ht="16.5" thickBot="1" x14ac:dyDescent="0.3">
      <c r="A392" s="557"/>
      <c r="B392" s="558"/>
      <c r="C392" s="559"/>
      <c r="D392" s="559"/>
      <c r="E392" s="560"/>
      <c r="F392" s="561"/>
      <c r="G392" s="471"/>
      <c r="I392" s="496"/>
      <c r="J392" s="497"/>
      <c r="K392" s="498"/>
    </row>
    <row r="393" spans="1:11" x14ac:dyDescent="0.25">
      <c r="A393" s="562"/>
      <c r="B393" s="483"/>
      <c r="C393" s="563"/>
      <c r="D393" s="563"/>
      <c r="E393" s="564"/>
      <c r="F393" s="564"/>
      <c r="G393" s="471"/>
      <c r="I393" s="496"/>
      <c r="J393" s="497"/>
      <c r="K393" s="498"/>
    </row>
    <row r="394" spans="1:11" ht="16.5" thickBot="1" x14ac:dyDescent="0.3">
      <c r="A394" s="562"/>
      <c r="B394" s="483"/>
      <c r="C394" s="563"/>
      <c r="D394" s="563"/>
      <c r="E394" s="564"/>
      <c r="F394" s="564"/>
      <c r="G394" s="471"/>
      <c r="I394" s="496"/>
      <c r="J394" s="497"/>
      <c r="K394" s="498"/>
    </row>
    <row r="395" spans="1:11" x14ac:dyDescent="0.25">
      <c r="A395" s="690" t="s">
        <v>141</v>
      </c>
      <c r="B395" s="479"/>
      <c r="C395" s="480"/>
      <c r="D395" s="480"/>
      <c r="E395" s="565"/>
      <c r="F395" s="565"/>
      <c r="G395" s="471"/>
      <c r="I395" s="496"/>
      <c r="J395" s="497"/>
      <c r="K395" s="498"/>
    </row>
    <row r="396" spans="1:11" ht="16.5" thickBot="1" x14ac:dyDescent="0.3">
      <c r="A396" s="691"/>
      <c r="B396" s="484" t="s">
        <v>54</v>
      </c>
      <c r="C396" s="485" t="s">
        <v>3</v>
      </c>
      <c r="D396" s="485" t="s">
        <v>4</v>
      </c>
      <c r="E396" s="566" t="s">
        <v>5</v>
      </c>
      <c r="F396" s="566" t="s">
        <v>6</v>
      </c>
      <c r="G396" s="471"/>
      <c r="I396" s="496"/>
      <c r="J396" s="497"/>
      <c r="K396" s="498"/>
    </row>
    <row r="397" spans="1:11" x14ac:dyDescent="0.25">
      <c r="A397" s="491"/>
      <c r="B397" s="492" t="s">
        <v>14</v>
      </c>
      <c r="C397" s="524">
        <f>+SUM(C398:C440)</f>
        <v>4158.3324600000005</v>
      </c>
      <c r="D397" s="524">
        <f>+SUM(D398:D440)</f>
        <v>4158332.4600000004</v>
      </c>
      <c r="E397" s="544"/>
      <c r="F397" s="544"/>
      <c r="G397" s="471"/>
      <c r="I397" s="496"/>
      <c r="J397" s="497"/>
      <c r="K397" s="498"/>
    </row>
    <row r="398" spans="1:11" x14ac:dyDescent="0.25">
      <c r="A398" s="491">
        <v>42069</v>
      </c>
      <c r="B398" s="499" t="s">
        <v>114</v>
      </c>
      <c r="C398" s="529">
        <v>141.55572000000001</v>
      </c>
      <c r="D398" s="505">
        <v>141555.72</v>
      </c>
      <c r="E398" s="544">
        <v>90877</v>
      </c>
      <c r="F398" s="544">
        <v>4213</v>
      </c>
      <c r="G398" s="471"/>
      <c r="I398" s="496"/>
      <c r="J398" s="497"/>
      <c r="K398" s="498"/>
    </row>
    <row r="399" spans="1:11" x14ac:dyDescent="0.25">
      <c r="A399" s="491">
        <v>42114</v>
      </c>
      <c r="B399" s="499" t="s">
        <v>156</v>
      </c>
      <c r="C399" s="529">
        <v>47.117789999999999</v>
      </c>
      <c r="D399" s="505">
        <v>47117.79</v>
      </c>
      <c r="E399" s="544">
        <v>90877</v>
      </c>
      <c r="F399" s="544">
        <v>4213</v>
      </c>
      <c r="G399" s="471"/>
      <c r="I399" s="496"/>
      <c r="J399" s="497"/>
      <c r="K399" s="498"/>
    </row>
    <row r="400" spans="1:11" x14ac:dyDescent="0.25">
      <c r="A400" s="491">
        <v>42142</v>
      </c>
      <c r="B400" s="499" t="s">
        <v>169</v>
      </c>
      <c r="C400" s="529">
        <v>21.145890000000001</v>
      </c>
      <c r="D400" s="505">
        <v>21145.89</v>
      </c>
      <c r="E400" s="544">
        <v>90877</v>
      </c>
      <c r="F400" s="544">
        <v>4213</v>
      </c>
      <c r="G400" s="471"/>
      <c r="I400" s="496"/>
      <c r="J400" s="497"/>
      <c r="K400" s="498"/>
    </row>
    <row r="401" spans="1:11" x14ac:dyDescent="0.25">
      <c r="A401" s="491">
        <v>42150</v>
      </c>
      <c r="B401" s="499" t="s">
        <v>218</v>
      </c>
      <c r="C401" s="529">
        <v>32.193080000000002</v>
      </c>
      <c r="D401" s="505">
        <v>32193.08</v>
      </c>
      <c r="E401" s="544">
        <v>90877</v>
      </c>
      <c r="F401" s="544">
        <v>4213</v>
      </c>
      <c r="G401" s="471"/>
      <c r="I401" s="496"/>
      <c r="J401" s="497"/>
      <c r="K401" s="498"/>
    </row>
    <row r="402" spans="1:11" x14ac:dyDescent="0.25">
      <c r="A402" s="491">
        <v>42150</v>
      </c>
      <c r="B402" s="499" t="s">
        <v>219</v>
      </c>
      <c r="C402" s="529">
        <v>21.296060000000001</v>
      </c>
      <c r="D402" s="505">
        <v>21296.06</v>
      </c>
      <c r="E402" s="544">
        <v>90877</v>
      </c>
      <c r="F402" s="544">
        <v>4213</v>
      </c>
      <c r="G402" s="471"/>
      <c r="I402" s="496"/>
      <c r="J402" s="497"/>
      <c r="K402" s="498"/>
    </row>
    <row r="403" spans="1:11" x14ac:dyDescent="0.25">
      <c r="A403" s="491">
        <v>42167</v>
      </c>
      <c r="B403" s="499" t="s">
        <v>232</v>
      </c>
      <c r="C403" s="529">
        <v>28.64677</v>
      </c>
      <c r="D403" s="505">
        <v>28646.77</v>
      </c>
      <c r="E403" s="544">
        <v>90877</v>
      </c>
      <c r="F403" s="544">
        <v>4213</v>
      </c>
      <c r="G403" s="471"/>
      <c r="I403" s="496"/>
      <c r="J403" s="497"/>
      <c r="K403" s="498"/>
    </row>
    <row r="404" spans="1:11" x14ac:dyDescent="0.25">
      <c r="A404" s="491">
        <v>42199</v>
      </c>
      <c r="B404" s="499" t="s">
        <v>280</v>
      </c>
      <c r="C404" s="529">
        <v>120.05096</v>
      </c>
      <c r="D404" s="505">
        <v>120050.96</v>
      </c>
      <c r="E404" s="544">
        <v>90877</v>
      </c>
      <c r="F404" s="544">
        <v>4213</v>
      </c>
      <c r="G404" s="471"/>
      <c r="I404" s="496"/>
      <c r="J404" s="497"/>
      <c r="K404" s="498"/>
    </row>
    <row r="405" spans="1:11" x14ac:dyDescent="0.25">
      <c r="A405" s="491">
        <v>42195</v>
      </c>
      <c r="B405" s="499" t="s">
        <v>294</v>
      </c>
      <c r="C405" s="529">
        <v>20.106369999999998</v>
      </c>
      <c r="D405" s="505">
        <v>20106.37</v>
      </c>
      <c r="E405" s="544">
        <v>90877</v>
      </c>
      <c r="F405" s="544">
        <v>4213</v>
      </c>
      <c r="G405" s="471"/>
      <c r="I405" s="496"/>
      <c r="J405" s="497"/>
      <c r="K405" s="498"/>
    </row>
    <row r="406" spans="1:11" x14ac:dyDescent="0.25">
      <c r="A406" s="491">
        <v>42205</v>
      </c>
      <c r="B406" s="499" t="s">
        <v>303</v>
      </c>
      <c r="C406" s="529">
        <v>19.5185</v>
      </c>
      <c r="D406" s="505">
        <v>19518.5</v>
      </c>
      <c r="E406" s="544">
        <v>90877</v>
      </c>
      <c r="F406" s="544">
        <v>4213</v>
      </c>
      <c r="G406" s="471"/>
      <c r="I406" s="496"/>
      <c r="J406" s="497"/>
      <c r="K406" s="498"/>
    </row>
    <row r="407" spans="1:11" x14ac:dyDescent="0.25">
      <c r="A407" s="491">
        <v>42209</v>
      </c>
      <c r="B407" s="499" t="s">
        <v>330</v>
      </c>
      <c r="C407" s="529">
        <v>20.354620000000001</v>
      </c>
      <c r="D407" s="505">
        <v>20354.62</v>
      </c>
      <c r="E407" s="544">
        <v>90877</v>
      </c>
      <c r="F407" s="544">
        <v>4213</v>
      </c>
      <c r="G407" s="471"/>
      <c r="I407" s="496"/>
      <c r="J407" s="497"/>
      <c r="K407" s="498"/>
    </row>
    <row r="408" spans="1:11" x14ac:dyDescent="0.25">
      <c r="A408" s="491">
        <v>42220</v>
      </c>
      <c r="B408" s="499" t="s">
        <v>343</v>
      </c>
      <c r="C408" s="529">
        <v>72.443290000000005</v>
      </c>
      <c r="D408" s="505">
        <v>72443.289999999994</v>
      </c>
      <c r="E408" s="544">
        <v>90877</v>
      </c>
      <c r="F408" s="544">
        <v>4213</v>
      </c>
      <c r="G408" s="471"/>
      <c r="I408" s="496"/>
      <c r="J408" s="497"/>
      <c r="K408" s="498"/>
    </row>
    <row r="409" spans="1:11" x14ac:dyDescent="0.25">
      <c r="A409" s="491">
        <v>42222</v>
      </c>
      <c r="B409" s="499" t="s">
        <v>368</v>
      </c>
      <c r="C409" s="529">
        <v>214.12066999999999</v>
      </c>
      <c r="D409" s="505">
        <v>214120.67</v>
      </c>
      <c r="E409" s="544">
        <v>90877</v>
      </c>
      <c r="F409" s="544">
        <v>4213</v>
      </c>
      <c r="G409" s="471"/>
      <c r="I409" s="496"/>
      <c r="J409" s="497"/>
      <c r="K409" s="498"/>
    </row>
    <row r="410" spans="1:11" x14ac:dyDescent="0.25">
      <c r="A410" s="491">
        <v>42226</v>
      </c>
      <c r="B410" s="499" t="s">
        <v>218</v>
      </c>
      <c r="C410" s="529">
        <v>7.7073600000000004</v>
      </c>
      <c r="D410" s="505">
        <v>7707.36</v>
      </c>
      <c r="E410" s="544">
        <v>90877</v>
      </c>
      <c r="F410" s="544">
        <v>4213</v>
      </c>
      <c r="G410" s="471"/>
      <c r="I410" s="496"/>
      <c r="J410" s="497"/>
      <c r="K410" s="498"/>
    </row>
    <row r="411" spans="1:11" x14ac:dyDescent="0.25">
      <c r="A411" s="491">
        <v>42251</v>
      </c>
      <c r="B411" s="499" t="s">
        <v>330</v>
      </c>
      <c r="C411" s="505">
        <v>0.30249999999999999</v>
      </c>
      <c r="D411" s="505">
        <v>302.5</v>
      </c>
      <c r="E411" s="544">
        <v>90877</v>
      </c>
      <c r="F411" s="544">
        <v>4213</v>
      </c>
      <c r="G411" s="471"/>
      <c r="I411" s="496"/>
      <c r="J411" s="497"/>
      <c r="K411" s="498"/>
    </row>
    <row r="412" spans="1:11" x14ac:dyDescent="0.25">
      <c r="A412" s="491">
        <v>42283</v>
      </c>
      <c r="B412" s="499" t="s">
        <v>232</v>
      </c>
      <c r="C412" s="505">
        <v>0.30249999999999999</v>
      </c>
      <c r="D412" s="505">
        <v>302.5</v>
      </c>
      <c r="E412" s="544">
        <v>90877</v>
      </c>
      <c r="F412" s="544">
        <v>4213</v>
      </c>
      <c r="G412" s="471"/>
      <c r="I412" s="496"/>
      <c r="J412" s="497"/>
      <c r="K412" s="498"/>
    </row>
    <row r="413" spans="1:11" x14ac:dyDescent="0.25">
      <c r="A413" s="491">
        <v>42283</v>
      </c>
      <c r="B413" s="499" t="s">
        <v>536</v>
      </c>
      <c r="C413" s="505">
        <v>10.69867</v>
      </c>
      <c r="D413" s="505">
        <v>10698.67</v>
      </c>
      <c r="E413" s="544">
        <v>90877</v>
      </c>
      <c r="F413" s="544">
        <v>4213</v>
      </c>
      <c r="G413" s="471"/>
      <c r="I413" s="496"/>
      <c r="J413" s="497"/>
      <c r="K413" s="498"/>
    </row>
    <row r="414" spans="1:11" x14ac:dyDescent="0.25">
      <c r="A414" s="491">
        <v>42334</v>
      </c>
      <c r="B414" s="499" t="s">
        <v>686</v>
      </c>
      <c r="C414" s="505">
        <v>26.439350000000001</v>
      </c>
      <c r="D414" s="505">
        <v>26439.35</v>
      </c>
      <c r="E414" s="544">
        <v>90877</v>
      </c>
      <c r="F414" s="544">
        <v>4213</v>
      </c>
      <c r="G414" s="471"/>
      <c r="I414" s="496"/>
      <c r="J414" s="497"/>
      <c r="K414" s="498"/>
    </row>
    <row r="415" spans="1:11" x14ac:dyDescent="0.25">
      <c r="A415" s="491">
        <v>42335</v>
      </c>
      <c r="B415" s="499" t="s">
        <v>616</v>
      </c>
      <c r="C415" s="505">
        <v>113.10644000000001</v>
      </c>
      <c r="D415" s="505">
        <v>113106.44</v>
      </c>
      <c r="E415" s="544">
        <v>90877</v>
      </c>
      <c r="F415" s="544">
        <v>4213</v>
      </c>
      <c r="G415" s="471"/>
      <c r="I415" s="496"/>
      <c r="J415" s="497"/>
      <c r="K415" s="498"/>
    </row>
    <row r="416" spans="1:11" x14ac:dyDescent="0.25">
      <c r="A416" s="491">
        <v>42349</v>
      </c>
      <c r="B416" s="499" t="s">
        <v>671</v>
      </c>
      <c r="C416" s="505">
        <v>33.109760000000001</v>
      </c>
      <c r="D416" s="505">
        <v>33109.760000000002</v>
      </c>
      <c r="E416" s="544">
        <v>90877</v>
      </c>
      <c r="F416" s="544">
        <v>4213</v>
      </c>
      <c r="G416" s="471"/>
      <c r="I416" s="496"/>
      <c r="J416" s="497"/>
      <c r="K416" s="498"/>
    </row>
    <row r="417" spans="1:11" x14ac:dyDescent="0.25">
      <c r="A417" s="491">
        <v>42354</v>
      </c>
      <c r="B417" s="499" t="s">
        <v>655</v>
      </c>
      <c r="C417" s="505">
        <v>101.94318</v>
      </c>
      <c r="D417" s="505">
        <v>101943.18</v>
      </c>
      <c r="E417" s="544">
        <v>90877</v>
      </c>
      <c r="F417" s="544">
        <v>4213</v>
      </c>
      <c r="G417" s="471"/>
      <c r="I417" s="496"/>
      <c r="J417" s="497"/>
      <c r="K417" s="498"/>
    </row>
    <row r="418" spans="1:11" x14ac:dyDescent="0.25">
      <c r="A418" s="491">
        <v>42354</v>
      </c>
      <c r="B418" s="499" t="s">
        <v>656</v>
      </c>
      <c r="C418" s="505">
        <v>151.29542000000001</v>
      </c>
      <c r="D418" s="505">
        <v>151295.42000000001</v>
      </c>
      <c r="E418" s="544">
        <v>90877</v>
      </c>
      <c r="F418" s="544">
        <v>4213</v>
      </c>
      <c r="G418" s="471"/>
      <c r="I418" s="496"/>
      <c r="J418" s="497"/>
      <c r="K418" s="498"/>
    </row>
    <row r="419" spans="1:11" x14ac:dyDescent="0.25">
      <c r="A419" s="491">
        <v>42354</v>
      </c>
      <c r="B419" s="499" t="s">
        <v>657</v>
      </c>
      <c r="C419" s="505">
        <v>99.361320000000006</v>
      </c>
      <c r="D419" s="505">
        <v>99361.32</v>
      </c>
      <c r="E419" s="544">
        <v>90877</v>
      </c>
      <c r="F419" s="544">
        <v>4213</v>
      </c>
      <c r="G419" s="471"/>
      <c r="I419" s="496"/>
      <c r="J419" s="497"/>
      <c r="K419" s="498"/>
    </row>
    <row r="420" spans="1:11" x14ac:dyDescent="0.25">
      <c r="A420" s="491">
        <v>42354</v>
      </c>
      <c r="B420" s="499" t="s">
        <v>667</v>
      </c>
      <c r="C420" s="505">
        <v>61.886699999999998</v>
      </c>
      <c r="D420" s="505">
        <v>61886.7</v>
      </c>
      <c r="E420" s="544">
        <v>90877</v>
      </c>
      <c r="F420" s="544">
        <v>4213</v>
      </c>
      <c r="G420" s="471"/>
      <c r="I420" s="496"/>
      <c r="J420" s="497"/>
      <c r="K420" s="498"/>
    </row>
    <row r="421" spans="1:11" x14ac:dyDescent="0.25">
      <c r="A421" s="491">
        <v>42354</v>
      </c>
      <c r="B421" s="499" t="s">
        <v>668</v>
      </c>
      <c r="C421" s="505">
        <v>206.00523999999999</v>
      </c>
      <c r="D421" s="505">
        <v>206005.24</v>
      </c>
      <c r="E421" s="544">
        <v>90877</v>
      </c>
      <c r="F421" s="544">
        <v>4213</v>
      </c>
      <c r="G421" s="471"/>
      <c r="I421" s="496"/>
      <c r="J421" s="497"/>
      <c r="K421" s="498"/>
    </row>
    <row r="422" spans="1:11" x14ac:dyDescent="0.25">
      <c r="A422" s="491">
        <v>42356</v>
      </c>
      <c r="B422" s="499" t="s">
        <v>669</v>
      </c>
      <c r="C422" s="505">
        <v>375.35138999999998</v>
      </c>
      <c r="D422" s="505">
        <v>375351.39</v>
      </c>
      <c r="E422" s="544">
        <v>90877</v>
      </c>
      <c r="F422" s="544">
        <v>4213</v>
      </c>
      <c r="G422" s="471"/>
      <c r="I422" s="496"/>
      <c r="J422" s="497"/>
      <c r="K422" s="498"/>
    </row>
    <row r="423" spans="1:11" x14ac:dyDescent="0.25">
      <c r="A423" s="491">
        <v>42356</v>
      </c>
      <c r="B423" s="499" t="s">
        <v>631</v>
      </c>
      <c r="C423" s="505">
        <v>144.53725</v>
      </c>
      <c r="D423" s="505">
        <v>144537.25</v>
      </c>
      <c r="E423" s="544">
        <v>90877</v>
      </c>
      <c r="F423" s="544">
        <v>4213</v>
      </c>
      <c r="G423" s="471"/>
      <c r="I423" s="496"/>
      <c r="J423" s="497"/>
      <c r="K423" s="498"/>
    </row>
    <row r="424" spans="1:11" x14ac:dyDescent="0.25">
      <c r="A424" s="491"/>
      <c r="B424" s="499" t="s">
        <v>380</v>
      </c>
      <c r="C424" s="500">
        <v>125.34887000000001</v>
      </c>
      <c r="D424" s="500">
        <f>105331.32+20017.55</f>
        <v>125348.87000000001</v>
      </c>
      <c r="E424" s="544">
        <v>90877</v>
      </c>
      <c r="F424" s="544">
        <v>4213</v>
      </c>
      <c r="G424" s="503" t="s">
        <v>64</v>
      </c>
      <c r="I424" s="496">
        <f>105331.32+20017.55</f>
        <v>125348.87000000001</v>
      </c>
      <c r="J424" s="497"/>
      <c r="K424" s="498"/>
    </row>
    <row r="425" spans="1:11" x14ac:dyDescent="0.25">
      <c r="A425" s="491"/>
      <c r="B425" s="499" t="s">
        <v>121</v>
      </c>
      <c r="C425" s="500">
        <v>0.97499999999999998</v>
      </c>
      <c r="D425" s="500">
        <v>975</v>
      </c>
      <c r="E425" s="544">
        <v>90877</v>
      </c>
      <c r="F425" s="544">
        <v>4213</v>
      </c>
      <c r="G425" s="471"/>
      <c r="I425" s="496"/>
      <c r="J425" s="497">
        <v>975</v>
      </c>
      <c r="K425" s="498"/>
    </row>
    <row r="426" spans="1:11" x14ac:dyDescent="0.25">
      <c r="A426" s="491"/>
      <c r="B426" s="499" t="s">
        <v>636</v>
      </c>
      <c r="C426" s="500">
        <v>112.23195</v>
      </c>
      <c r="D426" s="500">
        <v>112231.95</v>
      </c>
      <c r="E426" s="544">
        <v>90877</v>
      </c>
      <c r="F426" s="544">
        <v>4213</v>
      </c>
      <c r="G426" s="471"/>
      <c r="I426" s="496"/>
      <c r="J426" s="497">
        <v>112231.95</v>
      </c>
      <c r="K426" s="498"/>
    </row>
    <row r="427" spans="1:11" x14ac:dyDescent="0.25">
      <c r="A427" s="491"/>
      <c r="B427" s="499" t="s">
        <v>645</v>
      </c>
      <c r="C427" s="500">
        <v>318.23723999999999</v>
      </c>
      <c r="D427" s="500">
        <v>318237.24</v>
      </c>
      <c r="E427" s="544">
        <v>90877</v>
      </c>
      <c r="F427" s="544">
        <v>4213</v>
      </c>
      <c r="G427" s="471"/>
      <c r="I427" s="496"/>
      <c r="J427" s="497">
        <v>318237.24</v>
      </c>
      <c r="K427" s="498"/>
    </row>
    <row r="428" spans="1:11" x14ac:dyDescent="0.25">
      <c r="A428" s="491"/>
      <c r="B428" s="499" t="s">
        <v>301</v>
      </c>
      <c r="C428" s="500">
        <v>1.42302</v>
      </c>
      <c r="D428" s="500">
        <v>1423.02</v>
      </c>
      <c r="E428" s="544">
        <v>90877</v>
      </c>
      <c r="F428" s="544">
        <v>4213</v>
      </c>
      <c r="G428" s="471"/>
      <c r="I428" s="567"/>
      <c r="J428" s="497">
        <v>1423.02</v>
      </c>
      <c r="K428" s="498"/>
    </row>
    <row r="429" spans="1:11" x14ac:dyDescent="0.25">
      <c r="A429" s="491"/>
      <c r="B429" s="499" t="s">
        <v>418</v>
      </c>
      <c r="C429" s="500">
        <f>54.1373+24.18255+17.99265</f>
        <v>96.3125</v>
      </c>
      <c r="D429" s="500">
        <f>54137.3+24182.55+17992.65</f>
        <v>96312.5</v>
      </c>
      <c r="E429" s="544">
        <v>90877</v>
      </c>
      <c r="F429" s="544">
        <v>4213</v>
      </c>
      <c r="G429" s="471"/>
      <c r="I429" s="567"/>
      <c r="J429" s="497">
        <f>54137.3+24182.55+17992.65</f>
        <v>96312.5</v>
      </c>
      <c r="K429" s="498"/>
    </row>
    <row r="430" spans="1:11" x14ac:dyDescent="0.25">
      <c r="A430" s="491"/>
      <c r="B430" s="499" t="s">
        <v>110</v>
      </c>
      <c r="C430" s="500">
        <v>392.03399999999999</v>
      </c>
      <c r="D430" s="500">
        <v>392034</v>
      </c>
      <c r="E430" s="544">
        <v>90909</v>
      </c>
      <c r="F430" s="544">
        <v>4213</v>
      </c>
      <c r="G430" s="503" t="s">
        <v>64</v>
      </c>
      <c r="I430" s="567">
        <v>392034</v>
      </c>
      <c r="J430" s="497"/>
      <c r="K430" s="498"/>
    </row>
    <row r="431" spans="1:11" x14ac:dyDescent="0.25">
      <c r="A431" s="491"/>
      <c r="B431" s="499" t="s">
        <v>538</v>
      </c>
      <c r="C431" s="500">
        <v>53.892980000000001</v>
      </c>
      <c r="D431" s="500">
        <v>53892.98</v>
      </c>
      <c r="E431" s="544">
        <v>90877</v>
      </c>
      <c r="F431" s="544">
        <v>4213</v>
      </c>
      <c r="G431" s="471"/>
      <c r="I431" s="567"/>
      <c r="J431" s="497">
        <v>53892.98</v>
      </c>
      <c r="K431" s="498"/>
    </row>
    <row r="432" spans="1:11" x14ac:dyDescent="0.25">
      <c r="A432" s="491"/>
      <c r="B432" s="499" t="s">
        <v>630</v>
      </c>
      <c r="C432" s="500">
        <v>80.902780000000007</v>
      </c>
      <c r="D432" s="500">
        <v>80902.78</v>
      </c>
      <c r="E432" s="544">
        <v>90877</v>
      </c>
      <c r="F432" s="544">
        <v>4213</v>
      </c>
      <c r="G432" s="471"/>
      <c r="I432" s="567"/>
      <c r="J432" s="497">
        <v>80902.78</v>
      </c>
      <c r="K432" s="498"/>
    </row>
    <row r="433" spans="1:11" x14ac:dyDescent="0.25">
      <c r="A433" s="491"/>
      <c r="B433" s="499" t="s">
        <v>283</v>
      </c>
      <c r="C433" s="500">
        <f>277.85216+324.51602+77.37282</f>
        <v>679.7410000000001</v>
      </c>
      <c r="D433" s="500">
        <f>217082.01+60770.15+324516.02+77372.82</f>
        <v>679741</v>
      </c>
      <c r="E433" s="544">
        <v>90877</v>
      </c>
      <c r="F433" s="544">
        <v>4213</v>
      </c>
      <c r="G433" s="471"/>
      <c r="I433" s="496"/>
      <c r="J433" s="497">
        <f>217082.01+60770.15+324516.02+77372.82</f>
        <v>679741</v>
      </c>
      <c r="K433" s="498"/>
    </row>
    <row r="434" spans="1:11" x14ac:dyDescent="0.25">
      <c r="A434" s="491"/>
      <c r="B434" s="499" t="s">
        <v>499</v>
      </c>
      <c r="C434" s="500">
        <v>0.30249999999999999</v>
      </c>
      <c r="D434" s="500">
        <v>302.5</v>
      </c>
      <c r="E434" s="544">
        <v>90877</v>
      </c>
      <c r="F434" s="544">
        <v>4213</v>
      </c>
      <c r="G434" s="471"/>
      <c r="I434" s="496"/>
      <c r="J434" s="497">
        <v>302.5</v>
      </c>
      <c r="K434" s="498"/>
    </row>
    <row r="435" spans="1:11" x14ac:dyDescent="0.25">
      <c r="A435" s="491"/>
      <c r="B435" s="499" t="s">
        <v>360</v>
      </c>
      <c r="C435" s="500">
        <v>9.3895999999999997</v>
      </c>
      <c r="D435" s="500">
        <v>9389.6</v>
      </c>
      <c r="E435" s="544">
        <v>90877</v>
      </c>
      <c r="F435" s="544">
        <v>4213</v>
      </c>
      <c r="G435" s="471"/>
      <c r="I435" s="496"/>
      <c r="J435" s="497">
        <v>9389.6</v>
      </c>
      <c r="K435" s="498"/>
    </row>
    <row r="436" spans="1:11" x14ac:dyDescent="0.25">
      <c r="A436" s="491"/>
      <c r="B436" s="499" t="s">
        <v>228</v>
      </c>
      <c r="C436" s="500">
        <v>2.125</v>
      </c>
      <c r="D436" s="500">
        <v>2125</v>
      </c>
      <c r="E436" s="544">
        <v>90877</v>
      </c>
      <c r="F436" s="544">
        <v>4213</v>
      </c>
      <c r="G436" s="471"/>
      <c r="I436" s="496"/>
      <c r="J436" s="497">
        <v>2125</v>
      </c>
      <c r="K436" s="498"/>
    </row>
    <row r="437" spans="1:11" x14ac:dyDescent="0.25">
      <c r="A437" s="491"/>
      <c r="B437" s="499" t="s">
        <v>230</v>
      </c>
      <c r="C437" s="500">
        <v>3.4999799999999999</v>
      </c>
      <c r="D437" s="500">
        <v>3499.98</v>
      </c>
      <c r="E437" s="544">
        <v>90877</v>
      </c>
      <c r="F437" s="544">
        <v>4213</v>
      </c>
      <c r="G437" s="471"/>
      <c r="I437" s="496"/>
      <c r="J437" s="497">
        <v>3499.98</v>
      </c>
      <c r="K437" s="498"/>
    </row>
    <row r="438" spans="1:11" x14ac:dyDescent="0.25">
      <c r="A438" s="491"/>
      <c r="B438" s="499" t="s">
        <v>396</v>
      </c>
      <c r="C438" s="500">
        <v>77.736059999999995</v>
      </c>
      <c r="D438" s="500">
        <v>77736.06</v>
      </c>
      <c r="E438" s="544">
        <v>90877</v>
      </c>
      <c r="F438" s="544">
        <v>4213</v>
      </c>
      <c r="G438" s="503"/>
      <c r="I438" s="496"/>
      <c r="J438" s="497">
        <v>77736.06</v>
      </c>
      <c r="K438" s="498"/>
    </row>
    <row r="439" spans="1:11" x14ac:dyDescent="0.25">
      <c r="A439" s="491"/>
      <c r="B439" s="499" t="s">
        <v>608</v>
      </c>
      <c r="C439" s="500">
        <v>68.21302</v>
      </c>
      <c r="D439" s="500">
        <v>68213.02</v>
      </c>
      <c r="E439" s="544">
        <v>90877</v>
      </c>
      <c r="F439" s="544">
        <v>4213</v>
      </c>
      <c r="G439" s="503"/>
      <c r="I439" s="496"/>
      <c r="J439" s="497">
        <v>68213.02</v>
      </c>
      <c r="K439" s="498"/>
    </row>
    <row r="440" spans="1:11" x14ac:dyDescent="0.25">
      <c r="A440" s="491"/>
      <c r="B440" s="499" t="s">
        <v>642</v>
      </c>
      <c r="C440" s="500">
        <v>45.370159999999998</v>
      </c>
      <c r="D440" s="500">
        <v>45370.16</v>
      </c>
      <c r="E440" s="544">
        <v>90877</v>
      </c>
      <c r="F440" s="544">
        <v>4213</v>
      </c>
      <c r="G440" s="471"/>
      <c r="I440" s="496"/>
      <c r="J440" s="497">
        <v>45370.16</v>
      </c>
      <c r="K440" s="498"/>
    </row>
    <row r="441" spans="1:11" x14ac:dyDescent="0.25">
      <c r="A441" s="491"/>
      <c r="B441" s="568"/>
      <c r="C441" s="505"/>
      <c r="D441" s="505"/>
      <c r="E441" s="544"/>
      <c r="F441" s="544"/>
      <c r="G441" s="471"/>
      <c r="I441" s="496"/>
      <c r="J441" s="497"/>
      <c r="K441" s="498"/>
    </row>
    <row r="442" spans="1:11" x14ac:dyDescent="0.25">
      <c r="A442" s="491"/>
      <c r="B442" s="568"/>
      <c r="C442" s="505"/>
      <c r="D442" s="505"/>
      <c r="E442" s="544"/>
      <c r="F442" s="544"/>
      <c r="G442" s="471"/>
      <c r="I442" s="496"/>
      <c r="J442" s="497"/>
      <c r="K442" s="498"/>
    </row>
    <row r="443" spans="1:11" x14ac:dyDescent="0.25">
      <c r="A443" s="491"/>
      <c r="B443" s="523" t="s">
        <v>33</v>
      </c>
      <c r="C443" s="524">
        <f>+C444</f>
        <v>100</v>
      </c>
      <c r="D443" s="524">
        <f>+D444</f>
        <v>100000</v>
      </c>
      <c r="E443" s="544"/>
      <c r="F443" s="544"/>
      <c r="G443" s="471"/>
      <c r="I443" s="496"/>
      <c r="J443" s="497"/>
      <c r="K443" s="498"/>
    </row>
    <row r="444" spans="1:11" x14ac:dyDescent="0.25">
      <c r="A444" s="491">
        <v>42244</v>
      </c>
      <c r="B444" s="522" t="s">
        <v>322</v>
      </c>
      <c r="C444" s="505">
        <v>100</v>
      </c>
      <c r="D444" s="505">
        <v>100000</v>
      </c>
      <c r="E444" s="544">
        <v>34941</v>
      </c>
      <c r="F444" s="544">
        <v>4216</v>
      </c>
      <c r="G444" s="471"/>
      <c r="I444" s="496"/>
      <c r="J444" s="497"/>
      <c r="K444" s="498"/>
    </row>
    <row r="445" spans="1:11" x14ac:dyDescent="0.25">
      <c r="A445" s="491"/>
      <c r="B445" s="522"/>
      <c r="C445" s="505"/>
      <c r="D445" s="524"/>
      <c r="E445" s="544"/>
      <c r="F445" s="544"/>
      <c r="G445" s="471"/>
      <c r="I445" s="496"/>
      <c r="J445" s="497"/>
      <c r="K445" s="498"/>
    </row>
    <row r="446" spans="1:11" x14ac:dyDescent="0.25">
      <c r="A446" s="491"/>
      <c r="B446" s="492" t="s">
        <v>45</v>
      </c>
      <c r="C446" s="524">
        <f>+SUM(C447:C504)</f>
        <v>83541.812479999964</v>
      </c>
      <c r="D446" s="524">
        <f>+SUM(D447:D504)</f>
        <v>83541812.480000019</v>
      </c>
      <c r="E446" s="544"/>
      <c r="F446" s="544"/>
      <c r="G446" s="471"/>
      <c r="I446" s="496"/>
      <c r="J446" s="497"/>
      <c r="K446" s="498"/>
    </row>
    <row r="447" spans="1:11" x14ac:dyDescent="0.25">
      <c r="A447" s="491">
        <v>42114</v>
      </c>
      <c r="B447" s="499" t="s">
        <v>156</v>
      </c>
      <c r="C447" s="529">
        <v>801.00243</v>
      </c>
      <c r="D447" s="505">
        <v>801002.43</v>
      </c>
      <c r="E447" s="544">
        <v>15827</v>
      </c>
      <c r="F447" s="544">
        <v>4216</v>
      </c>
      <c r="G447" s="471"/>
      <c r="I447" s="496"/>
      <c r="J447" s="497"/>
      <c r="K447" s="498"/>
    </row>
    <row r="448" spans="1:11" x14ac:dyDescent="0.25">
      <c r="A448" s="491">
        <v>42139</v>
      </c>
      <c r="B448" s="499" t="s">
        <v>169</v>
      </c>
      <c r="C448" s="529">
        <v>359.48018999999999</v>
      </c>
      <c r="D448" s="505">
        <v>359480.19</v>
      </c>
      <c r="E448" s="544">
        <v>15835</v>
      </c>
      <c r="F448" s="544">
        <v>4216</v>
      </c>
      <c r="G448" s="471"/>
      <c r="I448" s="496"/>
      <c r="J448" s="497"/>
      <c r="K448" s="498"/>
    </row>
    <row r="449" spans="1:11" x14ac:dyDescent="0.25">
      <c r="A449" s="491">
        <v>42150</v>
      </c>
      <c r="B449" s="499" t="s">
        <v>218</v>
      </c>
      <c r="C449" s="529">
        <v>547.28240000000005</v>
      </c>
      <c r="D449" s="505">
        <v>547282.4</v>
      </c>
      <c r="E449" s="544">
        <v>15835</v>
      </c>
      <c r="F449" s="544">
        <v>4216</v>
      </c>
      <c r="G449" s="439"/>
      <c r="I449" s="496"/>
      <c r="J449" s="497"/>
      <c r="K449" s="498"/>
    </row>
    <row r="450" spans="1:11" x14ac:dyDescent="0.25">
      <c r="A450" s="491">
        <v>42150</v>
      </c>
      <c r="B450" s="499" t="s">
        <v>219</v>
      </c>
      <c r="C450" s="529">
        <v>362.03313000000003</v>
      </c>
      <c r="D450" s="505">
        <v>362033.13</v>
      </c>
      <c r="E450" s="544">
        <v>15835</v>
      </c>
      <c r="F450" s="544">
        <v>4216</v>
      </c>
      <c r="G450" s="439"/>
      <c r="I450" s="496"/>
      <c r="J450" s="497"/>
      <c r="K450" s="498"/>
    </row>
    <row r="451" spans="1:11" x14ac:dyDescent="0.25">
      <c r="A451" s="491">
        <v>42167</v>
      </c>
      <c r="B451" s="499" t="s">
        <v>232</v>
      </c>
      <c r="C451" s="529">
        <v>486.99520000000001</v>
      </c>
      <c r="D451" s="505">
        <v>486995.20000000001</v>
      </c>
      <c r="E451" s="544">
        <v>15835</v>
      </c>
      <c r="F451" s="544">
        <v>4216</v>
      </c>
      <c r="G451" s="439"/>
      <c r="I451" s="496"/>
      <c r="J451" s="497"/>
      <c r="K451" s="498"/>
    </row>
    <row r="452" spans="1:11" x14ac:dyDescent="0.25">
      <c r="A452" s="491">
        <v>42198</v>
      </c>
      <c r="B452" s="499" t="s">
        <v>280</v>
      </c>
      <c r="C452" s="529">
        <v>2040.8663899999999</v>
      </c>
      <c r="D452" s="505">
        <v>2040866.39</v>
      </c>
      <c r="E452" s="544">
        <v>15835</v>
      </c>
      <c r="F452" s="544">
        <v>4216</v>
      </c>
      <c r="G452" s="439"/>
      <c r="I452" s="496"/>
      <c r="J452" s="497"/>
      <c r="K452" s="498"/>
    </row>
    <row r="453" spans="1:11" x14ac:dyDescent="0.25">
      <c r="A453" s="491">
        <v>42194</v>
      </c>
      <c r="B453" s="499" t="s">
        <v>294</v>
      </c>
      <c r="C453" s="529">
        <v>341.80831999999998</v>
      </c>
      <c r="D453" s="505">
        <v>341808.32</v>
      </c>
      <c r="E453" s="544">
        <v>15835</v>
      </c>
      <c r="F453" s="544">
        <v>4216</v>
      </c>
      <c r="G453" s="439"/>
      <c r="I453" s="496"/>
      <c r="J453" s="497"/>
      <c r="K453" s="498"/>
    </row>
    <row r="454" spans="1:11" x14ac:dyDescent="0.25">
      <c r="A454" s="491">
        <v>42205</v>
      </c>
      <c r="B454" s="499" t="s">
        <v>303</v>
      </c>
      <c r="C454" s="529">
        <v>331.81452999999999</v>
      </c>
      <c r="D454" s="505">
        <v>331814.53000000003</v>
      </c>
      <c r="E454" s="544">
        <v>15835</v>
      </c>
      <c r="F454" s="544">
        <v>4216</v>
      </c>
      <c r="G454" s="471"/>
      <c r="I454" s="496"/>
      <c r="J454" s="497"/>
      <c r="K454" s="498"/>
    </row>
    <row r="455" spans="1:11" x14ac:dyDescent="0.25">
      <c r="A455" s="491">
        <v>42209</v>
      </c>
      <c r="B455" s="499" t="s">
        <v>329</v>
      </c>
      <c r="C455" s="529">
        <v>346.02866999999998</v>
      </c>
      <c r="D455" s="505">
        <v>346028.67</v>
      </c>
      <c r="E455" s="544">
        <v>15835</v>
      </c>
      <c r="F455" s="544">
        <v>4216</v>
      </c>
      <c r="G455" s="471"/>
      <c r="I455" s="496"/>
      <c r="J455" s="497"/>
      <c r="K455" s="498"/>
    </row>
    <row r="456" spans="1:11" x14ac:dyDescent="0.25">
      <c r="A456" s="491">
        <v>42220</v>
      </c>
      <c r="B456" s="499" t="s">
        <v>343</v>
      </c>
      <c r="C456" s="529">
        <v>1231.53595</v>
      </c>
      <c r="D456" s="505">
        <v>1231535.95</v>
      </c>
      <c r="E456" s="544">
        <v>15835</v>
      </c>
      <c r="F456" s="544">
        <v>4216</v>
      </c>
      <c r="G456" s="471"/>
      <c r="I456" s="496"/>
      <c r="J456" s="497"/>
      <c r="K456" s="498"/>
    </row>
    <row r="457" spans="1:11" x14ac:dyDescent="0.25">
      <c r="A457" s="491">
        <v>42222</v>
      </c>
      <c r="B457" s="499" t="s">
        <v>368</v>
      </c>
      <c r="C457" s="529">
        <v>3640.0515500000001</v>
      </c>
      <c r="D457" s="505">
        <v>3640051.55</v>
      </c>
      <c r="E457" s="544">
        <v>15835</v>
      </c>
      <c r="F457" s="544">
        <v>4216</v>
      </c>
      <c r="G457" s="471"/>
      <c r="I457" s="496"/>
      <c r="J457" s="497"/>
      <c r="K457" s="498"/>
    </row>
    <row r="458" spans="1:11" x14ac:dyDescent="0.25">
      <c r="A458" s="491">
        <v>42223</v>
      </c>
      <c r="B458" s="499" t="s">
        <v>218</v>
      </c>
      <c r="C458" s="529">
        <v>131.02522999999999</v>
      </c>
      <c r="D458" s="505">
        <v>131025.23</v>
      </c>
      <c r="E458" s="544">
        <v>15835</v>
      </c>
      <c r="F458" s="544">
        <v>4216</v>
      </c>
      <c r="G458" s="471"/>
      <c r="I458" s="496"/>
      <c r="J458" s="497"/>
      <c r="K458" s="498"/>
    </row>
    <row r="459" spans="1:11" x14ac:dyDescent="0.25">
      <c r="A459" s="491">
        <v>42251</v>
      </c>
      <c r="B459" s="499" t="s">
        <v>329</v>
      </c>
      <c r="C459" s="529">
        <v>5.1425000000000001</v>
      </c>
      <c r="D459" s="505">
        <v>5142.5</v>
      </c>
      <c r="E459" s="544">
        <v>15835</v>
      </c>
      <c r="F459" s="544">
        <v>4216</v>
      </c>
      <c r="G459" s="471"/>
      <c r="I459" s="496"/>
      <c r="J459" s="497"/>
      <c r="K459" s="498"/>
    </row>
    <row r="460" spans="1:11" x14ac:dyDescent="0.25">
      <c r="A460" s="491">
        <v>42279</v>
      </c>
      <c r="B460" s="499" t="s">
        <v>232</v>
      </c>
      <c r="C460" s="529">
        <v>5.1425000000000001</v>
      </c>
      <c r="D460" s="505">
        <v>5142.5</v>
      </c>
      <c r="E460" s="544">
        <v>15835</v>
      </c>
      <c r="F460" s="544">
        <v>4216</v>
      </c>
      <c r="G460" s="471"/>
      <c r="I460" s="496"/>
      <c r="J460" s="497"/>
      <c r="K460" s="498"/>
    </row>
    <row r="461" spans="1:11" x14ac:dyDescent="0.25">
      <c r="A461" s="491">
        <v>42279</v>
      </c>
      <c r="B461" s="499" t="s">
        <v>536</v>
      </c>
      <c r="C461" s="529">
        <v>181.87738999999999</v>
      </c>
      <c r="D461" s="505">
        <v>181877.39</v>
      </c>
      <c r="E461" s="544">
        <v>15835</v>
      </c>
      <c r="F461" s="544">
        <v>4216</v>
      </c>
      <c r="G461" s="471"/>
      <c r="I461" s="496"/>
      <c r="J461" s="497"/>
      <c r="K461" s="498"/>
    </row>
    <row r="462" spans="1:11" x14ac:dyDescent="0.25">
      <c r="A462" s="491">
        <v>42285</v>
      </c>
      <c r="B462" s="499" t="s">
        <v>537</v>
      </c>
      <c r="C462" s="529">
        <v>381.30919999999998</v>
      </c>
      <c r="D462" s="505">
        <v>381309.2</v>
      </c>
      <c r="E462" s="544">
        <v>15828</v>
      </c>
      <c r="F462" s="544">
        <v>4216</v>
      </c>
      <c r="G462" s="471"/>
      <c r="I462" s="496"/>
      <c r="J462" s="497"/>
      <c r="K462" s="498"/>
    </row>
    <row r="463" spans="1:11" x14ac:dyDescent="0.25">
      <c r="A463" s="491">
        <v>42285</v>
      </c>
      <c r="B463" s="499" t="s">
        <v>537</v>
      </c>
      <c r="C463" s="529">
        <v>6482.2565699999996</v>
      </c>
      <c r="D463" s="505">
        <v>6482256.5700000003</v>
      </c>
      <c r="E463" s="544">
        <v>15829</v>
      </c>
      <c r="F463" s="544">
        <v>4216</v>
      </c>
      <c r="G463" s="471"/>
      <c r="I463" s="496"/>
      <c r="J463" s="497"/>
      <c r="K463" s="498"/>
    </row>
    <row r="464" spans="1:11" x14ac:dyDescent="0.25">
      <c r="A464" s="491">
        <v>42334</v>
      </c>
      <c r="B464" s="499" t="s">
        <v>686</v>
      </c>
      <c r="C464" s="529">
        <v>449.47395</v>
      </c>
      <c r="D464" s="505">
        <v>449473.95</v>
      </c>
      <c r="E464" s="544">
        <v>15827</v>
      </c>
      <c r="F464" s="544">
        <v>4216</v>
      </c>
      <c r="G464" s="471"/>
      <c r="I464" s="496"/>
      <c r="J464" s="497"/>
      <c r="K464" s="498"/>
    </row>
    <row r="465" spans="1:11" x14ac:dyDescent="0.25">
      <c r="A465" s="491">
        <v>42335</v>
      </c>
      <c r="B465" s="499" t="s">
        <v>616</v>
      </c>
      <c r="C465" s="529">
        <v>1922.80963</v>
      </c>
      <c r="D465" s="505">
        <v>1922809.63</v>
      </c>
      <c r="E465" s="544">
        <v>15827</v>
      </c>
      <c r="F465" s="544">
        <v>4216</v>
      </c>
      <c r="G465" s="471"/>
      <c r="I465" s="496"/>
      <c r="J465" s="497"/>
      <c r="K465" s="498"/>
    </row>
    <row r="466" spans="1:11" x14ac:dyDescent="0.25">
      <c r="A466" s="491">
        <v>42349</v>
      </c>
      <c r="B466" s="499" t="s">
        <v>671</v>
      </c>
      <c r="C466" s="529">
        <v>463.53671000000003</v>
      </c>
      <c r="D466" s="505">
        <v>463536.71</v>
      </c>
      <c r="E466" s="544">
        <v>15827</v>
      </c>
      <c r="F466" s="544">
        <v>4216</v>
      </c>
      <c r="G466" s="471"/>
      <c r="I466" s="496"/>
      <c r="J466" s="497"/>
      <c r="K466" s="498"/>
    </row>
    <row r="467" spans="1:11" x14ac:dyDescent="0.25">
      <c r="A467" s="491">
        <v>42354</v>
      </c>
      <c r="B467" s="569" t="s">
        <v>655</v>
      </c>
      <c r="C467" s="569">
        <v>1733.0340799999999</v>
      </c>
      <c r="D467" s="569">
        <v>1733034.08</v>
      </c>
      <c r="E467" s="544">
        <v>15835</v>
      </c>
      <c r="F467" s="544">
        <v>4216</v>
      </c>
      <c r="G467" s="471"/>
      <c r="I467" s="496"/>
      <c r="J467" s="497"/>
      <c r="K467" s="498"/>
    </row>
    <row r="468" spans="1:11" x14ac:dyDescent="0.25">
      <c r="A468" s="491">
        <v>42354</v>
      </c>
      <c r="B468" s="569" t="s">
        <v>656</v>
      </c>
      <c r="C468" s="569">
        <v>2572.0222399999998</v>
      </c>
      <c r="D468" s="569">
        <v>2572022.2400000002</v>
      </c>
      <c r="E468" s="544">
        <v>15835</v>
      </c>
      <c r="F468" s="544">
        <v>4216</v>
      </c>
      <c r="G468" s="471"/>
      <c r="I468" s="496"/>
      <c r="J468" s="497"/>
      <c r="K468" s="498"/>
    </row>
    <row r="469" spans="1:11" x14ac:dyDescent="0.25">
      <c r="A469" s="491">
        <v>42354</v>
      </c>
      <c r="B469" s="569" t="s">
        <v>657</v>
      </c>
      <c r="C469" s="569">
        <v>1689.14258</v>
      </c>
      <c r="D469" s="569">
        <v>1689142.58</v>
      </c>
      <c r="E469" s="544">
        <v>15835</v>
      </c>
      <c r="F469" s="544">
        <v>4216</v>
      </c>
      <c r="G469" s="471"/>
      <c r="I469" s="496"/>
      <c r="J469" s="497"/>
      <c r="K469" s="498"/>
    </row>
    <row r="470" spans="1:11" x14ac:dyDescent="0.25">
      <c r="A470" s="491">
        <v>42354</v>
      </c>
      <c r="B470" s="499" t="s">
        <v>537</v>
      </c>
      <c r="C470" s="529">
        <v>81.832679999999996</v>
      </c>
      <c r="D470" s="505">
        <v>81832.679999999993</v>
      </c>
      <c r="E470" s="544">
        <v>15828</v>
      </c>
      <c r="F470" s="544">
        <v>4216</v>
      </c>
      <c r="G470" s="471"/>
      <c r="I470" s="496"/>
      <c r="J470" s="497"/>
      <c r="K470" s="498"/>
    </row>
    <row r="471" spans="1:11" x14ac:dyDescent="0.25">
      <c r="A471" s="491">
        <v>42354</v>
      </c>
      <c r="B471" s="465" t="s">
        <v>537</v>
      </c>
      <c r="C471" s="529">
        <v>1391.1556800000001</v>
      </c>
      <c r="D471" s="505">
        <v>1391155.68</v>
      </c>
      <c r="E471" s="544">
        <v>15829</v>
      </c>
      <c r="F471" s="544">
        <v>4216</v>
      </c>
      <c r="G471" s="471"/>
      <c r="I471" s="496"/>
      <c r="J471" s="497"/>
      <c r="K471" s="498"/>
    </row>
    <row r="472" spans="1:11" x14ac:dyDescent="0.25">
      <c r="A472" s="491">
        <v>42354</v>
      </c>
      <c r="B472" s="569" t="s">
        <v>665</v>
      </c>
      <c r="C472" s="529">
        <v>42.706600000000002</v>
      </c>
      <c r="D472" s="569">
        <v>42706.6</v>
      </c>
      <c r="E472" s="544">
        <v>15835</v>
      </c>
      <c r="F472" s="544">
        <v>4216</v>
      </c>
      <c r="G472" s="471"/>
      <c r="I472" s="496"/>
      <c r="J472" s="497"/>
      <c r="K472" s="498"/>
    </row>
    <row r="473" spans="1:11" x14ac:dyDescent="0.25">
      <c r="A473" s="491">
        <v>42354</v>
      </c>
      <c r="B473" s="569" t="s">
        <v>666</v>
      </c>
      <c r="C473" s="529">
        <v>1274.1558600000001</v>
      </c>
      <c r="D473" s="569">
        <v>1274155.8600000001</v>
      </c>
      <c r="E473" s="544">
        <v>15835</v>
      </c>
      <c r="F473" s="544">
        <v>4216</v>
      </c>
      <c r="G473" s="471"/>
      <c r="I473" s="496"/>
      <c r="J473" s="497"/>
      <c r="K473" s="498"/>
    </row>
    <row r="474" spans="1:11" x14ac:dyDescent="0.25">
      <c r="A474" s="491">
        <v>42356</v>
      </c>
      <c r="B474" s="569" t="s">
        <v>631</v>
      </c>
      <c r="C474" s="529">
        <v>2457.1332499999999</v>
      </c>
      <c r="D474" s="569">
        <v>2457133.25</v>
      </c>
      <c r="E474" s="544">
        <v>15835</v>
      </c>
      <c r="F474" s="544">
        <v>4216</v>
      </c>
      <c r="G474" s="471"/>
      <c r="I474" s="496"/>
      <c r="J474" s="497"/>
      <c r="K474" s="498"/>
    </row>
    <row r="475" spans="1:11" x14ac:dyDescent="0.25">
      <c r="A475" s="491">
        <v>42354</v>
      </c>
      <c r="B475" s="569" t="s">
        <v>667</v>
      </c>
      <c r="C475" s="529">
        <v>1052.0739000000001</v>
      </c>
      <c r="D475" s="569">
        <v>1052073.8999999999</v>
      </c>
      <c r="E475" s="544">
        <v>15835</v>
      </c>
      <c r="F475" s="544">
        <v>4216</v>
      </c>
      <c r="G475" s="471"/>
      <c r="I475" s="496"/>
      <c r="J475" s="497"/>
      <c r="K475" s="498"/>
    </row>
    <row r="476" spans="1:11" x14ac:dyDescent="0.25">
      <c r="A476" s="491">
        <v>42354</v>
      </c>
      <c r="B476" s="569" t="s">
        <v>668</v>
      </c>
      <c r="C476" s="529">
        <v>3502.0890899999999</v>
      </c>
      <c r="D476" s="569">
        <v>3502089.09</v>
      </c>
      <c r="E476" s="544">
        <v>15835</v>
      </c>
      <c r="F476" s="544">
        <v>4216</v>
      </c>
      <c r="G476" s="471"/>
      <c r="I476" s="496"/>
      <c r="J476" s="497"/>
      <c r="K476" s="498"/>
    </row>
    <row r="477" spans="1:11" x14ac:dyDescent="0.25">
      <c r="A477" s="491">
        <v>42355</v>
      </c>
      <c r="B477" s="569" t="s">
        <v>670</v>
      </c>
      <c r="C477" s="529">
        <v>6380.9737100000002</v>
      </c>
      <c r="D477" s="569">
        <v>6380973.71</v>
      </c>
      <c r="E477" s="544">
        <v>15835</v>
      </c>
      <c r="F477" s="544">
        <v>4216</v>
      </c>
      <c r="G477" s="471"/>
      <c r="I477" s="496"/>
      <c r="J477" s="497"/>
      <c r="K477" s="498"/>
    </row>
    <row r="478" spans="1:11" x14ac:dyDescent="0.25">
      <c r="A478" s="491"/>
      <c r="B478" s="499" t="s">
        <v>380</v>
      </c>
      <c r="C478" s="500">
        <v>2130.9309899999998</v>
      </c>
      <c r="D478" s="500">
        <f>1790632.56+340298.43</f>
        <v>2130930.9900000002</v>
      </c>
      <c r="E478" s="544">
        <v>15835</v>
      </c>
      <c r="F478" s="544">
        <v>4216</v>
      </c>
      <c r="G478" s="503" t="s">
        <v>64</v>
      </c>
      <c r="I478" s="496">
        <f>1790632.56+340298.43</f>
        <v>2130930.9900000002</v>
      </c>
      <c r="J478" s="497"/>
      <c r="K478" s="498"/>
    </row>
    <row r="479" spans="1:11" x14ac:dyDescent="0.25">
      <c r="A479" s="491"/>
      <c r="B479" s="499" t="s">
        <v>121</v>
      </c>
      <c r="C479" s="500">
        <v>16.574999999999999</v>
      </c>
      <c r="D479" s="500">
        <v>16575</v>
      </c>
      <c r="E479" s="544">
        <v>15835</v>
      </c>
      <c r="F479" s="544">
        <v>4216</v>
      </c>
      <c r="G479" s="471"/>
      <c r="I479" s="496"/>
      <c r="J479" s="497">
        <v>16575</v>
      </c>
      <c r="K479" s="498"/>
    </row>
    <row r="480" spans="1:11" x14ac:dyDescent="0.25">
      <c r="A480" s="491"/>
      <c r="B480" s="499" t="s">
        <v>636</v>
      </c>
      <c r="C480" s="500">
        <v>1907.9431500000001</v>
      </c>
      <c r="D480" s="500">
        <v>1907943.15</v>
      </c>
      <c r="E480" s="544">
        <v>15835</v>
      </c>
      <c r="F480" s="544">
        <v>4216</v>
      </c>
      <c r="G480" s="471"/>
      <c r="I480" s="496"/>
      <c r="J480" s="497">
        <v>1907943.15</v>
      </c>
      <c r="K480" s="498"/>
    </row>
    <row r="481" spans="1:11" x14ac:dyDescent="0.25">
      <c r="A481" s="491"/>
      <c r="B481" s="499" t="s">
        <v>502</v>
      </c>
      <c r="C481" s="500">
        <v>24.19134</v>
      </c>
      <c r="D481" s="500">
        <v>24191.34</v>
      </c>
      <c r="E481" s="544">
        <v>15835</v>
      </c>
      <c r="F481" s="544">
        <v>4216</v>
      </c>
      <c r="G481" s="471"/>
      <c r="I481" s="496"/>
      <c r="J481" s="497">
        <v>24191.34</v>
      </c>
      <c r="K481" s="498"/>
    </row>
    <row r="482" spans="1:11" x14ac:dyDescent="0.25">
      <c r="A482" s="491"/>
      <c r="B482" s="499" t="s">
        <v>503</v>
      </c>
      <c r="C482" s="500">
        <f>920.3341+411.10335+305.87505</f>
        <v>1637.3125</v>
      </c>
      <c r="D482" s="500">
        <f>920334.1+411103.35+305875.05</f>
        <v>1637312.5</v>
      </c>
      <c r="E482" s="544">
        <v>15835</v>
      </c>
      <c r="F482" s="544">
        <v>4216</v>
      </c>
      <c r="G482" s="471"/>
      <c r="I482" s="496"/>
      <c r="J482" s="497">
        <f>920334.1+411103.35+305875.05</f>
        <v>1637312.5</v>
      </c>
      <c r="K482" s="498"/>
    </row>
    <row r="483" spans="1:11" x14ac:dyDescent="0.25">
      <c r="A483" s="491"/>
      <c r="B483" s="499" t="s">
        <v>595</v>
      </c>
      <c r="C483" s="500">
        <f>98.82238+19.7342</f>
        <v>118.55658</v>
      </c>
      <c r="D483" s="500">
        <f>98822.38+19734.2</f>
        <v>118556.58</v>
      </c>
      <c r="E483" s="544">
        <v>15828</v>
      </c>
      <c r="F483" s="544">
        <v>4216</v>
      </c>
      <c r="G483" s="471"/>
      <c r="I483" s="496"/>
      <c r="J483" s="497">
        <f>98822.38+19734.2</f>
        <v>118556.58</v>
      </c>
      <c r="K483" s="498"/>
    </row>
    <row r="484" spans="1:11" x14ac:dyDescent="0.25">
      <c r="A484" s="491"/>
      <c r="B484" s="499" t="s">
        <v>595</v>
      </c>
      <c r="C484" s="500">
        <f>1679.98046+335.4814</f>
        <v>2015.4618599999999</v>
      </c>
      <c r="D484" s="500">
        <f>1679980.46+335481.4</f>
        <v>2015461.8599999999</v>
      </c>
      <c r="E484" s="544">
        <v>15829</v>
      </c>
      <c r="F484" s="544">
        <v>4216</v>
      </c>
      <c r="G484" s="471"/>
      <c r="I484" s="496"/>
      <c r="J484" s="497">
        <f>1679980.46+335481.4</f>
        <v>2015461.8599999999</v>
      </c>
      <c r="K484" s="498"/>
    </row>
    <row r="485" spans="1:11" x14ac:dyDescent="0.25">
      <c r="A485" s="491"/>
      <c r="B485" s="499" t="s">
        <v>596</v>
      </c>
      <c r="C485" s="500">
        <f>78.1042+15.58288</f>
        <v>93.687080000000009</v>
      </c>
      <c r="D485" s="500">
        <f>78104.2+15582.88</f>
        <v>93687.08</v>
      </c>
      <c r="E485" s="544">
        <v>15828</v>
      </c>
      <c r="F485" s="544">
        <v>4216</v>
      </c>
      <c r="G485" s="471"/>
      <c r="I485" s="496"/>
      <c r="J485" s="497">
        <f>78104.2+15582.88</f>
        <v>93687.08</v>
      </c>
      <c r="K485" s="498"/>
    </row>
    <row r="486" spans="1:11" x14ac:dyDescent="0.25">
      <c r="A486" s="491"/>
      <c r="B486" s="499" t="s">
        <v>596</v>
      </c>
      <c r="C486" s="500">
        <f>1327.7714+264.90899</f>
        <v>1592.68039</v>
      </c>
      <c r="D486" s="500">
        <f>1327771.4+264908.99</f>
        <v>1592680.39</v>
      </c>
      <c r="E486" s="544">
        <v>15829</v>
      </c>
      <c r="F486" s="544">
        <v>4216</v>
      </c>
      <c r="G486" s="471"/>
      <c r="I486" s="496"/>
      <c r="J486" s="497">
        <f>1327771.4+264908.99</f>
        <v>1592680.39</v>
      </c>
      <c r="K486" s="498"/>
    </row>
    <row r="487" spans="1:11" x14ac:dyDescent="0.25">
      <c r="A487" s="491"/>
      <c r="B487" s="499" t="s">
        <v>645</v>
      </c>
      <c r="C487" s="500">
        <v>5410.0392700000002</v>
      </c>
      <c r="D487" s="569">
        <v>5410039.2699999996</v>
      </c>
      <c r="E487" s="544">
        <v>15835</v>
      </c>
      <c r="F487" s="544">
        <v>4216</v>
      </c>
      <c r="G487" s="471"/>
      <c r="I487" s="496"/>
      <c r="J487" s="497">
        <v>5410039.2699999996</v>
      </c>
      <c r="K487" s="498"/>
    </row>
    <row r="488" spans="1:11" x14ac:dyDescent="0.25">
      <c r="A488" s="491"/>
      <c r="B488" s="499" t="s">
        <v>624</v>
      </c>
      <c r="C488" s="500">
        <v>3741.9147899999998</v>
      </c>
      <c r="D488" s="569">
        <v>3741914.79</v>
      </c>
      <c r="E488" s="544">
        <v>15835</v>
      </c>
      <c r="F488" s="544">
        <v>4216</v>
      </c>
      <c r="G488" s="471"/>
      <c r="I488" s="496"/>
      <c r="J488" s="497">
        <v>3741914.79</v>
      </c>
      <c r="K488" s="498"/>
    </row>
    <row r="489" spans="1:11" x14ac:dyDescent="0.25">
      <c r="A489" s="491"/>
      <c r="B489" s="499" t="s">
        <v>538</v>
      </c>
      <c r="C489" s="500">
        <v>808.39481999999998</v>
      </c>
      <c r="D489" s="500">
        <v>808394.82</v>
      </c>
      <c r="E489" s="544">
        <v>15827</v>
      </c>
      <c r="F489" s="544">
        <v>4216</v>
      </c>
      <c r="G489" s="471"/>
      <c r="I489" s="496"/>
      <c r="J489" s="497">
        <v>808394.82</v>
      </c>
      <c r="K489" s="498"/>
    </row>
    <row r="490" spans="1:11" x14ac:dyDescent="0.25">
      <c r="A490" s="491"/>
      <c r="B490" s="499" t="s">
        <v>630</v>
      </c>
      <c r="C490" s="500">
        <v>1375.3473100000001</v>
      </c>
      <c r="D490" s="505">
        <v>1375347.31</v>
      </c>
      <c r="E490" s="544">
        <v>15835</v>
      </c>
      <c r="F490" s="544">
        <v>4216</v>
      </c>
      <c r="G490" s="471"/>
      <c r="I490" s="496"/>
      <c r="J490" s="497">
        <v>1375347.31</v>
      </c>
      <c r="K490" s="498"/>
    </row>
    <row r="491" spans="1:11" x14ac:dyDescent="0.25">
      <c r="A491" s="491"/>
      <c r="B491" s="499" t="s">
        <v>284</v>
      </c>
      <c r="C491" s="500">
        <f>4723.48694+5516.77245+1315.34061</f>
        <v>11555.599999999999</v>
      </c>
      <c r="D491" s="569">
        <f>3690394.27+1033092.67+5516772.45+1315340.61</f>
        <v>11555600</v>
      </c>
      <c r="E491" s="544">
        <v>15835</v>
      </c>
      <c r="F491" s="544">
        <v>4216</v>
      </c>
      <c r="G491" s="503"/>
      <c r="I491" s="496"/>
      <c r="J491" s="497">
        <f>3690394.27+1033092.67+5516772.45+1315340.61</f>
        <v>11555600</v>
      </c>
      <c r="K491" s="498"/>
    </row>
    <row r="492" spans="1:11" x14ac:dyDescent="0.25">
      <c r="A492" s="491"/>
      <c r="B492" s="499" t="s">
        <v>637</v>
      </c>
      <c r="C492" s="500">
        <v>94.424949999999995</v>
      </c>
      <c r="D492" s="500">
        <v>94424.95</v>
      </c>
      <c r="E492" s="544">
        <v>15828</v>
      </c>
      <c r="F492" s="544">
        <v>4216</v>
      </c>
      <c r="G492" s="503"/>
      <c r="I492" s="496"/>
      <c r="J492" s="497">
        <v>94424.95</v>
      </c>
      <c r="K492" s="498"/>
    </row>
    <row r="493" spans="1:11" x14ac:dyDescent="0.25">
      <c r="A493" s="491"/>
      <c r="B493" s="499" t="s">
        <v>637</v>
      </c>
      <c r="C493" s="500">
        <v>1605.22415</v>
      </c>
      <c r="D493" s="500">
        <v>1605224.15</v>
      </c>
      <c r="E493" s="544">
        <v>15829</v>
      </c>
      <c r="F493" s="544">
        <v>4216</v>
      </c>
      <c r="G493" s="503"/>
      <c r="I493" s="496"/>
      <c r="J493" s="497">
        <v>1605224.15</v>
      </c>
      <c r="K493" s="498"/>
    </row>
    <row r="494" spans="1:11" x14ac:dyDescent="0.25">
      <c r="A494" s="491"/>
      <c r="B494" s="499" t="s">
        <v>638</v>
      </c>
      <c r="C494" s="500">
        <v>91.780799999999999</v>
      </c>
      <c r="D494" s="500">
        <v>91780.800000000003</v>
      </c>
      <c r="E494" s="544">
        <v>15828</v>
      </c>
      <c r="F494" s="544">
        <v>4216</v>
      </c>
      <c r="G494" s="503"/>
      <c r="I494" s="496"/>
      <c r="J494" s="497">
        <v>91780.800000000003</v>
      </c>
      <c r="K494" s="498"/>
    </row>
    <row r="495" spans="1:11" x14ac:dyDescent="0.25">
      <c r="A495" s="491"/>
      <c r="B495" s="499" t="s">
        <v>638</v>
      </c>
      <c r="C495" s="500">
        <v>1560.2736</v>
      </c>
      <c r="D495" s="500">
        <v>1560273.6</v>
      </c>
      <c r="E495" s="544">
        <v>15829</v>
      </c>
      <c r="F495" s="544">
        <v>4216</v>
      </c>
      <c r="G495" s="503"/>
      <c r="I495" s="496"/>
      <c r="J495" s="497">
        <v>1560273.6</v>
      </c>
      <c r="K495" s="498"/>
    </row>
    <row r="496" spans="1:11" x14ac:dyDescent="0.25">
      <c r="A496" s="491"/>
      <c r="B496" s="499" t="s">
        <v>639</v>
      </c>
      <c r="C496" s="500">
        <v>94.275679999999994</v>
      </c>
      <c r="D496" s="500">
        <v>94275.68</v>
      </c>
      <c r="E496" s="544">
        <v>15828</v>
      </c>
      <c r="F496" s="544">
        <v>4216</v>
      </c>
      <c r="G496" s="503"/>
      <c r="I496" s="496"/>
      <c r="J496" s="497">
        <v>94275.68</v>
      </c>
      <c r="K496" s="498"/>
    </row>
    <row r="497" spans="1:11" x14ac:dyDescent="0.25">
      <c r="A497" s="491"/>
      <c r="B497" s="499" t="s">
        <v>639</v>
      </c>
      <c r="C497" s="500">
        <v>1602.68685</v>
      </c>
      <c r="D497" s="500">
        <v>1602686.85</v>
      </c>
      <c r="E497" s="544">
        <v>15829</v>
      </c>
      <c r="F497" s="544">
        <v>4216</v>
      </c>
      <c r="G497" s="503"/>
      <c r="I497" s="496"/>
      <c r="J497" s="497">
        <v>1602686.85</v>
      </c>
      <c r="K497" s="498"/>
    </row>
    <row r="498" spans="1:11" x14ac:dyDescent="0.25">
      <c r="A498" s="491"/>
      <c r="B498" s="499" t="s">
        <v>499</v>
      </c>
      <c r="C498" s="500">
        <v>5.1425000000000001</v>
      </c>
      <c r="D498" s="569">
        <v>5142.5</v>
      </c>
      <c r="E498" s="544">
        <v>15835</v>
      </c>
      <c r="F498" s="544">
        <v>4216</v>
      </c>
      <c r="G498" s="503"/>
      <c r="I498" s="496"/>
      <c r="J498" s="497">
        <v>5142.5</v>
      </c>
      <c r="K498" s="498"/>
    </row>
    <row r="499" spans="1:11" x14ac:dyDescent="0.25">
      <c r="A499" s="491"/>
      <c r="B499" s="499" t="s">
        <v>360</v>
      </c>
      <c r="C499" s="500">
        <v>159.6232</v>
      </c>
      <c r="D499" s="569">
        <v>159623.20000000001</v>
      </c>
      <c r="E499" s="544">
        <v>15835</v>
      </c>
      <c r="F499" s="544">
        <v>4216</v>
      </c>
      <c r="G499" s="471"/>
      <c r="I499" s="496"/>
      <c r="J499" s="497">
        <v>159623.20000000001</v>
      </c>
      <c r="K499" s="498"/>
    </row>
    <row r="500" spans="1:11" x14ac:dyDescent="0.25">
      <c r="A500" s="491"/>
      <c r="B500" s="499" t="s">
        <v>228</v>
      </c>
      <c r="C500" s="500">
        <v>36.125</v>
      </c>
      <c r="D500" s="569">
        <v>36125</v>
      </c>
      <c r="E500" s="544">
        <v>15835</v>
      </c>
      <c r="F500" s="544">
        <v>4216</v>
      </c>
      <c r="G500" s="471"/>
      <c r="I500" s="496"/>
      <c r="J500" s="497">
        <v>36125</v>
      </c>
      <c r="K500" s="498"/>
    </row>
    <row r="501" spans="1:11" x14ac:dyDescent="0.25">
      <c r="A501" s="491"/>
      <c r="B501" s="499" t="s">
        <v>230</v>
      </c>
      <c r="C501" s="500">
        <v>59.499980000000001</v>
      </c>
      <c r="D501" s="569">
        <v>59499.98</v>
      </c>
      <c r="E501" s="544">
        <v>15835</v>
      </c>
      <c r="F501" s="544">
        <v>4216</v>
      </c>
      <c r="G501" s="471"/>
      <c r="I501" s="496"/>
      <c r="J501" s="497">
        <v>59499.98</v>
      </c>
      <c r="K501" s="498"/>
    </row>
    <row r="502" spans="1:11" x14ac:dyDescent="0.25">
      <c r="A502" s="491"/>
      <c r="B502" s="499" t="s">
        <v>504</v>
      </c>
      <c r="C502" s="500">
        <v>1321.5131100000001</v>
      </c>
      <c r="D502" s="569">
        <v>1321513.1100000001</v>
      </c>
      <c r="E502" s="544">
        <v>15835</v>
      </c>
      <c r="F502" s="544">
        <v>4216</v>
      </c>
      <c r="G502" s="503"/>
      <c r="I502" s="496"/>
      <c r="J502" s="497">
        <v>1321513.1100000001</v>
      </c>
      <c r="K502" s="498"/>
    </row>
    <row r="503" spans="1:11" x14ac:dyDescent="0.25">
      <c r="A503" s="491"/>
      <c r="B503" s="499" t="s">
        <v>608</v>
      </c>
      <c r="C503" s="539">
        <v>1159.63302</v>
      </c>
      <c r="D503" s="569">
        <v>1159633.02</v>
      </c>
      <c r="E503" s="544">
        <v>15835</v>
      </c>
      <c r="F503" s="544">
        <v>4216</v>
      </c>
      <c r="G503" s="471"/>
      <c r="I503" s="496"/>
      <c r="J503" s="497">
        <v>1159633.02</v>
      </c>
      <c r="K503" s="498"/>
    </row>
    <row r="504" spans="1:11" x14ac:dyDescent="0.25">
      <c r="A504" s="491"/>
      <c r="B504" s="499" t="s">
        <v>642</v>
      </c>
      <c r="C504" s="539">
        <v>635.18245000000002</v>
      </c>
      <c r="D504" s="500">
        <v>635182.44999999995</v>
      </c>
      <c r="E504" s="544">
        <v>15827</v>
      </c>
      <c r="F504" s="544">
        <v>4216</v>
      </c>
      <c r="G504" s="471"/>
      <c r="I504" s="496"/>
      <c r="J504" s="497">
        <v>635182.44999999995</v>
      </c>
      <c r="K504" s="498"/>
    </row>
    <row r="505" spans="1:11" x14ac:dyDescent="0.25">
      <c r="A505" s="491"/>
      <c r="B505" s="533"/>
      <c r="C505" s="505"/>
      <c r="D505" s="505"/>
      <c r="E505" s="544"/>
      <c r="F505" s="544"/>
      <c r="G505" s="471"/>
      <c r="I505" s="496"/>
      <c r="J505" s="497"/>
      <c r="K505" s="498"/>
    </row>
    <row r="506" spans="1:11" x14ac:dyDescent="0.25">
      <c r="A506" s="491"/>
      <c r="B506" s="523" t="s">
        <v>91</v>
      </c>
      <c r="C506" s="524">
        <f>+SUM(C507:C512)</f>
        <v>38835.1636</v>
      </c>
      <c r="D506" s="524">
        <f>+SUM(D507:D512)</f>
        <v>38835163.599999994</v>
      </c>
      <c r="E506" s="544"/>
      <c r="F506" s="544"/>
      <c r="G506" s="471"/>
      <c r="I506" s="496"/>
      <c r="J506" s="497"/>
      <c r="K506" s="498"/>
    </row>
    <row r="507" spans="1:11" x14ac:dyDescent="0.25">
      <c r="A507" s="491">
        <v>42034</v>
      </c>
      <c r="B507" s="533" t="s">
        <v>103</v>
      </c>
      <c r="C507" s="505">
        <v>4395.5924400000004</v>
      </c>
      <c r="D507" s="505">
        <v>4395592.4400000004</v>
      </c>
      <c r="E507" s="544">
        <v>17871</v>
      </c>
      <c r="F507" s="544">
        <v>4216</v>
      </c>
      <c r="G507" s="471"/>
      <c r="I507" s="496"/>
      <c r="J507" s="497"/>
      <c r="K507" s="498"/>
    </row>
    <row r="508" spans="1:11" x14ac:dyDescent="0.25">
      <c r="A508" s="491">
        <v>42034</v>
      </c>
      <c r="B508" s="533" t="s">
        <v>103</v>
      </c>
      <c r="C508" s="505">
        <v>775.69277999999997</v>
      </c>
      <c r="D508" s="505">
        <v>775692.78</v>
      </c>
      <c r="E508" s="544">
        <v>17870</v>
      </c>
      <c r="F508" s="544">
        <v>4216</v>
      </c>
      <c r="G508" s="471"/>
      <c r="I508" s="496"/>
      <c r="J508" s="497"/>
      <c r="K508" s="498"/>
    </row>
    <row r="509" spans="1:11" x14ac:dyDescent="0.25">
      <c r="A509" s="491">
        <v>42151</v>
      </c>
      <c r="B509" s="533" t="s">
        <v>220</v>
      </c>
      <c r="C509" s="505">
        <v>22777.845359999999</v>
      </c>
      <c r="D509" s="505">
        <v>22777845.359999999</v>
      </c>
      <c r="E509" s="544">
        <v>17871</v>
      </c>
      <c r="F509" s="544">
        <v>4216</v>
      </c>
      <c r="G509" s="471"/>
      <c r="I509" s="496"/>
      <c r="J509" s="497"/>
      <c r="K509" s="498"/>
    </row>
    <row r="510" spans="1:11" x14ac:dyDescent="0.25">
      <c r="A510" s="491">
        <v>42250</v>
      </c>
      <c r="B510" s="533" t="s">
        <v>419</v>
      </c>
      <c r="C510" s="505">
        <v>1153.07475</v>
      </c>
      <c r="D510" s="505">
        <v>1153074.75</v>
      </c>
      <c r="E510" s="544">
        <v>17870</v>
      </c>
      <c r="F510" s="544">
        <v>4216</v>
      </c>
      <c r="G510" s="471"/>
      <c r="I510" s="496"/>
      <c r="J510" s="497"/>
      <c r="K510" s="498"/>
    </row>
    <row r="511" spans="1:11" x14ac:dyDescent="0.25">
      <c r="A511" s="491">
        <v>42250</v>
      </c>
      <c r="B511" s="533" t="s">
        <v>419</v>
      </c>
      <c r="C511" s="505">
        <v>6534.0902699999997</v>
      </c>
      <c r="D511" s="505">
        <v>6534090.2699999996</v>
      </c>
      <c r="E511" s="544">
        <v>17871</v>
      </c>
      <c r="F511" s="544">
        <v>4216</v>
      </c>
      <c r="G511" s="471"/>
      <c r="I511" s="496"/>
      <c r="J511" s="497"/>
      <c r="K511" s="498"/>
    </row>
    <row r="512" spans="1:11" x14ac:dyDescent="0.25">
      <c r="A512" s="491"/>
      <c r="B512" s="533" t="s">
        <v>541</v>
      </c>
      <c r="C512" s="500">
        <v>3198.8679999999999</v>
      </c>
      <c r="D512" s="500">
        <v>3198868</v>
      </c>
      <c r="E512" s="544">
        <v>17880</v>
      </c>
      <c r="F512" s="544">
        <v>4216</v>
      </c>
      <c r="G512" s="503"/>
      <c r="I512" s="496"/>
      <c r="J512" s="497">
        <v>3198868</v>
      </c>
      <c r="K512" s="498"/>
    </row>
    <row r="513" spans="1:11" x14ac:dyDescent="0.25">
      <c r="A513" s="491"/>
      <c r="B513" s="533"/>
      <c r="C513" s="505"/>
      <c r="D513" s="505"/>
      <c r="E513" s="544"/>
      <c r="F513" s="544"/>
      <c r="G513" s="471"/>
      <c r="I513" s="496"/>
      <c r="J513" s="497"/>
      <c r="K513" s="498"/>
    </row>
    <row r="514" spans="1:11" x14ac:dyDescent="0.25">
      <c r="A514" s="491"/>
      <c r="B514" s="538" t="s">
        <v>149</v>
      </c>
      <c r="C514" s="524">
        <f>+C515</f>
        <v>450</v>
      </c>
      <c r="D514" s="524">
        <f>+D515</f>
        <v>450000</v>
      </c>
      <c r="E514" s="544"/>
      <c r="F514" s="544"/>
      <c r="G514" s="471"/>
      <c r="I514" s="496"/>
      <c r="J514" s="497"/>
      <c r="K514" s="498"/>
    </row>
    <row r="515" spans="1:11" x14ac:dyDescent="0.25">
      <c r="A515" s="491">
        <v>42121</v>
      </c>
      <c r="B515" s="533" t="s">
        <v>155</v>
      </c>
      <c r="C515" s="505">
        <v>450</v>
      </c>
      <c r="D515" s="505">
        <v>450000</v>
      </c>
      <c r="E515" s="544">
        <v>35674</v>
      </c>
      <c r="F515" s="544">
        <v>4216</v>
      </c>
      <c r="G515" s="471"/>
      <c r="I515" s="496"/>
      <c r="J515" s="497"/>
      <c r="K515" s="498"/>
    </row>
    <row r="516" spans="1:11" x14ac:dyDescent="0.25">
      <c r="A516" s="491"/>
      <c r="B516" s="492"/>
      <c r="C516" s="524"/>
      <c r="D516" s="524"/>
      <c r="E516" s="544"/>
      <c r="F516" s="544"/>
      <c r="G516" s="471"/>
      <c r="I516" s="496"/>
      <c r="J516" s="497"/>
      <c r="K516" s="498"/>
    </row>
    <row r="517" spans="1:11" x14ac:dyDescent="0.25">
      <c r="A517" s="491"/>
      <c r="B517" s="492" t="s">
        <v>48</v>
      </c>
      <c r="C517" s="524">
        <f>SUM(C518:C530)</f>
        <v>6388.9557999999997</v>
      </c>
      <c r="D517" s="524">
        <f>SUM(D518:D530)</f>
        <v>6388955.7999999998</v>
      </c>
      <c r="E517" s="544"/>
      <c r="F517" s="544"/>
      <c r="G517" s="471"/>
      <c r="I517" s="496"/>
      <c r="J517" s="497"/>
      <c r="K517" s="498"/>
    </row>
    <row r="518" spans="1:11" x14ac:dyDescent="0.25">
      <c r="A518" s="491">
        <v>42356</v>
      </c>
      <c r="B518" s="534" t="s">
        <v>202</v>
      </c>
      <c r="C518" s="505">
        <f>186.11243+32.84337</f>
        <v>218.95579999999998</v>
      </c>
      <c r="D518" s="505">
        <f>186112.43+32843.37</f>
        <v>218955.8</v>
      </c>
      <c r="E518" s="544">
        <v>33926</v>
      </c>
      <c r="F518" s="544">
        <v>4222</v>
      </c>
      <c r="G518" s="471"/>
      <c r="I518" s="496"/>
      <c r="J518" s="497"/>
      <c r="K518" s="498"/>
    </row>
    <row r="519" spans="1:11" x14ac:dyDescent="0.25">
      <c r="A519" s="491"/>
      <c r="B519" s="571" t="s">
        <v>308</v>
      </c>
      <c r="C519" s="500">
        <v>200</v>
      </c>
      <c r="D519" s="549">
        <v>200000</v>
      </c>
      <c r="E519" s="544">
        <v>551</v>
      </c>
      <c r="F519" s="544">
        <v>4222</v>
      </c>
      <c r="G519" s="471"/>
      <c r="I519" s="496"/>
      <c r="J519" s="497">
        <v>200000</v>
      </c>
      <c r="K519" s="550"/>
    </row>
    <row r="520" spans="1:11" x14ac:dyDescent="0.25">
      <c r="A520" s="491"/>
      <c r="B520" s="571" t="s">
        <v>305</v>
      </c>
      <c r="C520" s="500">
        <v>500</v>
      </c>
      <c r="D520" s="549">
        <v>500000</v>
      </c>
      <c r="E520" s="544">
        <v>551</v>
      </c>
      <c r="F520" s="544">
        <v>4222</v>
      </c>
      <c r="G520" s="471"/>
      <c r="I520" s="496"/>
      <c r="J520" s="497">
        <v>500000</v>
      </c>
      <c r="K520" s="550"/>
    </row>
    <row r="521" spans="1:11" x14ac:dyDescent="0.25">
      <c r="A521" s="491"/>
      <c r="B521" s="571" t="s">
        <v>312</v>
      </c>
      <c r="C521" s="500">
        <v>90</v>
      </c>
      <c r="D521" s="549">
        <v>90000</v>
      </c>
      <c r="E521" s="544">
        <v>551</v>
      </c>
      <c r="F521" s="544">
        <v>4222</v>
      </c>
      <c r="G521" s="471"/>
      <c r="I521" s="496"/>
      <c r="J521" s="497">
        <v>90000</v>
      </c>
      <c r="K521" s="550"/>
    </row>
    <row r="522" spans="1:11" x14ac:dyDescent="0.25">
      <c r="A522" s="491"/>
      <c r="B522" s="571" t="s">
        <v>676</v>
      </c>
      <c r="C522" s="500">
        <v>1850</v>
      </c>
      <c r="D522" s="549">
        <v>1850000</v>
      </c>
      <c r="E522" s="544">
        <v>341</v>
      </c>
      <c r="F522" s="544">
        <v>4222</v>
      </c>
      <c r="G522" s="528" t="s">
        <v>64</v>
      </c>
      <c r="I522" s="496">
        <v>1850000</v>
      </c>
      <c r="J522" s="497"/>
      <c r="K522" s="550"/>
    </row>
    <row r="523" spans="1:11" x14ac:dyDescent="0.25">
      <c r="A523" s="491"/>
      <c r="B523" s="571" t="s">
        <v>659</v>
      </c>
      <c r="C523" s="500">
        <v>250</v>
      </c>
      <c r="D523" s="549">
        <v>250000</v>
      </c>
      <c r="E523" s="544">
        <v>551</v>
      </c>
      <c r="F523" s="544">
        <v>4222</v>
      </c>
      <c r="G523" s="471"/>
      <c r="I523" s="496"/>
      <c r="J523" s="497">
        <v>250000</v>
      </c>
      <c r="K523" s="550"/>
    </row>
    <row r="524" spans="1:11" x14ac:dyDescent="0.25">
      <c r="A524" s="491"/>
      <c r="B524" s="571" t="s">
        <v>658</v>
      </c>
      <c r="C524" s="500">
        <v>500</v>
      </c>
      <c r="D524" s="549">
        <v>500000</v>
      </c>
      <c r="E524" s="544">
        <v>551</v>
      </c>
      <c r="F524" s="544">
        <v>4222</v>
      </c>
      <c r="G524" s="471"/>
      <c r="I524" s="496"/>
      <c r="J524" s="497">
        <v>500000</v>
      </c>
      <c r="K524" s="550"/>
    </row>
    <row r="525" spans="1:11" x14ac:dyDescent="0.25">
      <c r="A525" s="491"/>
      <c r="B525" s="571" t="s">
        <v>306</v>
      </c>
      <c r="C525" s="500">
        <v>300</v>
      </c>
      <c r="D525" s="549">
        <v>300000</v>
      </c>
      <c r="E525" s="544">
        <v>551</v>
      </c>
      <c r="F525" s="544">
        <v>4222</v>
      </c>
      <c r="G525" s="471"/>
      <c r="I525" s="496"/>
      <c r="J525" s="497">
        <v>300000</v>
      </c>
      <c r="K525" s="550"/>
    </row>
    <row r="526" spans="1:11" x14ac:dyDescent="0.25">
      <c r="A526" s="491"/>
      <c r="B526" s="571" t="s">
        <v>313</v>
      </c>
      <c r="C526" s="500">
        <v>700</v>
      </c>
      <c r="D526" s="549">
        <v>700000</v>
      </c>
      <c r="E526" s="544">
        <v>551</v>
      </c>
      <c r="F526" s="544">
        <v>4222</v>
      </c>
      <c r="G526" s="471"/>
      <c r="I526" s="496"/>
      <c r="J526" s="497">
        <v>700000</v>
      </c>
      <c r="K526" s="550"/>
    </row>
    <row r="527" spans="1:11" x14ac:dyDescent="0.25">
      <c r="A527" s="491"/>
      <c r="B527" s="571" t="s">
        <v>302</v>
      </c>
      <c r="C527" s="543">
        <v>30</v>
      </c>
      <c r="D527" s="549">
        <v>30000</v>
      </c>
      <c r="E527" s="544">
        <v>433</v>
      </c>
      <c r="F527" s="544">
        <v>4222</v>
      </c>
      <c r="G527" s="471"/>
      <c r="I527" s="496"/>
      <c r="J527" s="497">
        <v>30000</v>
      </c>
      <c r="K527" s="498"/>
    </row>
    <row r="528" spans="1:11" x14ac:dyDescent="0.25">
      <c r="A528" s="491"/>
      <c r="B528" s="571" t="s">
        <v>561</v>
      </c>
      <c r="C528" s="500">
        <v>350</v>
      </c>
      <c r="D528" s="549">
        <v>350000</v>
      </c>
      <c r="E528" s="544">
        <v>439</v>
      </c>
      <c r="F528" s="544">
        <v>4222</v>
      </c>
      <c r="G528" s="528" t="s">
        <v>64</v>
      </c>
      <c r="I528" s="496">
        <v>350000</v>
      </c>
      <c r="J528" s="497"/>
      <c r="K528" s="498"/>
    </row>
    <row r="529" spans="1:11" x14ac:dyDescent="0.25">
      <c r="A529" s="491"/>
      <c r="B529" s="571" t="s">
        <v>660</v>
      </c>
      <c r="C529" s="500">
        <v>1000</v>
      </c>
      <c r="D529" s="549">
        <v>1000000</v>
      </c>
      <c r="E529" s="544">
        <v>311</v>
      </c>
      <c r="F529" s="544">
        <v>4222</v>
      </c>
      <c r="G529" s="528" t="s">
        <v>64</v>
      </c>
      <c r="I529" s="496">
        <v>1000000</v>
      </c>
      <c r="J529" s="497"/>
      <c r="K529" s="498"/>
    </row>
    <row r="530" spans="1:11" x14ac:dyDescent="0.25">
      <c r="A530" s="491"/>
      <c r="B530" s="571" t="s">
        <v>307</v>
      </c>
      <c r="C530" s="500">
        <v>400</v>
      </c>
      <c r="D530" s="549">
        <v>400000</v>
      </c>
      <c r="E530" s="544">
        <v>551</v>
      </c>
      <c r="F530" s="544">
        <v>4222</v>
      </c>
      <c r="G530" s="471"/>
      <c r="I530" s="496"/>
      <c r="J530" s="497">
        <v>400000</v>
      </c>
      <c r="K530" s="550"/>
    </row>
    <row r="531" spans="1:11" x14ac:dyDescent="0.25">
      <c r="A531" s="491"/>
      <c r="B531" s="533"/>
      <c r="C531" s="529"/>
      <c r="D531" s="546"/>
      <c r="E531" s="501"/>
      <c r="F531" s="544"/>
      <c r="G531" s="471"/>
      <c r="I531" s="496"/>
      <c r="J531" s="497"/>
      <c r="K531" s="498"/>
    </row>
    <row r="532" spans="1:11" x14ac:dyDescent="0.25">
      <c r="A532" s="491"/>
      <c r="B532" s="538" t="s">
        <v>50</v>
      </c>
      <c r="C532" s="506">
        <f>+SUM(C533:C551)</f>
        <v>208449.826</v>
      </c>
      <c r="D532" s="506">
        <f>+SUM(D533:D551)</f>
        <v>208449826</v>
      </c>
      <c r="E532" s="544"/>
      <c r="F532" s="544"/>
      <c r="G532" s="471"/>
      <c r="I532" s="496"/>
      <c r="J532" s="497"/>
      <c r="K532" s="498"/>
    </row>
    <row r="533" spans="1:11" x14ac:dyDescent="0.25">
      <c r="A533" s="491">
        <v>42073</v>
      </c>
      <c r="B533" s="533" t="s">
        <v>112</v>
      </c>
      <c r="C533" s="505">
        <v>24568.326000000001</v>
      </c>
      <c r="D533" s="505">
        <v>24568326</v>
      </c>
      <c r="E533" s="544">
        <v>86505</v>
      </c>
      <c r="F533" s="544">
        <v>4223</v>
      </c>
      <c r="G533" s="471"/>
      <c r="I533" s="496"/>
      <c r="J533" s="497"/>
      <c r="K533" s="498"/>
    </row>
    <row r="534" spans="1:11" x14ac:dyDescent="0.25">
      <c r="A534" s="491">
        <v>42073</v>
      </c>
      <c r="B534" s="533" t="s">
        <v>112</v>
      </c>
      <c r="C534" s="505">
        <v>2167.7934799999998</v>
      </c>
      <c r="D534" s="505">
        <v>2167793.48</v>
      </c>
      <c r="E534" s="544">
        <v>86501</v>
      </c>
      <c r="F534" s="544">
        <v>4223</v>
      </c>
      <c r="G534" s="471"/>
      <c r="I534" s="496"/>
      <c r="J534" s="497"/>
      <c r="K534" s="498"/>
    </row>
    <row r="535" spans="1:11" x14ac:dyDescent="0.25">
      <c r="A535" s="491">
        <v>42087</v>
      </c>
      <c r="B535" s="522" t="s">
        <v>123</v>
      </c>
      <c r="C535" s="535">
        <v>17507.565600000002</v>
      </c>
      <c r="D535" s="535">
        <v>17507565.600000001</v>
      </c>
      <c r="E535" s="501">
        <v>86505</v>
      </c>
      <c r="F535" s="544">
        <v>4223</v>
      </c>
      <c r="G535" s="471"/>
      <c r="I535" s="496"/>
      <c r="J535" s="497"/>
      <c r="K535" s="498"/>
    </row>
    <row r="536" spans="1:11" x14ac:dyDescent="0.25">
      <c r="A536" s="491">
        <v>42101</v>
      </c>
      <c r="B536" s="522" t="s">
        <v>138</v>
      </c>
      <c r="C536" s="535">
        <v>3893.92481</v>
      </c>
      <c r="D536" s="535">
        <v>3893924.81</v>
      </c>
      <c r="E536" s="501">
        <v>86505</v>
      </c>
      <c r="F536" s="544">
        <v>4223</v>
      </c>
      <c r="G536" s="471"/>
      <c r="I536" s="496"/>
      <c r="J536" s="497"/>
      <c r="K536" s="498"/>
    </row>
    <row r="537" spans="1:11" x14ac:dyDescent="0.25">
      <c r="A537" s="491">
        <v>42122</v>
      </c>
      <c r="B537" s="522" t="s">
        <v>152</v>
      </c>
      <c r="C537" s="535">
        <v>4191.1944100000001</v>
      </c>
      <c r="D537" s="535">
        <v>4191194.41</v>
      </c>
      <c r="E537" s="501">
        <v>86505</v>
      </c>
      <c r="F537" s="544">
        <v>4223</v>
      </c>
      <c r="G537" s="471"/>
      <c r="I537" s="496"/>
      <c r="J537" s="497"/>
      <c r="K537" s="498"/>
    </row>
    <row r="538" spans="1:11" x14ac:dyDescent="0.25">
      <c r="A538" s="491">
        <v>42143</v>
      </c>
      <c r="B538" s="522" t="s">
        <v>171</v>
      </c>
      <c r="C538" s="535">
        <v>18985.09273</v>
      </c>
      <c r="D538" s="505">
        <v>18985092.73</v>
      </c>
      <c r="E538" s="501">
        <v>86505</v>
      </c>
      <c r="F538" s="544">
        <v>4223</v>
      </c>
      <c r="G538" s="471"/>
      <c r="I538" s="496"/>
      <c r="J538" s="497"/>
      <c r="K538" s="498"/>
    </row>
    <row r="539" spans="1:11" x14ac:dyDescent="0.25">
      <c r="A539" s="491">
        <v>42178</v>
      </c>
      <c r="B539" s="522" t="s">
        <v>245</v>
      </c>
      <c r="C539" s="535">
        <v>10777.64892</v>
      </c>
      <c r="D539" s="505">
        <v>10777648.92</v>
      </c>
      <c r="E539" s="501">
        <v>86505</v>
      </c>
      <c r="F539" s="544">
        <v>4223</v>
      </c>
      <c r="G539" s="471"/>
      <c r="I539" s="496"/>
      <c r="J539" s="497"/>
      <c r="K539" s="498"/>
    </row>
    <row r="540" spans="1:11" x14ac:dyDescent="0.25">
      <c r="A540" s="491">
        <v>42242</v>
      </c>
      <c r="B540" s="522" t="s">
        <v>393</v>
      </c>
      <c r="C540" s="535">
        <v>9577.3184600000004</v>
      </c>
      <c r="D540" s="505">
        <v>9577318.4600000009</v>
      </c>
      <c r="E540" s="501">
        <v>86505</v>
      </c>
      <c r="F540" s="544">
        <v>4223</v>
      </c>
      <c r="G540" s="471"/>
      <c r="I540" s="496"/>
      <c r="J540" s="497"/>
      <c r="K540" s="498"/>
    </row>
    <row r="541" spans="1:11" x14ac:dyDescent="0.25">
      <c r="A541" s="491">
        <v>42290</v>
      </c>
      <c r="B541" s="522" t="s">
        <v>539</v>
      </c>
      <c r="C541" s="535">
        <v>8424.0829799999992</v>
      </c>
      <c r="D541" s="505">
        <v>8424082.9800000004</v>
      </c>
      <c r="E541" s="501">
        <v>86505</v>
      </c>
      <c r="F541" s="544">
        <v>4223</v>
      </c>
      <c r="G541" s="471"/>
      <c r="I541" s="496"/>
      <c r="J541" s="497"/>
      <c r="K541" s="498"/>
    </row>
    <row r="542" spans="1:11" x14ac:dyDescent="0.25">
      <c r="A542" s="491">
        <v>42312</v>
      </c>
      <c r="B542" s="522" t="s">
        <v>602</v>
      </c>
      <c r="C542" s="535">
        <v>9406.7392</v>
      </c>
      <c r="D542" s="505">
        <v>9406739.1999999993</v>
      </c>
      <c r="E542" s="501">
        <v>86505</v>
      </c>
      <c r="F542" s="544">
        <v>4223</v>
      </c>
      <c r="G542" s="471"/>
      <c r="I542" s="496"/>
      <c r="J542" s="497"/>
      <c r="K542" s="498"/>
    </row>
    <row r="543" spans="1:11" x14ac:dyDescent="0.25">
      <c r="A543" s="491">
        <v>42324</v>
      </c>
      <c r="B543" s="522" t="s">
        <v>603</v>
      </c>
      <c r="C543" s="535">
        <v>9908.8551700000007</v>
      </c>
      <c r="D543" s="505">
        <v>9908855.1699999999</v>
      </c>
      <c r="E543" s="501">
        <v>86505</v>
      </c>
      <c r="F543" s="544">
        <v>4223</v>
      </c>
      <c r="G543" s="471"/>
      <c r="I543" s="496"/>
      <c r="J543" s="497"/>
      <c r="K543" s="498"/>
    </row>
    <row r="544" spans="1:11" x14ac:dyDescent="0.25">
      <c r="A544" s="491">
        <v>42324</v>
      </c>
      <c r="B544" s="522" t="s">
        <v>604</v>
      </c>
      <c r="C544" s="535">
        <v>6220.0527199999997</v>
      </c>
      <c r="D544" s="505">
        <v>6220052.7199999997</v>
      </c>
      <c r="E544" s="501">
        <v>86505</v>
      </c>
      <c r="F544" s="544">
        <v>4223</v>
      </c>
      <c r="G544" s="471"/>
      <c r="I544" s="496"/>
      <c r="J544" s="497"/>
      <c r="K544" s="498"/>
    </row>
    <row r="545" spans="1:11" x14ac:dyDescent="0.25">
      <c r="A545" s="491">
        <v>42331</v>
      </c>
      <c r="B545" s="522" t="s">
        <v>609</v>
      </c>
      <c r="C545" s="535">
        <v>51656.28239</v>
      </c>
      <c r="D545" s="505">
        <v>51656282.390000001</v>
      </c>
      <c r="E545" s="501">
        <v>86505</v>
      </c>
      <c r="F545" s="544">
        <v>4223</v>
      </c>
      <c r="G545" s="471"/>
      <c r="I545" s="496"/>
      <c r="J545" s="497"/>
      <c r="K545" s="498"/>
    </row>
    <row r="546" spans="1:11" x14ac:dyDescent="0.25">
      <c r="A546" s="491">
        <v>42348</v>
      </c>
      <c r="B546" s="522" t="s">
        <v>632</v>
      </c>
      <c r="C546" s="535">
        <v>6308.3000700000002</v>
      </c>
      <c r="D546" s="505">
        <v>6308300.0700000003</v>
      </c>
      <c r="E546" s="501">
        <v>86505</v>
      </c>
      <c r="F546" s="544">
        <v>4223</v>
      </c>
      <c r="G546" s="471"/>
      <c r="I546" s="496"/>
      <c r="J546" s="497"/>
      <c r="K546" s="498"/>
    </row>
    <row r="547" spans="1:11" x14ac:dyDescent="0.25">
      <c r="A547" s="491">
        <v>42348</v>
      </c>
      <c r="B547" s="522" t="s">
        <v>635</v>
      </c>
      <c r="C547" s="535">
        <v>7372.81765</v>
      </c>
      <c r="D547" s="505">
        <v>7372817.6500000004</v>
      </c>
      <c r="E547" s="501">
        <v>86505</v>
      </c>
      <c r="F547" s="544">
        <v>4223</v>
      </c>
      <c r="G547" s="471"/>
      <c r="I547" s="496"/>
      <c r="J547" s="497"/>
      <c r="K547" s="498"/>
    </row>
    <row r="548" spans="1:11" x14ac:dyDescent="0.25">
      <c r="A548" s="491"/>
      <c r="B548" s="522" t="s">
        <v>675</v>
      </c>
      <c r="C548" s="543">
        <v>7886.4049199999999</v>
      </c>
      <c r="D548" s="500">
        <v>7886404.9199999999</v>
      </c>
      <c r="E548" s="501">
        <v>86505</v>
      </c>
      <c r="F548" s="544">
        <v>4223</v>
      </c>
      <c r="G548" s="503" t="s">
        <v>351</v>
      </c>
      <c r="I548" s="496">
        <v>7886404.9199999999</v>
      </c>
      <c r="J548" s="497"/>
      <c r="K548" s="498"/>
    </row>
    <row r="549" spans="1:11" x14ac:dyDescent="0.25">
      <c r="A549" s="491"/>
      <c r="B549" s="522" t="s">
        <v>437</v>
      </c>
      <c r="C549" s="543">
        <v>3985.4986899999999</v>
      </c>
      <c r="D549" s="500">
        <v>3985498.69</v>
      </c>
      <c r="E549" s="501">
        <v>86505</v>
      </c>
      <c r="F549" s="544">
        <v>4223</v>
      </c>
      <c r="G549" s="503" t="s">
        <v>351</v>
      </c>
      <c r="I549" s="496">
        <v>3985498.69</v>
      </c>
      <c r="J549" s="497"/>
      <c r="K549" s="498"/>
    </row>
    <row r="550" spans="1:11" x14ac:dyDescent="0.25">
      <c r="A550" s="491"/>
      <c r="B550" s="522" t="s">
        <v>262</v>
      </c>
      <c r="C550" s="543">
        <v>5611.9278000000004</v>
      </c>
      <c r="D550" s="500">
        <v>5611927.7999999998</v>
      </c>
      <c r="E550" s="501">
        <v>86505</v>
      </c>
      <c r="F550" s="544">
        <v>4223</v>
      </c>
      <c r="G550" s="503" t="s">
        <v>351</v>
      </c>
      <c r="I550" s="567">
        <v>5611927.7999999998</v>
      </c>
      <c r="J550" s="497"/>
      <c r="K550" s="498"/>
    </row>
    <row r="551" spans="1:11" x14ac:dyDescent="0.25">
      <c r="A551" s="491"/>
      <c r="B551" s="572"/>
      <c r="C551" s="535"/>
      <c r="D551" s="505"/>
      <c r="E551" s="501"/>
      <c r="F551" s="544"/>
      <c r="G551" s="471"/>
      <c r="I551" s="496"/>
      <c r="J551" s="497"/>
      <c r="K551" s="498"/>
    </row>
    <row r="552" spans="1:11" x14ac:dyDescent="0.25">
      <c r="A552" s="491"/>
      <c r="B552" s="554" t="s">
        <v>52</v>
      </c>
      <c r="C552" s="524">
        <f>+C553</f>
        <v>877</v>
      </c>
      <c r="D552" s="524">
        <f>+D553</f>
        <v>876199.86</v>
      </c>
      <c r="E552" s="501"/>
      <c r="F552" s="544"/>
      <c r="G552" s="471"/>
      <c r="I552" s="496"/>
      <c r="J552" s="497"/>
      <c r="K552" s="498"/>
    </row>
    <row r="553" spans="1:11" x14ac:dyDescent="0.25">
      <c r="A553" s="491">
        <v>42174</v>
      </c>
      <c r="B553" s="522" t="s">
        <v>244</v>
      </c>
      <c r="C553" s="535">
        <v>877</v>
      </c>
      <c r="D553" s="505">
        <v>876199.86</v>
      </c>
      <c r="E553" s="501"/>
      <c r="F553" s="544">
        <v>4232</v>
      </c>
      <c r="G553" s="471"/>
      <c r="I553" s="496"/>
      <c r="J553" s="497"/>
      <c r="K553" s="498"/>
    </row>
    <row r="554" spans="1:11" x14ac:dyDescent="0.25">
      <c r="A554" s="491"/>
      <c r="B554" s="533"/>
      <c r="C554" s="535"/>
      <c r="D554" s="573"/>
      <c r="E554" s="544"/>
      <c r="F554" s="544"/>
      <c r="I554" s="496"/>
      <c r="J554" s="497"/>
      <c r="K554" s="498"/>
    </row>
    <row r="555" spans="1:11" x14ac:dyDescent="0.25">
      <c r="A555" s="491"/>
      <c r="B555" s="555" t="s">
        <v>55</v>
      </c>
      <c r="C555" s="493">
        <f>+C552+C532+C517+C514+C506+C446+C443+C397</f>
        <v>342801.09033999994</v>
      </c>
      <c r="D555" s="493">
        <f>+D552+D532+D517+D514+D506+D446+D443+D397</f>
        <v>342800290.19999999</v>
      </c>
      <c r="E555" s="556"/>
      <c r="F555" s="494"/>
      <c r="I555" s="496"/>
      <c r="J555" s="497"/>
      <c r="K555" s="498"/>
    </row>
    <row r="556" spans="1:11" ht="16.5" thickBot="1" x14ac:dyDescent="0.3">
      <c r="A556" s="557"/>
      <c r="B556" s="558"/>
      <c r="C556" s="559"/>
      <c r="D556" s="559"/>
      <c r="E556" s="560"/>
      <c r="F556" s="560"/>
      <c r="I556" s="496"/>
      <c r="J556" s="497"/>
      <c r="K556" s="498"/>
    </row>
    <row r="557" spans="1:11" ht="16.5" thickBot="1" x14ac:dyDescent="0.3">
      <c r="I557" s="575"/>
      <c r="J557" s="576"/>
      <c r="K557" s="577"/>
    </row>
    <row r="558" spans="1:11" ht="16.5" thickBot="1" x14ac:dyDescent="0.3">
      <c r="A558" s="578"/>
      <c r="B558" s="579"/>
      <c r="C558" s="580"/>
      <c r="D558" s="580"/>
      <c r="E558" s="581"/>
      <c r="F558" s="581"/>
      <c r="I558" s="582">
        <f>SUM(I7:I556)</f>
        <v>42408777.269999996</v>
      </c>
      <c r="J558" s="583">
        <f>SUM(J7:J556)</f>
        <v>122415580.60000002</v>
      </c>
      <c r="K558" s="490">
        <f>SUM(K7:K556)</f>
        <v>0</v>
      </c>
    </row>
    <row r="559" spans="1:11" x14ac:dyDescent="0.25">
      <c r="A559" s="584"/>
      <c r="B559" s="585"/>
      <c r="C559" s="586"/>
      <c r="D559" s="480"/>
      <c r="E559" s="587"/>
      <c r="F559" s="588"/>
      <c r="G559" s="589"/>
      <c r="H559" s="470"/>
    </row>
    <row r="560" spans="1:11" ht="16.5" thickBot="1" x14ac:dyDescent="0.3">
      <c r="A560" s="584"/>
      <c r="B560" s="484" t="s">
        <v>56</v>
      </c>
      <c r="C560" s="485" t="s">
        <v>3</v>
      </c>
      <c r="D560" s="485" t="s">
        <v>4</v>
      </c>
      <c r="E560" s="587"/>
      <c r="F560" s="588"/>
      <c r="G560" s="589"/>
      <c r="H560" s="470"/>
    </row>
    <row r="561" spans="1:14" x14ac:dyDescent="0.25">
      <c r="A561" s="584"/>
      <c r="B561" s="590"/>
      <c r="C561" s="591"/>
      <c r="D561" s="592"/>
      <c r="E561" s="587"/>
      <c r="F561" s="588"/>
      <c r="G561" s="589"/>
      <c r="H561" s="470"/>
    </row>
    <row r="562" spans="1:14" x14ac:dyDescent="0.25">
      <c r="A562" s="593"/>
      <c r="B562" s="594" t="s">
        <v>57</v>
      </c>
      <c r="C562" s="595">
        <f>+C391</f>
        <v>326829.80862999998</v>
      </c>
      <c r="D562" s="541">
        <f>+D391</f>
        <v>322636678.73000002</v>
      </c>
      <c r="E562" s="587"/>
      <c r="F562" s="588"/>
      <c r="G562" s="589" t="s">
        <v>61</v>
      </c>
      <c r="H562" s="470">
        <f>+'[1]Vstupni Seznam'!$M$1</f>
        <v>951693271.66000009</v>
      </c>
      <c r="I562" s="596"/>
    </row>
    <row r="563" spans="1:14" x14ac:dyDescent="0.25">
      <c r="A563" s="593"/>
      <c r="B563" s="594" t="s">
        <v>58</v>
      </c>
      <c r="C563" s="595">
        <f>+C555</f>
        <v>342801.09033999994</v>
      </c>
      <c r="D563" s="595">
        <f>+D555</f>
        <v>342800290.19999999</v>
      </c>
      <c r="E563" s="587"/>
      <c r="F563" s="588"/>
      <c r="G563" s="589" t="s">
        <v>62</v>
      </c>
      <c r="H563" s="470">
        <f>27388800*11+27388280</f>
        <v>328665080</v>
      </c>
    </row>
    <row r="564" spans="1:14" x14ac:dyDescent="0.25">
      <c r="A564" s="593"/>
      <c r="B564" s="594"/>
      <c r="C564" s="595"/>
      <c r="D564" s="541"/>
      <c r="E564" s="587"/>
      <c r="F564" s="588"/>
      <c r="G564" s="589" t="s">
        <v>64</v>
      </c>
      <c r="H564" s="470">
        <f>+D50+D51+D54+D53+D55+D56+D57+D58+D59+D60+D61+D62+D63+D65+D66+D52+D550+D430+D478+D424+D45+D549+D46+D528+D375+D371+D356+D529+D548+D522+D64</f>
        <v>42408777.270000003</v>
      </c>
    </row>
    <row r="565" spans="1:14" x14ac:dyDescent="0.25">
      <c r="A565" s="593"/>
      <c r="B565" s="597" t="s">
        <v>59</v>
      </c>
      <c r="C565" s="598">
        <f>+C562+C563</f>
        <v>669630.89896999998</v>
      </c>
      <c r="D565" s="493">
        <f>SUM(D562:D563)</f>
        <v>665436968.93000007</v>
      </c>
      <c r="E565" s="587"/>
      <c r="F565" s="588"/>
      <c r="G565" s="471" t="s">
        <v>63</v>
      </c>
      <c r="H565" s="470">
        <f>+H562-H563+H564-H561</f>
        <v>665436968.93000007</v>
      </c>
    </row>
    <row r="566" spans="1:14" ht="16.5" thickBot="1" x14ac:dyDescent="0.3">
      <c r="A566" s="593"/>
      <c r="B566" s="599"/>
      <c r="C566" s="600"/>
      <c r="D566" s="600"/>
      <c r="E566" s="601"/>
      <c r="F566" s="564"/>
      <c r="G566" s="471"/>
      <c r="H566" s="470">
        <f>+H565-D565</f>
        <v>0</v>
      </c>
      <c r="I566" s="596"/>
      <c r="K566" s="602"/>
    </row>
    <row r="567" spans="1:14" x14ac:dyDescent="0.25">
      <c r="B567" s="471">
        <f>5142.5+302.5</f>
        <v>5445</v>
      </c>
      <c r="C567" s="603"/>
      <c r="D567" s="604"/>
      <c r="E567" s="478"/>
      <c r="F567" s="574"/>
      <c r="H567" s="470">
        <v>0</v>
      </c>
      <c r="I567" s="605"/>
    </row>
    <row r="568" spans="1:14" ht="16.5" thickBot="1" x14ac:dyDescent="0.3">
      <c r="B568" s="606">
        <f>36912917.42-36907772.42</f>
        <v>5145</v>
      </c>
      <c r="C568" s="607"/>
      <c r="D568" s="607"/>
      <c r="E568" s="608"/>
      <c r="F568" s="608"/>
      <c r="H568" s="470">
        <f>+H566-H567</f>
        <v>0</v>
      </c>
      <c r="I568" s="471" t="s">
        <v>672</v>
      </c>
    </row>
    <row r="569" spans="1:14" ht="16.5" thickBot="1" x14ac:dyDescent="0.3">
      <c r="B569" s="609" t="s">
        <v>79</v>
      </c>
      <c r="C569" s="610" t="s">
        <v>80</v>
      </c>
      <c r="D569" s="610" t="s">
        <v>80</v>
      </c>
      <c r="E569" s="610" t="s">
        <v>82</v>
      </c>
      <c r="F569" s="610" t="s">
        <v>81</v>
      </c>
      <c r="G569" s="611" t="s">
        <v>83</v>
      </c>
      <c r="H569" s="612" t="s">
        <v>84</v>
      </c>
    </row>
    <row r="570" spans="1:14" s="620" customFormat="1" x14ac:dyDescent="0.25">
      <c r="A570" s="613"/>
      <c r="B570" s="412">
        <v>4111</v>
      </c>
      <c r="C570" s="614"/>
      <c r="D570" s="615"/>
      <c r="E570" s="616">
        <f t="shared" ref="E570:E582" si="3">SUMIF($F$7:$F$619,B570,$C$7:$C$619)</f>
        <v>0</v>
      </c>
      <c r="F570" s="616">
        <f t="shared" ref="F570:F582" si="4">SUMIF($F$7:$F$568,B570,$D$7:$D$568)</f>
        <v>0</v>
      </c>
      <c r="G570" s="617">
        <f>C570-E570*1000</f>
        <v>0</v>
      </c>
      <c r="H570" s="617">
        <f>+D570-F570</f>
        <v>0</v>
      </c>
      <c r="I570" s="618"/>
      <c r="J570" s="619"/>
      <c r="K570" s="619"/>
      <c r="L570" s="471"/>
      <c r="M570" s="471"/>
      <c r="N570" s="471"/>
    </row>
    <row r="571" spans="1:14" x14ac:dyDescent="0.25">
      <c r="B571" s="412">
        <v>4113</v>
      </c>
      <c r="C571" s="614">
        <v>6496416.3600000003</v>
      </c>
      <c r="D571" s="614">
        <v>5386021.3600000003</v>
      </c>
      <c r="E571" s="621">
        <f t="shared" si="3"/>
        <v>6496.4163599999993</v>
      </c>
      <c r="F571" s="616">
        <f t="shared" si="4"/>
        <v>5386021.3600000003</v>
      </c>
      <c r="G571" s="617">
        <f t="shared" ref="G571:G582" si="5">C571-E571*1000</f>
        <v>0</v>
      </c>
      <c r="H571" s="617">
        <f t="shared" ref="H571:H582" si="6">+D571-F571</f>
        <v>0</v>
      </c>
      <c r="I571" s="618"/>
      <c r="J571" s="619"/>
      <c r="K571" s="619"/>
    </row>
    <row r="572" spans="1:14" x14ac:dyDescent="0.25">
      <c r="B572" s="412">
        <v>4116</v>
      </c>
      <c r="C572" s="614">
        <v>185014436.19</v>
      </c>
      <c r="D572" s="614">
        <v>181908683.19</v>
      </c>
      <c r="E572" s="621">
        <f t="shared" si="3"/>
        <v>185014.43619000004</v>
      </c>
      <c r="F572" s="616">
        <f t="shared" si="4"/>
        <v>181908683.18999997</v>
      </c>
      <c r="G572" s="617">
        <f t="shared" si="5"/>
        <v>0</v>
      </c>
      <c r="H572" s="617">
        <f t="shared" si="6"/>
        <v>0</v>
      </c>
      <c r="I572" s="618"/>
      <c r="J572" s="619"/>
      <c r="K572" s="619"/>
    </row>
    <row r="573" spans="1:14" x14ac:dyDescent="0.25">
      <c r="B573" s="412">
        <v>4119</v>
      </c>
      <c r="C573" s="614"/>
      <c r="D573" s="614"/>
      <c r="E573" s="621">
        <f t="shared" si="3"/>
        <v>0</v>
      </c>
      <c r="F573" s="616">
        <f t="shared" si="4"/>
        <v>0</v>
      </c>
      <c r="G573" s="617">
        <f>C573-E573*1000</f>
        <v>0</v>
      </c>
      <c r="H573" s="617">
        <f t="shared" si="6"/>
        <v>0</v>
      </c>
      <c r="I573" s="618"/>
      <c r="J573" s="619"/>
      <c r="K573" s="619"/>
    </row>
    <row r="574" spans="1:14" x14ac:dyDescent="0.25">
      <c r="B574" s="412">
        <v>4122</v>
      </c>
      <c r="C574" s="614">
        <v>129571747.73</v>
      </c>
      <c r="D574" s="614">
        <v>129571747.73</v>
      </c>
      <c r="E574" s="621">
        <f t="shared" si="3"/>
        <v>129571.74773000002</v>
      </c>
      <c r="F574" s="616">
        <f t="shared" si="4"/>
        <v>129571747.73</v>
      </c>
      <c r="G574" s="617">
        <f t="shared" si="5"/>
        <v>0</v>
      </c>
      <c r="H574" s="617">
        <f t="shared" si="6"/>
        <v>0</v>
      </c>
      <c r="I574" s="618"/>
      <c r="J574" s="619"/>
      <c r="K574" s="619"/>
    </row>
    <row r="575" spans="1:14" x14ac:dyDescent="0.25">
      <c r="B575" s="412">
        <v>4123</v>
      </c>
      <c r="C575" s="614">
        <v>3370208.35</v>
      </c>
      <c r="D575" s="614">
        <v>3370208.35</v>
      </c>
      <c r="E575" s="621">
        <f t="shared" si="3"/>
        <v>3370.2083499999999</v>
      </c>
      <c r="F575" s="616">
        <f t="shared" si="4"/>
        <v>3370208.3499999996</v>
      </c>
      <c r="G575" s="617">
        <f t="shared" si="5"/>
        <v>0</v>
      </c>
      <c r="H575" s="617">
        <f t="shared" si="6"/>
        <v>0</v>
      </c>
      <c r="I575" s="618"/>
      <c r="J575" s="619"/>
      <c r="K575" s="619"/>
    </row>
    <row r="576" spans="1:14" x14ac:dyDescent="0.25">
      <c r="B576" s="412">
        <v>4151</v>
      </c>
      <c r="C576" s="614"/>
      <c r="D576" s="614"/>
      <c r="E576" s="621">
        <f t="shared" si="3"/>
        <v>0</v>
      </c>
      <c r="F576" s="616">
        <f t="shared" si="4"/>
        <v>0</v>
      </c>
      <c r="G576" s="617">
        <f t="shared" si="5"/>
        <v>0</v>
      </c>
      <c r="H576" s="617">
        <f t="shared" si="6"/>
        <v>0</v>
      </c>
      <c r="I576" s="618"/>
      <c r="J576" s="619"/>
      <c r="K576" s="619"/>
    </row>
    <row r="577" spans="2:11" x14ac:dyDescent="0.25">
      <c r="B577" s="412">
        <v>4152</v>
      </c>
      <c r="C577" s="614">
        <v>2377000</v>
      </c>
      <c r="D577" s="615">
        <v>2400018.1</v>
      </c>
      <c r="E577" s="621">
        <f t="shared" si="3"/>
        <v>2377</v>
      </c>
      <c r="F577" s="616">
        <f t="shared" si="4"/>
        <v>2400018.1000000006</v>
      </c>
      <c r="G577" s="617">
        <f t="shared" si="5"/>
        <v>0</v>
      </c>
      <c r="H577" s="617">
        <f t="shared" si="6"/>
        <v>0</v>
      </c>
      <c r="I577" s="618"/>
      <c r="J577" s="619"/>
      <c r="K577" s="619"/>
    </row>
    <row r="578" spans="2:11" x14ac:dyDescent="0.25">
      <c r="B578" s="412">
        <v>4213</v>
      </c>
      <c r="C578" s="614">
        <v>4158332.46</v>
      </c>
      <c r="D578" s="614">
        <v>4158332.46</v>
      </c>
      <c r="E578" s="621">
        <f t="shared" si="3"/>
        <v>4158.3324600000005</v>
      </c>
      <c r="F578" s="616">
        <f t="shared" si="4"/>
        <v>4158332.4600000004</v>
      </c>
      <c r="G578" s="617">
        <f t="shared" si="5"/>
        <v>0</v>
      </c>
      <c r="H578" s="617">
        <f t="shared" si="6"/>
        <v>0</v>
      </c>
      <c r="I578" s="618"/>
      <c r="J578" s="619"/>
      <c r="K578" s="619"/>
    </row>
    <row r="579" spans="2:11" x14ac:dyDescent="0.25">
      <c r="B579" s="412">
        <v>4216</v>
      </c>
      <c r="C579" s="614">
        <v>122926976.08</v>
      </c>
      <c r="D579" s="614">
        <v>122926976.08</v>
      </c>
      <c r="E579" s="621">
        <f t="shared" si="3"/>
        <v>122926.97607999996</v>
      </c>
      <c r="F579" s="616">
        <f t="shared" si="4"/>
        <v>122926976.08000001</v>
      </c>
      <c r="G579" s="617">
        <f t="shared" si="5"/>
        <v>0</v>
      </c>
      <c r="H579" s="617">
        <f t="shared" si="6"/>
        <v>0</v>
      </c>
      <c r="I579" s="618"/>
      <c r="J579" s="619"/>
      <c r="K579" s="619"/>
    </row>
    <row r="580" spans="2:11" x14ac:dyDescent="0.25">
      <c r="B580" s="412">
        <v>4222</v>
      </c>
      <c r="C580" s="614">
        <v>6388955.7999999998</v>
      </c>
      <c r="D580" s="614">
        <v>6388955.7999999998</v>
      </c>
      <c r="E580" s="621">
        <f t="shared" si="3"/>
        <v>6388.9557999999997</v>
      </c>
      <c r="F580" s="616">
        <f t="shared" si="4"/>
        <v>6388955.7999999998</v>
      </c>
      <c r="G580" s="617">
        <f t="shared" si="5"/>
        <v>0</v>
      </c>
      <c r="H580" s="617">
        <f t="shared" si="6"/>
        <v>0</v>
      </c>
      <c r="I580" s="618"/>
      <c r="J580" s="619"/>
      <c r="K580" s="619"/>
    </row>
    <row r="581" spans="2:11" x14ac:dyDescent="0.25">
      <c r="B581" s="412">
        <v>4223</v>
      </c>
      <c r="C581" s="614">
        <v>208449826</v>
      </c>
      <c r="D581" s="614">
        <v>208449826</v>
      </c>
      <c r="E581" s="621">
        <f t="shared" si="3"/>
        <v>208449.826</v>
      </c>
      <c r="F581" s="616">
        <f t="shared" si="4"/>
        <v>208449826</v>
      </c>
      <c r="G581" s="617">
        <f t="shared" si="5"/>
        <v>0</v>
      </c>
      <c r="H581" s="617">
        <f t="shared" si="6"/>
        <v>0</v>
      </c>
      <c r="I581" s="618"/>
      <c r="J581" s="619"/>
      <c r="K581" s="619"/>
    </row>
    <row r="582" spans="2:11" x14ac:dyDescent="0.25">
      <c r="B582" s="412">
        <v>4232</v>
      </c>
      <c r="C582" s="614">
        <v>877000</v>
      </c>
      <c r="D582" s="614">
        <v>876199.86</v>
      </c>
      <c r="E582" s="621">
        <f t="shared" si="3"/>
        <v>877</v>
      </c>
      <c r="F582" s="616">
        <f t="shared" si="4"/>
        <v>876199.86</v>
      </c>
      <c r="G582" s="617">
        <f t="shared" si="5"/>
        <v>0</v>
      </c>
      <c r="H582" s="617">
        <f t="shared" si="6"/>
        <v>0</v>
      </c>
      <c r="I582" s="618"/>
      <c r="J582" s="619"/>
      <c r="K582" s="619"/>
    </row>
    <row r="583" spans="2:11" x14ac:dyDescent="0.25">
      <c r="B583" s="622"/>
      <c r="C583" s="623">
        <f t="shared" ref="C583:F583" si="7">+SUM(C570:C582)</f>
        <v>669630898.97000003</v>
      </c>
      <c r="D583" s="623">
        <f t="shared" si="7"/>
        <v>665436968.93000007</v>
      </c>
      <c r="E583" s="623">
        <f t="shared" si="7"/>
        <v>669630.89896999998</v>
      </c>
      <c r="F583" s="623">
        <f t="shared" si="7"/>
        <v>665436968.92999995</v>
      </c>
      <c r="G583" s="617"/>
      <c r="H583" s="617"/>
      <c r="I583" s="618"/>
      <c r="J583" s="619"/>
      <c r="K583" s="619"/>
    </row>
    <row r="584" spans="2:11" ht="16.5" thickBot="1" x14ac:dyDescent="0.3">
      <c r="B584" s="624"/>
      <c r="C584" s="625">
        <f>+C565*1000-C583</f>
        <v>0</v>
      </c>
      <c r="D584" s="625">
        <f>+D565-D583</f>
        <v>0</v>
      </c>
      <c r="E584" s="626"/>
      <c r="F584" s="626">
        <f>+H565-F583</f>
        <v>0</v>
      </c>
      <c r="G584" s="627"/>
      <c r="H584" s="628"/>
      <c r="I584" s="618"/>
      <c r="J584" s="619"/>
      <c r="K584" s="619"/>
    </row>
    <row r="585" spans="2:11" x14ac:dyDescent="0.25">
      <c r="C585" s="574">
        <f>+E572*1000</f>
        <v>185014436.19000003</v>
      </c>
      <c r="I585" s="618"/>
      <c r="J585" s="619"/>
      <c r="K585" s="619"/>
    </row>
    <row r="586" spans="2:11" x14ac:dyDescent="0.25">
      <c r="B586" s="629"/>
      <c r="C586" s="630" t="s">
        <v>543</v>
      </c>
      <c r="D586" s="631"/>
      <c r="E586" s="631"/>
      <c r="F586" s="631"/>
      <c r="G586" s="632"/>
      <c r="H586" s="629"/>
      <c r="I586" s="618"/>
      <c r="J586" s="619"/>
      <c r="K586" s="619"/>
    </row>
    <row r="587" spans="2:11" x14ac:dyDescent="0.25">
      <c r="B587" s="629"/>
      <c r="C587" s="633"/>
      <c r="D587" s="631" t="s">
        <v>542</v>
      </c>
      <c r="E587" s="631"/>
      <c r="F587" s="631"/>
      <c r="G587" s="629"/>
      <c r="H587" s="632"/>
      <c r="I587" s="618"/>
      <c r="J587" s="619"/>
      <c r="K587" s="619"/>
    </row>
    <row r="588" spans="2:11" x14ac:dyDescent="0.25">
      <c r="B588" s="629"/>
      <c r="C588" s="634"/>
      <c r="D588" s="631" t="s">
        <v>677</v>
      </c>
      <c r="E588" s="631"/>
      <c r="F588" s="631"/>
      <c r="G588" s="632"/>
      <c r="I588" s="618"/>
      <c r="J588" s="619"/>
      <c r="K588" s="619"/>
    </row>
    <row r="589" spans="2:11" x14ac:dyDescent="0.25">
      <c r="B589" s="629"/>
      <c r="C589" s="462"/>
      <c r="D589" s="631" t="s">
        <v>680</v>
      </c>
      <c r="E589" s="631"/>
      <c r="F589" s="631"/>
      <c r="G589" s="632"/>
      <c r="I589" s="618"/>
      <c r="J589" s="619"/>
      <c r="K589" s="619"/>
    </row>
    <row r="590" spans="2:11" x14ac:dyDescent="0.25">
      <c r="B590" s="629"/>
      <c r="C590" s="630"/>
      <c r="D590" s="631" t="s">
        <v>678</v>
      </c>
      <c r="E590" s="631"/>
      <c r="F590" s="631"/>
      <c r="G590" s="632"/>
      <c r="I590" s="618"/>
      <c r="J590" s="619"/>
      <c r="K590" s="619"/>
    </row>
    <row r="591" spans="2:11" x14ac:dyDescent="0.25">
      <c r="B591" s="629"/>
      <c r="C591" s="635"/>
      <c r="D591" s="631" t="s">
        <v>679</v>
      </c>
      <c r="E591" s="631"/>
      <c r="F591" s="631"/>
      <c r="G591" s="632"/>
      <c r="H591" s="629"/>
      <c r="I591" s="618"/>
      <c r="J591" s="619"/>
      <c r="K591" s="619"/>
    </row>
    <row r="592" spans="2:11" x14ac:dyDescent="0.25">
      <c r="B592" s="629"/>
      <c r="C592" s="630"/>
      <c r="D592" s="631"/>
      <c r="E592" s="631"/>
      <c r="F592" s="631"/>
      <c r="G592" s="632"/>
      <c r="H592" s="629"/>
      <c r="I592" s="618"/>
      <c r="J592" s="619"/>
      <c r="K592" s="619"/>
    </row>
    <row r="593" spans="2:11" x14ac:dyDescent="0.25">
      <c r="B593" s="629"/>
      <c r="C593" s="630"/>
      <c r="D593" s="631"/>
      <c r="E593" s="631"/>
      <c r="F593" s="631"/>
      <c r="G593" s="629"/>
      <c r="H593" s="629"/>
      <c r="I593" s="618"/>
      <c r="J593" s="619"/>
      <c r="K593" s="619"/>
    </row>
    <row r="594" spans="2:11" x14ac:dyDescent="0.25">
      <c r="B594" s="629"/>
      <c r="C594" s="630"/>
      <c r="D594" s="631"/>
      <c r="E594" s="631"/>
      <c r="F594" s="631"/>
      <c r="G594" s="632"/>
      <c r="H594" s="629"/>
      <c r="I594" s="618"/>
      <c r="J594" s="619"/>
      <c r="K594" s="619"/>
    </row>
    <row r="595" spans="2:11" x14ac:dyDescent="0.25">
      <c r="B595" s="629"/>
      <c r="C595" s="630"/>
      <c r="D595" s="631"/>
      <c r="E595" s="636"/>
      <c r="F595" s="631"/>
      <c r="G595" s="632"/>
      <c r="H595" s="629"/>
      <c r="I595" s="618"/>
      <c r="J595" s="619"/>
      <c r="K595" s="619"/>
    </row>
    <row r="596" spans="2:11" x14ac:dyDescent="0.25">
      <c r="B596" s="629"/>
      <c r="C596" s="630"/>
      <c r="D596" s="631"/>
      <c r="E596" s="636"/>
      <c r="F596" s="631"/>
      <c r="G596" s="632"/>
      <c r="H596" s="629"/>
      <c r="I596" s="618"/>
      <c r="J596" s="619"/>
      <c r="K596" s="619"/>
    </row>
    <row r="597" spans="2:11" x14ac:dyDescent="0.25">
      <c r="B597" s="629"/>
      <c r="C597" s="630"/>
      <c r="D597" s="630"/>
      <c r="E597" s="636"/>
      <c r="F597" s="631"/>
      <c r="G597" s="632"/>
      <c r="H597" s="629"/>
      <c r="I597" s="618"/>
      <c r="J597" s="619"/>
      <c r="K597" s="619"/>
    </row>
    <row r="598" spans="2:11" x14ac:dyDescent="0.25">
      <c r="B598" s="629"/>
      <c r="C598" s="630"/>
      <c r="D598" s="630"/>
      <c r="E598" s="636"/>
      <c r="F598" s="631"/>
      <c r="G598" s="632"/>
      <c r="H598" s="629"/>
      <c r="I598" s="618"/>
      <c r="J598" s="619"/>
      <c r="K598" s="619"/>
    </row>
    <row r="599" spans="2:11" x14ac:dyDescent="0.25">
      <c r="B599" s="629"/>
      <c r="C599" s="630"/>
      <c r="D599" s="630"/>
      <c r="E599" s="636"/>
      <c r="F599" s="631"/>
      <c r="G599" s="632"/>
      <c r="H599" s="629"/>
      <c r="I599" s="618"/>
      <c r="J599" s="619"/>
      <c r="K599" s="619"/>
    </row>
    <row r="600" spans="2:11" x14ac:dyDescent="0.25">
      <c r="B600" s="629"/>
      <c r="C600" s="630"/>
      <c r="D600" s="630"/>
      <c r="E600" s="636"/>
      <c r="F600" s="631"/>
      <c r="G600" s="632"/>
      <c r="H600" s="629"/>
      <c r="I600" s="618"/>
      <c r="J600" s="619"/>
      <c r="K600" s="619"/>
    </row>
    <row r="601" spans="2:11" x14ac:dyDescent="0.25">
      <c r="B601" s="629"/>
      <c r="C601" s="630"/>
      <c r="D601" s="630"/>
      <c r="E601" s="636"/>
      <c r="F601" s="631"/>
      <c r="G601" s="632"/>
      <c r="H601" s="629"/>
      <c r="I601" s="618"/>
      <c r="J601" s="619"/>
      <c r="K601" s="619"/>
    </row>
    <row r="602" spans="2:11" x14ac:dyDescent="0.25">
      <c r="B602" s="629"/>
      <c r="C602" s="630"/>
      <c r="D602" s="630"/>
      <c r="E602" s="636"/>
      <c r="F602" s="630"/>
      <c r="G602" s="632"/>
      <c r="H602" s="629"/>
      <c r="I602" s="618"/>
      <c r="J602" s="619"/>
      <c r="K602" s="619"/>
    </row>
    <row r="603" spans="2:11" x14ac:dyDescent="0.25">
      <c r="B603" s="629"/>
      <c r="C603" s="630"/>
      <c r="D603" s="630"/>
      <c r="E603" s="636"/>
      <c r="F603" s="631"/>
      <c r="G603" s="632"/>
      <c r="H603" s="629"/>
      <c r="I603" s="618"/>
      <c r="J603" s="619"/>
      <c r="K603" s="619"/>
    </row>
    <row r="604" spans="2:11" x14ac:dyDescent="0.25">
      <c r="B604" s="629"/>
      <c r="C604" s="630"/>
      <c r="D604" s="630"/>
      <c r="E604" s="636"/>
      <c r="F604" s="631"/>
      <c r="G604" s="632"/>
      <c r="H604" s="629"/>
      <c r="I604" s="574"/>
      <c r="J604" s="619"/>
      <c r="K604" s="619"/>
    </row>
    <row r="605" spans="2:11" x14ac:dyDescent="0.25">
      <c r="B605" s="629"/>
      <c r="C605" s="630"/>
      <c r="D605" s="630"/>
      <c r="E605" s="636"/>
      <c r="F605" s="631"/>
      <c r="G605" s="632"/>
      <c r="H605" s="629"/>
      <c r="I605" s="620"/>
      <c r="J605" s="619"/>
      <c r="K605" s="619"/>
    </row>
    <row r="606" spans="2:11" x14ac:dyDescent="0.25">
      <c r="B606" s="629"/>
      <c r="C606" s="630"/>
      <c r="D606" s="630"/>
      <c r="E606" s="636"/>
      <c r="F606" s="630"/>
      <c r="G606" s="629"/>
      <c r="H606" s="629"/>
      <c r="J606" s="619"/>
      <c r="K606" s="619"/>
    </row>
    <row r="607" spans="2:11" x14ac:dyDescent="0.25">
      <c r="B607" s="629"/>
      <c r="C607" s="630"/>
      <c r="D607" s="630"/>
      <c r="E607" s="636"/>
      <c r="F607" s="631"/>
      <c r="G607" s="629"/>
      <c r="H607" s="629"/>
      <c r="J607" s="619"/>
      <c r="K607" s="619"/>
    </row>
    <row r="608" spans="2:11" x14ac:dyDescent="0.25">
      <c r="B608" s="629"/>
      <c r="C608" s="630"/>
      <c r="D608" s="630"/>
      <c r="E608" s="636"/>
      <c r="F608" s="631"/>
      <c r="G608" s="632"/>
      <c r="H608" s="629"/>
      <c r="J608" s="619"/>
      <c r="K608" s="619"/>
    </row>
    <row r="609" spans="2:11" x14ac:dyDescent="0.25">
      <c r="B609" s="629"/>
      <c r="C609" s="630"/>
      <c r="D609" s="630"/>
      <c r="E609" s="636"/>
      <c r="F609" s="631"/>
      <c r="G609" s="632"/>
      <c r="H609" s="629"/>
      <c r="J609" s="619"/>
      <c r="K609" s="619"/>
    </row>
    <row r="610" spans="2:11" x14ac:dyDescent="0.25">
      <c r="B610" s="629"/>
      <c r="C610" s="630"/>
      <c r="D610" s="630"/>
      <c r="E610" s="636"/>
      <c r="F610" s="630"/>
      <c r="G610" s="632"/>
      <c r="H610" s="629"/>
      <c r="J610" s="619"/>
      <c r="K610" s="619"/>
    </row>
    <row r="611" spans="2:11" x14ac:dyDescent="0.25">
      <c r="B611" s="629"/>
      <c r="C611" s="630"/>
      <c r="D611" s="630"/>
      <c r="E611" s="636"/>
      <c r="F611" s="630"/>
      <c r="G611" s="632"/>
      <c r="H611" s="629"/>
      <c r="J611" s="619"/>
      <c r="K611" s="619"/>
    </row>
    <row r="612" spans="2:11" x14ac:dyDescent="0.25">
      <c r="B612" s="629"/>
      <c r="C612" s="630"/>
      <c r="D612" s="630"/>
      <c r="E612" s="631"/>
      <c r="F612" s="631"/>
      <c r="G612" s="632"/>
      <c r="H612" s="629"/>
      <c r="J612" s="619"/>
      <c r="K612" s="619"/>
    </row>
    <row r="613" spans="2:11" x14ac:dyDescent="0.25">
      <c r="B613" s="629"/>
      <c r="C613" s="630"/>
      <c r="D613" s="630"/>
      <c r="E613" s="630"/>
      <c r="F613" s="630"/>
      <c r="G613" s="632"/>
      <c r="H613" s="629"/>
      <c r="J613" s="619"/>
      <c r="K613" s="619"/>
    </row>
    <row r="614" spans="2:11" x14ac:dyDescent="0.25">
      <c r="B614" s="629"/>
      <c r="C614" s="630"/>
      <c r="D614" s="630"/>
      <c r="E614" s="630"/>
      <c r="F614" s="630"/>
      <c r="G614" s="629"/>
      <c r="H614" s="629"/>
      <c r="J614" s="619"/>
      <c r="K614" s="619"/>
    </row>
    <row r="615" spans="2:11" x14ac:dyDescent="0.25">
      <c r="B615" s="629"/>
      <c r="C615" s="630"/>
      <c r="D615" s="630"/>
      <c r="E615" s="630"/>
      <c r="F615" s="630"/>
      <c r="G615" s="629"/>
      <c r="H615" s="629"/>
      <c r="J615" s="619"/>
      <c r="K615" s="619"/>
    </row>
    <row r="616" spans="2:11" x14ac:dyDescent="0.25">
      <c r="B616" s="629"/>
      <c r="C616" s="630"/>
      <c r="D616" s="630"/>
      <c r="E616" s="630"/>
      <c r="F616" s="630"/>
      <c r="G616" s="632"/>
      <c r="H616" s="629"/>
      <c r="J616" s="619"/>
      <c r="K616" s="619"/>
    </row>
    <row r="617" spans="2:11" x14ac:dyDescent="0.25">
      <c r="B617" s="629"/>
      <c r="C617" s="630"/>
      <c r="D617" s="630"/>
      <c r="E617" s="630"/>
      <c r="F617" s="630"/>
      <c r="G617" s="629"/>
      <c r="H617" s="629"/>
      <c r="J617" s="619"/>
      <c r="K617" s="619"/>
    </row>
    <row r="618" spans="2:11" x14ac:dyDescent="0.25">
      <c r="B618" s="629"/>
      <c r="C618" s="630"/>
      <c r="D618" s="630"/>
      <c r="E618" s="630"/>
      <c r="F618" s="630"/>
      <c r="G618" s="629"/>
      <c r="H618" s="629"/>
      <c r="J618" s="619"/>
      <c r="K618" s="619"/>
    </row>
    <row r="619" spans="2:11" x14ac:dyDescent="0.25">
      <c r="J619" s="619"/>
      <c r="K619" s="619"/>
    </row>
    <row r="620" spans="2:11" x14ac:dyDescent="0.25">
      <c r="J620" s="619"/>
      <c r="K620" s="619"/>
    </row>
    <row r="621" spans="2:11" x14ac:dyDescent="0.25">
      <c r="J621" s="619"/>
      <c r="K621" s="619"/>
    </row>
    <row r="622" spans="2:11" x14ac:dyDescent="0.25">
      <c r="J622" s="619"/>
      <c r="K622" s="619"/>
    </row>
    <row r="623" spans="2:11" x14ac:dyDescent="0.25">
      <c r="J623" s="619"/>
      <c r="K623" s="619"/>
    </row>
    <row r="624" spans="2:11" x14ac:dyDescent="0.25">
      <c r="J624" s="619"/>
      <c r="K624" s="619"/>
    </row>
    <row r="625" spans="10:11" x14ac:dyDescent="0.25">
      <c r="J625" s="619"/>
      <c r="K625" s="619"/>
    </row>
    <row r="626" spans="10:11" x14ac:dyDescent="0.25">
      <c r="J626" s="619"/>
      <c r="K626" s="619"/>
    </row>
    <row r="627" spans="10:11" x14ac:dyDescent="0.25">
      <c r="J627" s="619"/>
      <c r="K627" s="619"/>
    </row>
    <row r="628" spans="10:11" x14ac:dyDescent="0.25">
      <c r="J628" s="619"/>
      <c r="K628" s="619"/>
    </row>
    <row r="629" spans="10:11" x14ac:dyDescent="0.25">
      <c r="J629" s="619"/>
      <c r="K629" s="619"/>
    </row>
    <row r="630" spans="10:11" x14ac:dyDescent="0.25">
      <c r="J630" s="619"/>
      <c r="K630" s="619"/>
    </row>
    <row r="631" spans="10:11" x14ac:dyDescent="0.25">
      <c r="J631" s="619"/>
      <c r="K631" s="619"/>
    </row>
    <row r="632" spans="10:11" x14ac:dyDescent="0.25">
      <c r="J632" s="619"/>
      <c r="K632" s="619"/>
    </row>
    <row r="633" spans="10:11" x14ac:dyDescent="0.25">
      <c r="J633" s="619"/>
      <c r="K633" s="619"/>
    </row>
    <row r="634" spans="10:11" x14ac:dyDescent="0.25">
      <c r="J634" s="619"/>
      <c r="K634" s="619"/>
    </row>
    <row r="635" spans="10:11" x14ac:dyDescent="0.25">
      <c r="J635" s="619"/>
      <c r="K635" s="619"/>
    </row>
    <row r="636" spans="10:11" x14ac:dyDescent="0.25">
      <c r="J636" s="619"/>
      <c r="K636" s="619"/>
    </row>
    <row r="637" spans="10:11" x14ac:dyDescent="0.25">
      <c r="J637" s="619"/>
      <c r="K637" s="619"/>
    </row>
    <row r="638" spans="10:11" x14ac:dyDescent="0.25">
      <c r="J638" s="619"/>
      <c r="K638" s="619"/>
    </row>
    <row r="639" spans="10:11" x14ac:dyDescent="0.25">
      <c r="J639" s="619"/>
      <c r="K639" s="619"/>
    </row>
    <row r="640" spans="10:11" x14ac:dyDescent="0.25">
      <c r="J640" s="619"/>
      <c r="K640" s="619"/>
    </row>
    <row r="641" spans="1:11" x14ac:dyDescent="0.25">
      <c r="J641" s="619"/>
      <c r="K641" s="619"/>
    </row>
    <row r="642" spans="1:11" x14ac:dyDescent="0.25">
      <c r="J642" s="619"/>
      <c r="K642" s="619"/>
    </row>
    <row r="643" spans="1:11" x14ac:dyDescent="0.25">
      <c r="J643" s="619"/>
      <c r="K643" s="619"/>
    </row>
    <row r="644" spans="1:11" x14ac:dyDescent="0.25">
      <c r="J644" s="619"/>
      <c r="K644" s="619"/>
    </row>
    <row r="645" spans="1:11" x14ac:dyDescent="0.25">
      <c r="J645" s="619"/>
      <c r="K645" s="619"/>
    </row>
    <row r="646" spans="1:11" x14ac:dyDescent="0.25">
      <c r="J646" s="619"/>
      <c r="K646" s="619"/>
    </row>
    <row r="647" spans="1:11" x14ac:dyDescent="0.25">
      <c r="J647" s="619"/>
      <c r="K647" s="619"/>
    </row>
    <row r="648" spans="1:11" x14ac:dyDescent="0.25">
      <c r="J648" s="619"/>
      <c r="K648" s="619"/>
    </row>
    <row r="649" spans="1:11" x14ac:dyDescent="0.25">
      <c r="J649" s="619"/>
      <c r="K649" s="619"/>
    </row>
    <row r="650" spans="1:11" x14ac:dyDescent="0.25">
      <c r="J650" s="619"/>
      <c r="K650" s="619"/>
    </row>
    <row r="651" spans="1:11" x14ac:dyDescent="0.25">
      <c r="J651" s="619"/>
      <c r="K651" s="619"/>
    </row>
    <row r="652" spans="1:11" x14ac:dyDescent="0.25">
      <c r="J652" s="619"/>
      <c r="K652" s="619"/>
    </row>
    <row r="653" spans="1:11" x14ac:dyDescent="0.25">
      <c r="J653" s="619"/>
      <c r="K653" s="619"/>
    </row>
    <row r="654" spans="1:11" x14ac:dyDescent="0.25">
      <c r="J654" s="619"/>
      <c r="K654" s="619"/>
    </row>
    <row r="655" spans="1:11" x14ac:dyDescent="0.25">
      <c r="A655" s="637"/>
      <c r="B655" s="638"/>
      <c r="C655" s="639"/>
      <c r="D655" s="640"/>
      <c r="E655" s="641"/>
      <c r="F655" s="642"/>
      <c r="G655" s="643"/>
      <c r="H655" s="194"/>
      <c r="J655" s="619"/>
      <c r="K655" s="619"/>
    </row>
    <row r="656" spans="1:11" x14ac:dyDescent="0.25">
      <c r="A656" s="637"/>
      <c r="B656" s="638"/>
      <c r="C656" s="639"/>
      <c r="D656" s="640"/>
      <c r="E656" s="641"/>
      <c r="F656" s="642"/>
      <c r="G656" s="643"/>
      <c r="H656" s="194"/>
      <c r="J656" s="619"/>
      <c r="K656" s="619"/>
    </row>
    <row r="657" spans="1:11" x14ac:dyDescent="0.25">
      <c r="A657" s="637"/>
      <c r="B657" s="638"/>
      <c r="C657" s="639"/>
      <c r="D657" s="640"/>
      <c r="E657" s="641"/>
      <c r="F657" s="642"/>
      <c r="G657" s="643"/>
      <c r="H657" s="194"/>
      <c r="J657" s="619"/>
      <c r="K657" s="619"/>
    </row>
    <row r="658" spans="1:11" x14ac:dyDescent="0.25">
      <c r="A658" s="637"/>
      <c r="B658" s="638"/>
      <c r="C658" s="639"/>
      <c r="D658" s="640"/>
      <c r="E658" s="641"/>
      <c r="F658" s="642"/>
      <c r="G658" s="643"/>
      <c r="H658" s="194"/>
      <c r="J658" s="619"/>
      <c r="K658" s="619"/>
    </row>
    <row r="659" spans="1:11" x14ac:dyDescent="0.25">
      <c r="A659" s="637"/>
      <c r="B659" s="638"/>
      <c r="C659" s="639"/>
      <c r="D659" s="640"/>
      <c r="E659" s="641"/>
      <c r="F659" s="642"/>
      <c r="G659" s="643"/>
      <c r="H659" s="194"/>
      <c r="J659" s="619"/>
      <c r="K659" s="619"/>
    </row>
    <row r="660" spans="1:11" x14ac:dyDescent="0.25">
      <c r="A660" s="637"/>
      <c r="B660" s="638"/>
      <c r="C660" s="639"/>
      <c r="D660" s="640"/>
      <c r="E660" s="641"/>
      <c r="F660" s="642"/>
      <c r="G660" s="643"/>
      <c r="H660" s="194"/>
      <c r="J660" s="619"/>
      <c r="K660" s="619"/>
    </row>
    <row r="661" spans="1:11" x14ac:dyDescent="0.25">
      <c r="A661" s="637"/>
      <c r="B661" s="638"/>
      <c r="C661" s="639"/>
      <c r="D661" s="640"/>
      <c r="E661" s="641"/>
      <c r="F661" s="642"/>
      <c r="G661" s="643"/>
      <c r="H661" s="194"/>
      <c r="J661" s="619"/>
      <c r="K661" s="619"/>
    </row>
    <row r="662" spans="1:11" x14ac:dyDescent="0.25">
      <c r="A662" s="637"/>
      <c r="B662" s="638"/>
      <c r="C662" s="639"/>
      <c r="D662" s="640"/>
      <c r="E662" s="641"/>
      <c r="F662" s="642"/>
      <c r="G662" s="643"/>
      <c r="H662" s="194"/>
      <c r="J662" s="619"/>
      <c r="K662" s="619"/>
    </row>
    <row r="663" spans="1:11" x14ac:dyDescent="0.25">
      <c r="A663" s="637"/>
      <c r="B663" s="638"/>
      <c r="C663" s="639"/>
      <c r="D663" s="640"/>
      <c r="E663" s="641"/>
      <c r="F663" s="642"/>
      <c r="G663" s="643"/>
      <c r="H663" s="194"/>
      <c r="J663" s="619"/>
      <c r="K663" s="619"/>
    </row>
    <row r="664" spans="1:11" x14ac:dyDescent="0.25">
      <c r="A664" s="637"/>
      <c r="B664" s="638"/>
      <c r="C664" s="639"/>
      <c r="D664" s="640"/>
      <c r="E664" s="641"/>
      <c r="F664" s="642"/>
      <c r="G664" s="643"/>
      <c r="H664" s="194"/>
      <c r="J664" s="619"/>
      <c r="K664" s="619"/>
    </row>
    <row r="665" spans="1:11" x14ac:dyDescent="0.25">
      <c r="A665" s="637"/>
      <c r="B665" s="638"/>
      <c r="C665" s="639"/>
      <c r="D665" s="640"/>
      <c r="E665" s="641"/>
      <c r="F665" s="642"/>
      <c r="G665" s="643"/>
      <c r="H665" s="194"/>
      <c r="J665" s="619"/>
      <c r="K665" s="619"/>
    </row>
    <row r="666" spans="1:11" x14ac:dyDescent="0.25">
      <c r="A666" s="637"/>
      <c r="B666" s="638"/>
      <c r="C666" s="639"/>
      <c r="D666" s="640"/>
      <c r="E666" s="641"/>
      <c r="F666" s="642"/>
      <c r="G666" s="643"/>
      <c r="H666" s="194"/>
      <c r="J666" s="619"/>
      <c r="K666" s="619"/>
    </row>
    <row r="667" spans="1:11" x14ac:dyDescent="0.25">
      <c r="A667" s="637"/>
      <c r="B667" s="638"/>
      <c r="C667" s="639"/>
      <c r="D667" s="640"/>
      <c r="E667" s="641"/>
      <c r="F667" s="642"/>
      <c r="G667" s="643"/>
      <c r="H667" s="194"/>
      <c r="J667" s="619"/>
      <c r="K667" s="619"/>
    </row>
    <row r="668" spans="1:11" x14ac:dyDescent="0.25">
      <c r="A668" s="637"/>
      <c r="B668" s="638"/>
      <c r="C668" s="639"/>
      <c r="D668" s="640"/>
      <c r="E668" s="641"/>
      <c r="F668" s="642"/>
      <c r="G668" s="643"/>
      <c r="H668" s="194"/>
      <c r="J668" s="619"/>
      <c r="K668" s="619"/>
    </row>
    <row r="669" spans="1:11" x14ac:dyDescent="0.25">
      <c r="A669" s="637"/>
      <c r="B669" s="638"/>
      <c r="C669" s="639"/>
      <c r="D669" s="640"/>
      <c r="E669" s="641"/>
      <c r="F669" s="642"/>
      <c r="G669" s="643"/>
      <c r="H669" s="194"/>
      <c r="J669" s="619"/>
      <c r="K669" s="619"/>
    </row>
    <row r="670" spans="1:11" x14ac:dyDescent="0.25">
      <c r="A670" s="637"/>
      <c r="B670" s="638"/>
      <c r="C670" s="639"/>
      <c r="D670" s="640"/>
      <c r="E670" s="641"/>
      <c r="F670" s="642"/>
      <c r="G670" s="643"/>
      <c r="H670" s="194"/>
      <c r="J670" s="619"/>
      <c r="K670" s="619"/>
    </row>
    <row r="671" spans="1:11" x14ac:dyDescent="0.25">
      <c r="A671" s="637"/>
      <c r="B671" s="638"/>
      <c r="C671" s="639"/>
      <c r="D671" s="640"/>
      <c r="E671" s="641"/>
      <c r="F671" s="642"/>
      <c r="G671" s="643"/>
      <c r="H671" s="194"/>
      <c r="J671" s="619"/>
      <c r="K671" s="619"/>
    </row>
    <row r="672" spans="1:11" x14ac:dyDescent="0.25">
      <c r="A672" s="637"/>
      <c r="B672" s="638"/>
      <c r="C672" s="639"/>
      <c r="D672" s="640"/>
      <c r="E672" s="641"/>
      <c r="F672" s="642"/>
      <c r="G672" s="643"/>
      <c r="H672" s="194"/>
      <c r="J672" s="619"/>
      <c r="K672" s="619"/>
    </row>
    <row r="673" spans="1:11" x14ac:dyDescent="0.25">
      <c r="A673" s="637"/>
      <c r="B673" s="638"/>
      <c r="C673" s="639"/>
      <c r="D673" s="640"/>
      <c r="E673" s="641"/>
      <c r="F673" s="642"/>
      <c r="G673" s="643"/>
      <c r="H673" s="194"/>
      <c r="J673" s="619"/>
      <c r="K673" s="619"/>
    </row>
    <row r="674" spans="1:11" x14ac:dyDescent="0.25">
      <c r="A674" s="637"/>
      <c r="B674" s="638"/>
      <c r="C674" s="639"/>
      <c r="D674" s="640"/>
      <c r="E674" s="641"/>
      <c r="F674" s="642"/>
      <c r="G674" s="643"/>
      <c r="H674" s="194"/>
      <c r="J674" s="619"/>
      <c r="K674" s="619"/>
    </row>
    <row r="675" spans="1:11" x14ac:dyDescent="0.25">
      <c r="A675" s="637"/>
      <c r="B675" s="638"/>
      <c r="C675" s="639"/>
      <c r="D675" s="640"/>
      <c r="E675" s="641"/>
      <c r="F675" s="642"/>
      <c r="G675" s="643"/>
      <c r="H675" s="194"/>
      <c r="J675" s="619"/>
      <c r="K675" s="619"/>
    </row>
    <row r="676" spans="1:11" x14ac:dyDescent="0.25">
      <c r="A676" s="637"/>
      <c r="B676" s="638"/>
      <c r="C676" s="639"/>
      <c r="D676" s="640"/>
      <c r="E676" s="641"/>
      <c r="F676" s="642"/>
      <c r="G676" s="643"/>
      <c r="H676" s="194"/>
      <c r="J676" s="619"/>
      <c r="K676" s="619"/>
    </row>
    <row r="677" spans="1:11" x14ac:dyDescent="0.25">
      <c r="A677" s="637"/>
      <c r="B677" s="638"/>
      <c r="C677" s="639"/>
      <c r="D677" s="640"/>
      <c r="E677" s="641"/>
      <c r="F677" s="642"/>
      <c r="G677" s="643"/>
      <c r="H677" s="194"/>
      <c r="J677" s="619"/>
      <c r="K677" s="619"/>
    </row>
    <row r="678" spans="1:11" x14ac:dyDescent="0.25">
      <c r="A678" s="637"/>
      <c r="B678" s="638"/>
      <c r="C678" s="639"/>
      <c r="D678" s="640"/>
      <c r="E678" s="641"/>
      <c r="F678" s="642"/>
      <c r="G678" s="643"/>
      <c r="H678" s="194"/>
      <c r="J678" s="619"/>
      <c r="K678" s="619"/>
    </row>
    <row r="679" spans="1:11" x14ac:dyDescent="0.25">
      <c r="A679" s="637"/>
      <c r="B679" s="638"/>
      <c r="C679" s="639"/>
      <c r="D679" s="640"/>
      <c r="E679" s="641"/>
      <c r="F679" s="642"/>
      <c r="G679" s="643"/>
      <c r="H679" s="194"/>
      <c r="J679" s="619"/>
      <c r="K679" s="619"/>
    </row>
    <row r="680" spans="1:11" x14ac:dyDescent="0.25">
      <c r="A680" s="637"/>
      <c r="B680" s="638"/>
      <c r="C680" s="639"/>
      <c r="D680" s="640"/>
      <c r="E680" s="641"/>
      <c r="F680" s="642"/>
      <c r="G680" s="643"/>
      <c r="H680" s="194"/>
      <c r="J680" s="619"/>
      <c r="K680" s="619"/>
    </row>
    <row r="681" spans="1:11" x14ac:dyDescent="0.25">
      <c r="A681" s="637"/>
      <c r="B681" s="638"/>
      <c r="C681" s="639"/>
      <c r="D681" s="640"/>
      <c r="E681" s="641"/>
      <c r="F681" s="642"/>
      <c r="G681" s="643"/>
      <c r="H681" s="194"/>
      <c r="J681" s="619"/>
      <c r="K681" s="619"/>
    </row>
    <row r="682" spans="1:11" x14ac:dyDescent="0.25">
      <c r="A682" s="637"/>
      <c r="B682" s="638"/>
      <c r="C682" s="639"/>
      <c r="D682" s="640"/>
      <c r="E682" s="641"/>
      <c r="F682" s="642"/>
      <c r="G682" s="643"/>
      <c r="H682" s="194"/>
      <c r="J682" s="619"/>
      <c r="K682" s="619"/>
    </row>
    <row r="683" spans="1:11" x14ac:dyDescent="0.25">
      <c r="A683" s="637"/>
      <c r="B683" s="638"/>
      <c r="C683" s="639"/>
      <c r="D683" s="640"/>
      <c r="E683" s="641"/>
      <c r="F683" s="642"/>
      <c r="G683" s="643"/>
      <c r="H683" s="194"/>
      <c r="J683" s="619"/>
      <c r="K683" s="619"/>
    </row>
    <row r="684" spans="1:11" x14ac:dyDescent="0.25">
      <c r="A684" s="637"/>
      <c r="B684" s="638"/>
      <c r="C684" s="639"/>
      <c r="D684" s="640"/>
      <c r="E684" s="641"/>
      <c r="F684" s="642"/>
      <c r="G684" s="643"/>
      <c r="H684" s="194"/>
      <c r="J684" s="619"/>
      <c r="K684" s="619"/>
    </row>
    <row r="685" spans="1:11" x14ac:dyDescent="0.25">
      <c r="A685" s="637"/>
      <c r="B685" s="638"/>
      <c r="C685" s="639"/>
      <c r="D685" s="640"/>
      <c r="E685" s="641"/>
      <c r="F685" s="642"/>
      <c r="G685" s="643"/>
      <c r="H685" s="194"/>
      <c r="J685" s="619"/>
      <c r="K685" s="619"/>
    </row>
    <row r="686" spans="1:11" x14ac:dyDescent="0.25">
      <c r="A686" s="637"/>
      <c r="B686" s="638"/>
      <c r="C686" s="639"/>
      <c r="D686" s="640"/>
      <c r="E686" s="641"/>
      <c r="F686" s="642"/>
      <c r="G686" s="643"/>
      <c r="H686" s="194"/>
      <c r="J686" s="619"/>
      <c r="K686" s="619"/>
    </row>
    <row r="687" spans="1:11" x14ac:dyDescent="0.25">
      <c r="A687" s="637"/>
      <c r="B687" s="638"/>
      <c r="C687" s="639"/>
      <c r="D687" s="640"/>
      <c r="E687" s="641"/>
      <c r="F687" s="642"/>
      <c r="G687" s="643"/>
      <c r="H687" s="194"/>
      <c r="J687" s="619"/>
      <c r="K687" s="619"/>
    </row>
    <row r="688" spans="1:11" x14ac:dyDescent="0.25">
      <c r="A688" s="637"/>
      <c r="B688" s="638"/>
      <c r="C688" s="639"/>
      <c r="D688" s="640"/>
      <c r="E688" s="641"/>
      <c r="F688" s="642"/>
      <c r="G688" s="643"/>
      <c r="H688" s="194"/>
      <c r="J688" s="619"/>
      <c r="K688" s="619"/>
    </row>
    <row r="689" spans="1:11" x14ac:dyDescent="0.25">
      <c r="A689" s="637"/>
      <c r="B689" s="638"/>
      <c r="C689" s="639"/>
      <c r="D689" s="640"/>
      <c r="E689" s="641"/>
      <c r="F689" s="642"/>
      <c r="G689" s="643"/>
      <c r="H689" s="194"/>
      <c r="J689" s="619"/>
      <c r="K689" s="619"/>
    </row>
    <row r="690" spans="1:11" x14ac:dyDescent="0.25">
      <c r="A690" s="637"/>
      <c r="B690" s="638"/>
      <c r="C690" s="639"/>
      <c r="D690" s="640"/>
      <c r="E690" s="641"/>
      <c r="F690" s="642"/>
      <c r="G690" s="643"/>
      <c r="H690" s="194"/>
    </row>
    <row r="691" spans="1:11" x14ac:dyDescent="0.25">
      <c r="A691" s="637"/>
      <c r="B691" s="638"/>
      <c r="C691" s="639"/>
      <c r="D691" s="640"/>
      <c r="E691" s="641"/>
      <c r="F691" s="642"/>
      <c r="G691" s="643"/>
      <c r="H691" s="194"/>
    </row>
    <row r="692" spans="1:11" x14ac:dyDescent="0.25">
      <c r="A692" s="637"/>
      <c r="B692" s="638"/>
      <c r="C692" s="639"/>
      <c r="D692" s="640"/>
      <c r="E692" s="641"/>
      <c r="F692" s="642"/>
      <c r="G692" s="643"/>
      <c r="H692" s="194"/>
    </row>
    <row r="693" spans="1:11" x14ac:dyDescent="0.25">
      <c r="A693" s="637"/>
      <c r="B693" s="638"/>
      <c r="C693" s="639"/>
      <c r="D693" s="640"/>
      <c r="E693" s="641"/>
      <c r="F693" s="642"/>
      <c r="G693" s="643"/>
      <c r="H693" s="194"/>
    </row>
    <row r="694" spans="1:11" x14ac:dyDescent="0.25">
      <c r="A694" s="637"/>
      <c r="B694" s="638"/>
      <c r="C694" s="639"/>
      <c r="D694" s="640"/>
      <c r="E694" s="641"/>
      <c r="F694" s="642"/>
      <c r="G694" s="643"/>
      <c r="H694" s="194"/>
    </row>
    <row r="695" spans="1:11" x14ac:dyDescent="0.25">
      <c r="A695" s="637"/>
      <c r="B695" s="638"/>
      <c r="C695" s="639"/>
      <c r="D695" s="640"/>
      <c r="E695" s="641"/>
      <c r="F695" s="642"/>
      <c r="G695" s="643"/>
      <c r="H695" s="194"/>
    </row>
    <row r="696" spans="1:11" x14ac:dyDescent="0.25">
      <c r="A696" s="637"/>
      <c r="B696" s="638"/>
      <c r="C696" s="639"/>
      <c r="D696" s="640"/>
      <c r="E696" s="641"/>
      <c r="F696" s="642"/>
      <c r="G696" s="643"/>
      <c r="H696" s="194"/>
    </row>
    <row r="697" spans="1:11" x14ac:dyDescent="0.25">
      <c r="A697" s="637"/>
      <c r="B697" s="638"/>
      <c r="C697" s="639"/>
      <c r="D697" s="640"/>
      <c r="E697" s="641"/>
      <c r="F697" s="642"/>
      <c r="G697" s="643"/>
      <c r="H697" s="194"/>
    </row>
    <row r="698" spans="1:11" x14ac:dyDescent="0.25">
      <c r="A698" s="637"/>
      <c r="B698" s="638"/>
      <c r="C698" s="639"/>
      <c r="D698" s="640"/>
      <c r="E698" s="641"/>
      <c r="F698" s="642"/>
      <c r="G698" s="643"/>
      <c r="H698" s="194"/>
    </row>
    <row r="699" spans="1:11" x14ac:dyDescent="0.25">
      <c r="A699" s="637"/>
      <c r="B699" s="638"/>
      <c r="C699" s="639"/>
      <c r="D699" s="640"/>
      <c r="E699" s="641"/>
      <c r="F699" s="642"/>
      <c r="G699" s="643"/>
      <c r="H699" s="194"/>
    </row>
    <row r="700" spans="1:11" x14ac:dyDescent="0.25">
      <c r="A700" s="637"/>
      <c r="B700" s="638"/>
      <c r="C700" s="639"/>
      <c r="D700" s="640"/>
      <c r="E700" s="641"/>
      <c r="F700" s="642"/>
      <c r="G700" s="643"/>
      <c r="H700" s="194"/>
    </row>
    <row r="701" spans="1:11" x14ac:dyDescent="0.25">
      <c r="A701" s="637"/>
      <c r="B701" s="638"/>
      <c r="C701" s="639"/>
      <c r="D701" s="640"/>
      <c r="E701" s="641"/>
      <c r="F701" s="642"/>
      <c r="G701" s="643"/>
      <c r="H701" s="194"/>
    </row>
    <row r="702" spans="1:11" x14ac:dyDescent="0.25">
      <c r="A702" s="637"/>
      <c r="B702" s="638"/>
      <c r="C702" s="639"/>
      <c r="D702" s="640"/>
      <c r="E702" s="641"/>
      <c r="F702" s="642"/>
      <c r="G702" s="643"/>
      <c r="H702" s="194"/>
    </row>
    <row r="703" spans="1:11" x14ac:dyDescent="0.25">
      <c r="A703" s="637"/>
      <c r="B703" s="638"/>
      <c r="C703" s="639"/>
      <c r="D703" s="640"/>
      <c r="E703" s="641"/>
      <c r="F703" s="642"/>
      <c r="G703" s="643"/>
      <c r="H703" s="194"/>
    </row>
    <row r="704" spans="1:11" x14ac:dyDescent="0.25">
      <c r="A704" s="637"/>
      <c r="B704" s="638"/>
      <c r="C704" s="639"/>
      <c r="D704" s="640"/>
      <c r="E704" s="641"/>
      <c r="F704" s="642"/>
      <c r="G704" s="643"/>
      <c r="H704" s="194"/>
    </row>
    <row r="705" spans="1:8" x14ac:dyDescent="0.25">
      <c r="A705" s="637"/>
      <c r="B705" s="638"/>
      <c r="C705" s="639"/>
      <c r="D705" s="640"/>
      <c r="E705" s="641"/>
      <c r="F705" s="642"/>
      <c r="G705" s="643"/>
      <c r="H705" s="194"/>
    </row>
    <row r="706" spans="1:8" x14ac:dyDescent="0.25">
      <c r="A706" s="637"/>
      <c r="B706" s="638"/>
      <c r="C706" s="639"/>
      <c r="D706" s="640"/>
      <c r="E706" s="641"/>
      <c r="F706" s="642"/>
      <c r="G706" s="643"/>
      <c r="H706" s="194"/>
    </row>
    <row r="707" spans="1:8" x14ac:dyDescent="0.25">
      <c r="A707" s="637"/>
      <c r="B707" s="638"/>
      <c r="C707" s="639"/>
      <c r="D707" s="640"/>
      <c r="E707" s="641"/>
      <c r="F707" s="642"/>
      <c r="G707" s="643"/>
      <c r="H707" s="194"/>
    </row>
    <row r="708" spans="1:8" x14ac:dyDescent="0.25">
      <c r="A708" s="637"/>
      <c r="B708" s="638"/>
      <c r="C708" s="639"/>
      <c r="D708" s="640"/>
      <c r="E708" s="641"/>
      <c r="F708" s="642"/>
      <c r="G708" s="643"/>
      <c r="H708" s="194"/>
    </row>
    <row r="709" spans="1:8" x14ac:dyDescent="0.25">
      <c r="A709" s="637"/>
      <c r="B709" s="638"/>
      <c r="C709" s="639"/>
      <c r="D709" s="640"/>
      <c r="E709" s="641"/>
      <c r="F709" s="642"/>
      <c r="G709" s="643"/>
      <c r="H709" s="194"/>
    </row>
    <row r="710" spans="1:8" x14ac:dyDescent="0.25">
      <c r="A710" s="637"/>
      <c r="B710" s="638"/>
      <c r="C710" s="639"/>
      <c r="D710" s="640"/>
      <c r="E710" s="641"/>
      <c r="F710" s="642"/>
      <c r="G710" s="643"/>
      <c r="H710" s="194"/>
    </row>
    <row r="711" spans="1:8" x14ac:dyDescent="0.25">
      <c r="A711" s="637"/>
      <c r="B711" s="638"/>
      <c r="C711" s="639"/>
      <c r="D711" s="640"/>
      <c r="E711" s="641"/>
      <c r="F711" s="642"/>
      <c r="G711" s="643"/>
      <c r="H711" s="194"/>
    </row>
    <row r="712" spans="1:8" x14ac:dyDescent="0.25">
      <c r="A712" s="637"/>
      <c r="B712" s="638"/>
      <c r="C712" s="639"/>
      <c r="D712" s="640"/>
      <c r="E712" s="641"/>
      <c r="F712" s="642"/>
      <c r="G712" s="643"/>
      <c r="H712" s="194"/>
    </row>
    <row r="713" spans="1:8" x14ac:dyDescent="0.25">
      <c r="A713" s="637"/>
      <c r="B713" s="638"/>
      <c r="C713" s="639"/>
      <c r="D713" s="640"/>
      <c r="E713" s="641"/>
      <c r="F713" s="642"/>
      <c r="G713" s="643"/>
      <c r="H713" s="194"/>
    </row>
    <row r="714" spans="1:8" x14ac:dyDescent="0.25">
      <c r="A714" s="637"/>
      <c r="B714" s="638"/>
      <c r="C714" s="639"/>
      <c r="D714" s="640"/>
      <c r="E714" s="641"/>
      <c r="F714" s="642"/>
      <c r="G714" s="643"/>
      <c r="H714" s="194"/>
    </row>
    <row r="715" spans="1:8" x14ac:dyDescent="0.25">
      <c r="A715" s="637"/>
      <c r="B715" s="638"/>
      <c r="C715" s="639"/>
      <c r="D715" s="640"/>
      <c r="E715" s="641"/>
      <c r="F715" s="642"/>
      <c r="G715" s="643"/>
      <c r="H715" s="194"/>
    </row>
    <row r="716" spans="1:8" x14ac:dyDescent="0.25">
      <c r="A716" s="637"/>
      <c r="B716" s="638"/>
      <c r="C716" s="639"/>
      <c r="D716" s="640"/>
      <c r="E716" s="641"/>
      <c r="F716" s="642"/>
      <c r="G716" s="643"/>
      <c r="H716" s="194"/>
    </row>
    <row r="717" spans="1:8" x14ac:dyDescent="0.25">
      <c r="A717" s="637"/>
      <c r="B717" s="638"/>
      <c r="C717" s="639"/>
      <c r="D717" s="640"/>
      <c r="E717" s="641"/>
      <c r="F717" s="642"/>
      <c r="G717" s="643"/>
      <c r="H717" s="194"/>
    </row>
    <row r="718" spans="1:8" x14ac:dyDescent="0.25">
      <c r="A718" s="637"/>
      <c r="B718" s="638"/>
      <c r="C718" s="639"/>
      <c r="D718" s="640"/>
      <c r="E718" s="641"/>
      <c r="F718" s="642"/>
      <c r="G718" s="643"/>
      <c r="H718" s="194"/>
    </row>
    <row r="719" spans="1:8" x14ac:dyDescent="0.25">
      <c r="A719" s="637"/>
      <c r="B719" s="638"/>
      <c r="C719" s="639"/>
      <c r="D719" s="640"/>
      <c r="E719" s="641"/>
      <c r="F719" s="642"/>
      <c r="G719" s="643"/>
      <c r="H719" s="194"/>
    </row>
    <row r="720" spans="1:8" x14ac:dyDescent="0.25">
      <c r="A720" s="637"/>
      <c r="B720" s="638"/>
      <c r="C720" s="639"/>
      <c r="D720" s="640"/>
      <c r="E720" s="641"/>
      <c r="F720" s="642"/>
      <c r="G720" s="643"/>
      <c r="H720" s="194"/>
    </row>
    <row r="721" spans="1:8" x14ac:dyDescent="0.25">
      <c r="A721" s="637"/>
      <c r="B721" s="638"/>
      <c r="C721" s="639"/>
      <c r="D721" s="640"/>
      <c r="E721" s="641"/>
      <c r="F721" s="642"/>
      <c r="G721" s="643"/>
      <c r="H721" s="194"/>
    </row>
    <row r="722" spans="1:8" x14ac:dyDescent="0.25">
      <c r="A722" s="637"/>
      <c r="B722" s="638"/>
      <c r="C722" s="639"/>
      <c r="D722" s="640"/>
      <c r="E722" s="641"/>
      <c r="F722" s="642"/>
      <c r="G722" s="643"/>
      <c r="H722" s="194"/>
    </row>
    <row r="723" spans="1:8" x14ac:dyDescent="0.25">
      <c r="A723" s="637"/>
      <c r="B723" s="638"/>
      <c r="C723" s="639"/>
      <c r="D723" s="640"/>
      <c r="E723" s="641"/>
      <c r="F723" s="642"/>
      <c r="G723" s="643"/>
      <c r="H723" s="194"/>
    </row>
    <row r="724" spans="1:8" x14ac:dyDescent="0.25">
      <c r="A724" s="637"/>
      <c r="B724" s="638"/>
      <c r="C724" s="639"/>
      <c r="D724" s="640"/>
      <c r="E724" s="641"/>
      <c r="F724" s="642"/>
      <c r="G724" s="643"/>
      <c r="H724" s="194"/>
    </row>
    <row r="725" spans="1:8" x14ac:dyDescent="0.25">
      <c r="A725" s="637"/>
      <c r="B725" s="638"/>
      <c r="C725" s="639"/>
      <c r="D725" s="640"/>
      <c r="E725" s="641"/>
      <c r="F725" s="642"/>
      <c r="G725" s="643"/>
      <c r="H725" s="194"/>
    </row>
    <row r="726" spans="1:8" x14ac:dyDescent="0.25">
      <c r="A726" s="637"/>
      <c r="B726" s="638"/>
      <c r="C726" s="639"/>
      <c r="D726" s="640"/>
      <c r="E726" s="641"/>
      <c r="F726" s="642"/>
      <c r="G726" s="643"/>
      <c r="H726" s="194"/>
    </row>
    <row r="727" spans="1:8" x14ac:dyDescent="0.25">
      <c r="A727" s="637"/>
      <c r="B727" s="638"/>
      <c r="C727" s="639"/>
      <c r="D727" s="640"/>
      <c r="E727" s="641"/>
      <c r="F727" s="642"/>
      <c r="G727" s="643"/>
      <c r="H727" s="194"/>
    </row>
    <row r="728" spans="1:8" x14ac:dyDescent="0.25">
      <c r="A728" s="637"/>
      <c r="B728" s="638"/>
      <c r="C728" s="639"/>
      <c r="D728" s="640"/>
      <c r="E728" s="641"/>
      <c r="F728" s="642"/>
      <c r="G728" s="643"/>
      <c r="H728" s="194"/>
    </row>
    <row r="729" spans="1:8" x14ac:dyDescent="0.25">
      <c r="A729" s="637"/>
      <c r="B729" s="638"/>
      <c r="C729" s="639"/>
      <c r="D729" s="640"/>
      <c r="E729" s="641"/>
      <c r="F729" s="642"/>
      <c r="G729" s="643"/>
      <c r="H729" s="194"/>
    </row>
    <row r="730" spans="1:8" x14ac:dyDescent="0.25">
      <c r="A730" s="637"/>
      <c r="B730" s="638"/>
      <c r="C730" s="639"/>
      <c r="D730" s="640"/>
      <c r="E730" s="641"/>
      <c r="F730" s="642"/>
      <c r="G730" s="643"/>
      <c r="H730" s="194"/>
    </row>
    <row r="731" spans="1:8" x14ac:dyDescent="0.25">
      <c r="A731" s="637"/>
      <c r="B731" s="638"/>
      <c r="C731" s="639"/>
      <c r="D731" s="640"/>
      <c r="E731" s="641"/>
      <c r="F731" s="642"/>
      <c r="G731" s="643"/>
      <c r="H731" s="194"/>
    </row>
    <row r="732" spans="1:8" x14ac:dyDescent="0.25">
      <c r="A732" s="637"/>
      <c r="B732" s="638"/>
      <c r="C732" s="639"/>
      <c r="D732" s="640"/>
      <c r="E732" s="641"/>
      <c r="F732" s="642"/>
      <c r="G732" s="643"/>
      <c r="H732" s="194"/>
    </row>
    <row r="733" spans="1:8" x14ac:dyDescent="0.25">
      <c r="A733" s="637"/>
      <c r="B733" s="638"/>
      <c r="C733" s="639"/>
      <c r="D733" s="640"/>
      <c r="E733" s="641"/>
      <c r="F733" s="642"/>
      <c r="G733" s="643"/>
      <c r="H733" s="194"/>
    </row>
    <row r="734" spans="1:8" x14ac:dyDescent="0.25">
      <c r="A734" s="637"/>
      <c r="B734" s="638"/>
      <c r="C734" s="639"/>
      <c r="D734" s="640"/>
      <c r="E734" s="641"/>
      <c r="F734" s="642"/>
      <c r="G734" s="643"/>
      <c r="H734" s="194"/>
    </row>
    <row r="735" spans="1:8" x14ac:dyDescent="0.25">
      <c r="A735" s="637"/>
      <c r="B735" s="638"/>
      <c r="C735" s="639"/>
      <c r="D735" s="640"/>
      <c r="E735" s="641"/>
      <c r="F735" s="642"/>
      <c r="G735" s="643"/>
      <c r="H735" s="194"/>
    </row>
    <row r="736" spans="1:8" x14ac:dyDescent="0.25">
      <c r="A736" s="637"/>
      <c r="B736" s="638"/>
      <c r="C736" s="639"/>
      <c r="D736" s="640"/>
      <c r="E736" s="641"/>
      <c r="F736" s="642"/>
      <c r="G736" s="643"/>
      <c r="H736" s="194"/>
    </row>
    <row r="737" spans="1:8" x14ac:dyDescent="0.25">
      <c r="A737" s="637"/>
      <c r="B737" s="638"/>
      <c r="C737" s="639"/>
      <c r="D737" s="640"/>
      <c r="E737" s="641"/>
      <c r="F737" s="642"/>
      <c r="G737" s="643"/>
      <c r="H737" s="194"/>
    </row>
    <row r="738" spans="1:8" x14ac:dyDescent="0.25">
      <c r="A738" s="637"/>
      <c r="B738" s="638"/>
      <c r="C738" s="639"/>
      <c r="D738" s="640"/>
      <c r="E738" s="641"/>
      <c r="F738" s="642"/>
      <c r="G738" s="643"/>
      <c r="H738" s="194"/>
    </row>
    <row r="739" spans="1:8" x14ac:dyDescent="0.25">
      <c r="A739" s="637"/>
      <c r="B739" s="638"/>
      <c r="C739" s="639"/>
      <c r="D739" s="640"/>
      <c r="E739" s="641"/>
      <c r="F739" s="642"/>
      <c r="G739" s="643"/>
      <c r="H739" s="194"/>
    </row>
    <row r="740" spans="1:8" x14ac:dyDescent="0.25">
      <c r="A740" s="637"/>
      <c r="B740" s="638"/>
      <c r="C740" s="639"/>
      <c r="D740" s="640"/>
      <c r="E740" s="641"/>
      <c r="F740" s="642"/>
      <c r="G740" s="643"/>
      <c r="H740" s="194"/>
    </row>
    <row r="741" spans="1:8" x14ac:dyDescent="0.25">
      <c r="A741" s="637"/>
      <c r="B741" s="638"/>
      <c r="C741" s="639"/>
      <c r="D741" s="640"/>
      <c r="E741" s="641"/>
      <c r="F741" s="642"/>
      <c r="G741" s="643"/>
      <c r="H741" s="194"/>
    </row>
    <row r="742" spans="1:8" x14ac:dyDescent="0.25">
      <c r="A742" s="637"/>
      <c r="B742" s="638"/>
      <c r="C742" s="639"/>
      <c r="D742" s="640"/>
      <c r="E742" s="641"/>
      <c r="F742" s="642"/>
      <c r="G742" s="643"/>
      <c r="H742" s="194"/>
    </row>
    <row r="743" spans="1:8" x14ac:dyDescent="0.25">
      <c r="A743" s="637"/>
      <c r="B743" s="638"/>
      <c r="C743" s="639"/>
      <c r="D743" s="640"/>
      <c r="E743" s="641"/>
      <c r="F743" s="642"/>
      <c r="G743" s="643"/>
      <c r="H743" s="194"/>
    </row>
    <row r="744" spans="1:8" x14ac:dyDescent="0.25">
      <c r="A744" s="637"/>
      <c r="B744" s="638"/>
      <c r="C744" s="639"/>
      <c r="D744" s="640"/>
      <c r="E744" s="641"/>
      <c r="F744" s="642"/>
      <c r="G744" s="643"/>
      <c r="H744" s="194"/>
    </row>
    <row r="745" spans="1:8" x14ac:dyDescent="0.25">
      <c r="A745" s="637"/>
      <c r="B745" s="638"/>
      <c r="C745" s="639"/>
      <c r="D745" s="640"/>
      <c r="E745" s="641"/>
      <c r="F745" s="642"/>
      <c r="G745" s="643"/>
      <c r="H745" s="194"/>
    </row>
    <row r="746" spans="1:8" x14ac:dyDescent="0.25">
      <c r="A746" s="637"/>
      <c r="B746" s="638"/>
      <c r="C746" s="639"/>
      <c r="D746" s="640"/>
      <c r="E746" s="641"/>
      <c r="F746" s="642"/>
      <c r="G746" s="643"/>
      <c r="H746" s="194"/>
    </row>
    <row r="747" spans="1:8" x14ac:dyDescent="0.25">
      <c r="A747" s="637"/>
      <c r="B747" s="638"/>
      <c r="C747" s="639"/>
      <c r="D747" s="640"/>
      <c r="E747" s="641"/>
      <c r="F747" s="642"/>
      <c r="G747" s="643"/>
      <c r="H747" s="194"/>
    </row>
    <row r="748" spans="1:8" x14ac:dyDescent="0.25">
      <c r="A748" s="637"/>
      <c r="B748" s="638"/>
      <c r="C748" s="639"/>
      <c r="D748" s="640"/>
      <c r="E748" s="641"/>
      <c r="F748" s="642"/>
      <c r="G748" s="643"/>
      <c r="H748" s="194"/>
    </row>
    <row r="749" spans="1:8" x14ac:dyDescent="0.25">
      <c r="A749" s="637"/>
      <c r="B749" s="638"/>
      <c r="C749" s="639"/>
      <c r="D749" s="640"/>
      <c r="E749" s="641"/>
      <c r="F749" s="642"/>
      <c r="G749" s="643"/>
      <c r="H749" s="194"/>
    </row>
    <row r="750" spans="1:8" x14ac:dyDescent="0.25">
      <c r="A750" s="637"/>
      <c r="B750" s="638"/>
      <c r="C750" s="639"/>
      <c r="D750" s="640"/>
      <c r="E750" s="641"/>
      <c r="F750" s="642"/>
      <c r="G750" s="643"/>
      <c r="H750" s="194"/>
    </row>
    <row r="751" spans="1:8" x14ac:dyDescent="0.25">
      <c r="A751" s="637"/>
      <c r="B751" s="638"/>
      <c r="C751" s="639"/>
      <c r="D751" s="640"/>
      <c r="E751" s="641"/>
      <c r="F751" s="642"/>
      <c r="G751" s="643"/>
      <c r="H751" s="194"/>
    </row>
    <row r="752" spans="1:8" x14ac:dyDescent="0.25">
      <c r="A752" s="637"/>
      <c r="B752" s="638"/>
      <c r="C752" s="639"/>
      <c r="D752" s="640"/>
      <c r="E752" s="641"/>
      <c r="F752" s="642"/>
      <c r="G752" s="643"/>
      <c r="H752" s="194"/>
    </row>
    <row r="753" spans="1:8" x14ac:dyDescent="0.25">
      <c r="A753" s="637"/>
      <c r="B753" s="638"/>
      <c r="C753" s="639"/>
      <c r="D753" s="640"/>
      <c r="E753" s="641"/>
      <c r="F753" s="642"/>
      <c r="G753" s="643"/>
      <c r="H753" s="194"/>
    </row>
    <row r="754" spans="1:8" x14ac:dyDescent="0.25">
      <c r="A754" s="637"/>
      <c r="B754" s="638"/>
      <c r="C754" s="639"/>
      <c r="D754" s="640"/>
      <c r="E754" s="641"/>
      <c r="F754" s="642"/>
      <c r="G754" s="643"/>
      <c r="H754" s="194"/>
    </row>
    <row r="755" spans="1:8" x14ac:dyDescent="0.25">
      <c r="A755" s="637"/>
      <c r="B755" s="638"/>
      <c r="C755" s="639"/>
      <c r="D755" s="640"/>
      <c r="E755" s="641"/>
      <c r="F755" s="642"/>
      <c r="G755" s="643"/>
      <c r="H755" s="194"/>
    </row>
    <row r="756" spans="1:8" x14ac:dyDescent="0.25">
      <c r="A756" s="637"/>
      <c r="B756" s="638"/>
      <c r="C756" s="639"/>
      <c r="D756" s="640"/>
      <c r="E756" s="641"/>
      <c r="F756" s="642"/>
      <c r="G756" s="643"/>
      <c r="H756" s="194"/>
    </row>
    <row r="757" spans="1:8" x14ac:dyDescent="0.25">
      <c r="A757" s="637"/>
      <c r="B757" s="638"/>
      <c r="C757" s="639"/>
      <c r="D757" s="640"/>
      <c r="E757" s="641"/>
      <c r="F757" s="642"/>
      <c r="G757" s="643"/>
      <c r="H757" s="194"/>
    </row>
    <row r="758" spans="1:8" x14ac:dyDescent="0.25">
      <c r="A758" s="637"/>
      <c r="B758" s="638"/>
      <c r="C758" s="639"/>
      <c r="D758" s="640"/>
      <c r="E758" s="641"/>
      <c r="F758" s="642"/>
      <c r="G758" s="643"/>
      <c r="H758" s="194"/>
    </row>
    <row r="759" spans="1:8" x14ac:dyDescent="0.25">
      <c r="A759" s="637"/>
      <c r="B759" s="638"/>
      <c r="C759" s="639"/>
      <c r="D759" s="640"/>
      <c r="E759" s="641"/>
      <c r="F759" s="642"/>
      <c r="G759" s="643"/>
      <c r="H759" s="194"/>
    </row>
    <row r="760" spans="1:8" x14ac:dyDescent="0.25">
      <c r="A760" s="637"/>
      <c r="B760" s="638"/>
      <c r="C760" s="639"/>
      <c r="D760" s="640"/>
      <c r="E760" s="641"/>
      <c r="F760" s="642"/>
      <c r="G760" s="643"/>
      <c r="H760" s="194"/>
    </row>
    <row r="761" spans="1:8" x14ac:dyDescent="0.25">
      <c r="A761" s="637"/>
      <c r="B761" s="638"/>
      <c r="C761" s="639"/>
      <c r="D761" s="640"/>
      <c r="E761" s="641"/>
      <c r="F761" s="642"/>
      <c r="G761" s="643"/>
      <c r="H761" s="194"/>
    </row>
    <row r="762" spans="1:8" x14ac:dyDescent="0.25">
      <c r="A762" s="637"/>
      <c r="B762" s="638"/>
      <c r="C762" s="639"/>
      <c r="D762" s="640"/>
      <c r="E762" s="641"/>
      <c r="F762" s="642"/>
      <c r="G762" s="643"/>
      <c r="H762" s="194"/>
    </row>
    <row r="763" spans="1:8" x14ac:dyDescent="0.25">
      <c r="A763" s="637"/>
      <c r="B763" s="638"/>
      <c r="C763" s="639"/>
      <c r="D763" s="640"/>
      <c r="E763" s="641"/>
      <c r="F763" s="642"/>
      <c r="G763" s="643"/>
      <c r="H763" s="194"/>
    </row>
    <row r="764" spans="1:8" x14ac:dyDescent="0.25">
      <c r="A764" s="637"/>
      <c r="B764" s="638"/>
      <c r="C764" s="639"/>
      <c r="D764" s="640"/>
      <c r="E764" s="641"/>
      <c r="F764" s="642"/>
      <c r="G764" s="643"/>
      <c r="H764" s="194"/>
    </row>
    <row r="765" spans="1:8" x14ac:dyDescent="0.25">
      <c r="A765" s="637"/>
      <c r="B765" s="638"/>
      <c r="C765" s="639"/>
      <c r="D765" s="640"/>
      <c r="E765" s="641"/>
      <c r="F765" s="642"/>
      <c r="G765" s="643"/>
      <c r="H765" s="194"/>
    </row>
    <row r="766" spans="1:8" x14ac:dyDescent="0.25">
      <c r="A766" s="637"/>
      <c r="B766" s="638"/>
      <c r="C766" s="639"/>
      <c r="D766" s="640"/>
      <c r="E766" s="641"/>
      <c r="F766" s="642"/>
      <c r="G766" s="643"/>
      <c r="H766" s="194"/>
    </row>
    <row r="767" spans="1:8" x14ac:dyDescent="0.25">
      <c r="A767" s="637"/>
      <c r="B767" s="638"/>
      <c r="C767" s="639"/>
      <c r="D767" s="640"/>
      <c r="E767" s="641"/>
      <c r="F767" s="642"/>
      <c r="G767" s="643"/>
      <c r="H767" s="194"/>
    </row>
    <row r="768" spans="1:8" x14ac:dyDescent="0.25">
      <c r="A768" s="637"/>
      <c r="B768" s="638"/>
      <c r="C768" s="639"/>
      <c r="D768" s="640"/>
      <c r="E768" s="641"/>
      <c r="F768" s="642"/>
      <c r="G768" s="643"/>
      <c r="H768" s="194"/>
    </row>
    <row r="769" spans="1:8" x14ac:dyDescent="0.25">
      <c r="A769" s="637"/>
      <c r="B769" s="638"/>
      <c r="C769" s="639"/>
      <c r="D769" s="640"/>
      <c r="E769" s="641"/>
      <c r="F769" s="642"/>
      <c r="G769" s="643"/>
      <c r="H769" s="194"/>
    </row>
    <row r="770" spans="1:8" x14ac:dyDescent="0.25">
      <c r="A770" s="637"/>
      <c r="B770" s="638"/>
      <c r="C770" s="639"/>
      <c r="D770" s="640"/>
      <c r="E770" s="641"/>
      <c r="F770" s="642"/>
      <c r="G770" s="643"/>
      <c r="H770" s="194"/>
    </row>
    <row r="771" spans="1:8" x14ac:dyDescent="0.25">
      <c r="A771" s="637"/>
      <c r="B771" s="638"/>
      <c r="C771" s="639"/>
      <c r="D771" s="640"/>
      <c r="E771" s="641"/>
      <c r="F771" s="642"/>
      <c r="G771" s="643"/>
      <c r="H771" s="194"/>
    </row>
    <row r="772" spans="1:8" x14ac:dyDescent="0.25">
      <c r="A772" s="637"/>
      <c r="B772" s="638"/>
      <c r="C772" s="639"/>
      <c r="D772" s="640"/>
      <c r="E772" s="641"/>
      <c r="F772" s="642"/>
      <c r="G772" s="643"/>
      <c r="H772" s="194"/>
    </row>
    <row r="773" spans="1:8" x14ac:dyDescent="0.25">
      <c r="A773" s="637"/>
      <c r="B773" s="638"/>
      <c r="C773" s="639"/>
      <c r="D773" s="640"/>
      <c r="E773" s="641"/>
      <c r="F773" s="642"/>
      <c r="G773" s="643"/>
      <c r="H773" s="194"/>
    </row>
    <row r="774" spans="1:8" x14ac:dyDescent="0.25">
      <c r="A774" s="637"/>
      <c r="B774" s="638"/>
      <c r="C774" s="639"/>
      <c r="D774" s="640"/>
      <c r="E774" s="641"/>
      <c r="F774" s="642"/>
      <c r="G774" s="643"/>
      <c r="H774" s="194"/>
    </row>
    <row r="775" spans="1:8" x14ac:dyDescent="0.25">
      <c r="A775" s="637"/>
      <c r="B775" s="638"/>
      <c r="C775" s="639"/>
      <c r="D775" s="640"/>
      <c r="E775" s="641"/>
      <c r="F775" s="642"/>
      <c r="G775" s="643"/>
      <c r="H775" s="194"/>
    </row>
    <row r="776" spans="1:8" x14ac:dyDescent="0.25">
      <c r="A776" s="637"/>
      <c r="B776" s="638"/>
      <c r="C776" s="639"/>
      <c r="D776" s="640"/>
      <c r="E776" s="641"/>
      <c r="F776" s="642"/>
      <c r="G776" s="643"/>
      <c r="H776" s="194"/>
    </row>
    <row r="777" spans="1:8" x14ac:dyDescent="0.25">
      <c r="A777" s="637"/>
      <c r="B777" s="638"/>
      <c r="C777" s="639"/>
      <c r="D777" s="640"/>
      <c r="E777" s="641"/>
      <c r="F777" s="642"/>
      <c r="G777" s="643"/>
      <c r="H777" s="194"/>
    </row>
    <row r="778" spans="1:8" x14ac:dyDescent="0.25">
      <c r="A778" s="637"/>
      <c r="B778" s="638"/>
      <c r="C778" s="639"/>
      <c r="D778" s="640"/>
      <c r="E778" s="641"/>
      <c r="F778" s="642"/>
      <c r="G778" s="643"/>
      <c r="H778" s="194"/>
    </row>
    <row r="779" spans="1:8" x14ac:dyDescent="0.25">
      <c r="A779" s="637"/>
      <c r="B779" s="638"/>
      <c r="C779" s="639"/>
      <c r="D779" s="640"/>
      <c r="E779" s="641"/>
      <c r="F779" s="642"/>
      <c r="G779" s="643"/>
      <c r="H779" s="194"/>
    </row>
    <row r="780" spans="1:8" x14ac:dyDescent="0.25">
      <c r="A780" s="637"/>
      <c r="B780" s="638"/>
      <c r="C780" s="639"/>
      <c r="D780" s="640"/>
      <c r="E780" s="641"/>
      <c r="F780" s="642"/>
      <c r="G780" s="643"/>
      <c r="H780" s="194"/>
    </row>
    <row r="781" spans="1:8" x14ac:dyDescent="0.25">
      <c r="A781" s="637"/>
      <c r="B781" s="638"/>
      <c r="C781" s="639"/>
      <c r="D781" s="640"/>
      <c r="E781" s="641"/>
      <c r="F781" s="642"/>
      <c r="G781" s="643"/>
      <c r="H781" s="194"/>
    </row>
    <row r="782" spans="1:8" x14ac:dyDescent="0.25">
      <c r="A782" s="637"/>
      <c r="B782" s="638"/>
      <c r="C782" s="639"/>
      <c r="D782" s="640"/>
      <c r="E782" s="641"/>
      <c r="F782" s="642"/>
      <c r="G782" s="643"/>
      <c r="H782" s="194"/>
    </row>
    <row r="783" spans="1:8" x14ac:dyDescent="0.25">
      <c r="A783" s="637"/>
      <c r="B783" s="638"/>
      <c r="C783" s="639"/>
      <c r="D783" s="640"/>
      <c r="E783" s="641"/>
      <c r="F783" s="642"/>
      <c r="G783" s="643"/>
      <c r="H783" s="194"/>
    </row>
    <row r="784" spans="1:8" x14ac:dyDescent="0.25">
      <c r="A784" s="637"/>
      <c r="B784" s="638"/>
      <c r="C784" s="639"/>
      <c r="D784" s="640"/>
      <c r="E784" s="641"/>
      <c r="F784" s="642"/>
      <c r="G784" s="643"/>
      <c r="H784" s="194"/>
    </row>
    <row r="785" spans="1:8" x14ac:dyDescent="0.25">
      <c r="A785" s="637"/>
      <c r="B785" s="638"/>
      <c r="C785" s="639"/>
      <c r="D785" s="640"/>
      <c r="E785" s="641"/>
      <c r="F785" s="642"/>
      <c r="G785" s="643"/>
      <c r="H785" s="194"/>
    </row>
    <row r="786" spans="1:8" x14ac:dyDescent="0.25">
      <c r="A786" s="637"/>
      <c r="B786" s="638"/>
      <c r="C786" s="639"/>
      <c r="D786" s="640"/>
      <c r="E786" s="641"/>
      <c r="F786" s="642"/>
      <c r="G786" s="643"/>
      <c r="H786" s="194"/>
    </row>
    <row r="787" spans="1:8" x14ac:dyDescent="0.25">
      <c r="A787" s="637"/>
      <c r="B787" s="638"/>
      <c r="C787" s="639"/>
      <c r="D787" s="640"/>
      <c r="E787" s="641"/>
      <c r="F787" s="642"/>
      <c r="G787" s="643"/>
      <c r="H787" s="194"/>
    </row>
    <row r="788" spans="1:8" x14ac:dyDescent="0.25">
      <c r="A788" s="637"/>
      <c r="B788" s="638"/>
      <c r="C788" s="639"/>
      <c r="D788" s="640"/>
      <c r="E788" s="641"/>
      <c r="F788" s="642"/>
      <c r="G788" s="643"/>
      <c r="H788" s="194"/>
    </row>
    <row r="789" spans="1:8" x14ac:dyDescent="0.25">
      <c r="A789" s="637"/>
      <c r="B789" s="638"/>
      <c r="C789" s="639"/>
      <c r="D789" s="640"/>
      <c r="E789" s="641"/>
      <c r="F789" s="642"/>
      <c r="G789" s="643"/>
      <c r="H789" s="194"/>
    </row>
    <row r="790" spans="1:8" x14ac:dyDescent="0.25">
      <c r="A790" s="637"/>
      <c r="B790" s="638"/>
      <c r="C790" s="639"/>
      <c r="D790" s="640"/>
      <c r="E790" s="641"/>
      <c r="F790" s="642"/>
      <c r="G790" s="643"/>
      <c r="H790" s="194"/>
    </row>
    <row r="791" spans="1:8" x14ac:dyDescent="0.25">
      <c r="A791" s="637"/>
      <c r="B791" s="638"/>
      <c r="C791" s="639"/>
      <c r="D791" s="640"/>
      <c r="E791" s="641"/>
      <c r="F791" s="642"/>
      <c r="G791" s="643"/>
      <c r="H791" s="194"/>
    </row>
    <row r="792" spans="1:8" x14ac:dyDescent="0.25">
      <c r="A792" s="637"/>
      <c r="B792" s="638"/>
      <c r="C792" s="639"/>
      <c r="D792" s="640"/>
      <c r="E792" s="641"/>
      <c r="F792" s="642"/>
      <c r="G792" s="643"/>
      <c r="H792" s="194"/>
    </row>
    <row r="793" spans="1:8" x14ac:dyDescent="0.25">
      <c r="A793" s="637"/>
      <c r="B793" s="638"/>
      <c r="C793" s="639"/>
      <c r="D793" s="640"/>
      <c r="E793" s="641"/>
      <c r="F793" s="642"/>
      <c r="G793" s="643"/>
      <c r="H793" s="194"/>
    </row>
    <row r="794" spans="1:8" x14ac:dyDescent="0.25">
      <c r="A794" s="637"/>
      <c r="B794" s="638"/>
      <c r="C794" s="639"/>
      <c r="D794" s="640"/>
      <c r="E794" s="641"/>
      <c r="F794" s="642"/>
      <c r="G794" s="643"/>
      <c r="H794" s="194"/>
    </row>
    <row r="795" spans="1:8" x14ac:dyDescent="0.25">
      <c r="A795" s="637"/>
      <c r="B795" s="638"/>
      <c r="C795" s="639"/>
      <c r="D795" s="640"/>
      <c r="E795" s="641"/>
      <c r="F795" s="642"/>
      <c r="G795" s="643"/>
      <c r="H795" s="194"/>
    </row>
    <row r="796" spans="1:8" x14ac:dyDescent="0.25">
      <c r="A796" s="637"/>
      <c r="B796" s="638"/>
      <c r="C796" s="639"/>
      <c r="D796" s="640"/>
      <c r="E796" s="641"/>
      <c r="F796" s="642"/>
      <c r="G796" s="643"/>
      <c r="H796" s="194"/>
    </row>
    <row r="797" spans="1:8" x14ac:dyDescent="0.25">
      <c r="A797" s="637"/>
      <c r="B797" s="638"/>
      <c r="C797" s="639"/>
      <c r="D797" s="640"/>
      <c r="E797" s="641"/>
      <c r="F797" s="642"/>
      <c r="G797" s="643"/>
      <c r="H797" s="194"/>
    </row>
    <row r="798" spans="1:8" x14ac:dyDescent="0.25">
      <c r="A798" s="637"/>
      <c r="B798" s="638"/>
      <c r="C798" s="639"/>
      <c r="D798" s="640"/>
      <c r="E798" s="641"/>
      <c r="F798" s="642"/>
      <c r="G798" s="643"/>
      <c r="H798" s="194"/>
    </row>
    <row r="799" spans="1:8" x14ac:dyDescent="0.25">
      <c r="A799" s="637"/>
      <c r="B799" s="638"/>
      <c r="C799" s="639"/>
      <c r="D799" s="640"/>
      <c r="E799" s="641"/>
      <c r="F799" s="642"/>
      <c r="G799" s="643"/>
      <c r="H799" s="194"/>
    </row>
    <row r="800" spans="1:8" x14ac:dyDescent="0.25">
      <c r="A800" s="637"/>
      <c r="B800" s="638"/>
      <c r="C800" s="639"/>
      <c r="D800" s="640"/>
      <c r="E800" s="641"/>
      <c r="F800" s="642"/>
      <c r="G800" s="643"/>
      <c r="H800" s="194"/>
    </row>
    <row r="801" spans="1:8" x14ac:dyDescent="0.25">
      <c r="A801" s="637"/>
      <c r="B801" s="638"/>
      <c r="C801" s="639"/>
      <c r="D801" s="640"/>
      <c r="E801" s="641"/>
      <c r="F801" s="642"/>
      <c r="G801" s="643"/>
      <c r="H801" s="194"/>
    </row>
    <row r="802" spans="1:8" x14ac:dyDescent="0.25">
      <c r="A802" s="637"/>
      <c r="B802" s="638"/>
      <c r="C802" s="639"/>
      <c r="D802" s="640"/>
      <c r="E802" s="641"/>
      <c r="F802" s="642"/>
      <c r="G802" s="643"/>
      <c r="H802" s="194"/>
    </row>
    <row r="803" spans="1:8" x14ac:dyDescent="0.25">
      <c r="A803" s="637"/>
      <c r="B803" s="638"/>
      <c r="C803" s="639"/>
      <c r="D803" s="640"/>
      <c r="E803" s="641"/>
      <c r="F803" s="642"/>
      <c r="G803" s="643"/>
      <c r="H803" s="194"/>
    </row>
    <row r="804" spans="1:8" x14ac:dyDescent="0.25">
      <c r="A804" s="637"/>
      <c r="B804" s="638"/>
      <c r="C804" s="639"/>
      <c r="D804" s="640"/>
      <c r="E804" s="641"/>
      <c r="F804" s="642"/>
      <c r="G804" s="643"/>
      <c r="H804" s="194"/>
    </row>
    <row r="805" spans="1:8" x14ac:dyDescent="0.25">
      <c r="A805" s="637"/>
      <c r="B805" s="638"/>
      <c r="C805" s="639"/>
      <c r="D805" s="640"/>
      <c r="E805" s="641"/>
      <c r="F805" s="642"/>
      <c r="G805" s="643"/>
      <c r="H805" s="194"/>
    </row>
    <row r="806" spans="1:8" x14ac:dyDescent="0.25">
      <c r="A806" s="637"/>
      <c r="B806" s="638"/>
      <c r="C806" s="639"/>
      <c r="D806" s="640"/>
      <c r="E806" s="641"/>
      <c r="F806" s="642"/>
      <c r="G806" s="643"/>
      <c r="H806" s="194"/>
    </row>
    <row r="807" spans="1:8" x14ac:dyDescent="0.25">
      <c r="A807" s="637"/>
      <c r="B807" s="638"/>
      <c r="C807" s="639"/>
      <c r="D807" s="640"/>
      <c r="E807" s="641"/>
      <c r="F807" s="642"/>
      <c r="G807" s="643"/>
      <c r="H807" s="194"/>
    </row>
    <row r="808" spans="1:8" x14ac:dyDescent="0.25">
      <c r="A808" s="637"/>
      <c r="B808" s="638"/>
      <c r="C808" s="639"/>
      <c r="D808" s="640"/>
      <c r="E808" s="641"/>
      <c r="F808" s="642"/>
      <c r="G808" s="643"/>
      <c r="H808" s="194"/>
    </row>
    <row r="809" spans="1:8" x14ac:dyDescent="0.25">
      <c r="A809" s="637"/>
      <c r="B809" s="638"/>
      <c r="C809" s="639"/>
      <c r="D809" s="640"/>
      <c r="E809" s="641"/>
      <c r="F809" s="642"/>
      <c r="G809" s="643"/>
      <c r="H809" s="194"/>
    </row>
    <row r="810" spans="1:8" x14ac:dyDescent="0.25">
      <c r="A810" s="637"/>
      <c r="B810" s="638"/>
      <c r="C810" s="639"/>
      <c r="D810" s="640"/>
      <c r="E810" s="641"/>
      <c r="F810" s="642"/>
      <c r="G810" s="643"/>
      <c r="H810" s="194"/>
    </row>
    <row r="811" spans="1:8" x14ac:dyDescent="0.25">
      <c r="A811" s="637"/>
      <c r="B811" s="638"/>
      <c r="C811" s="639"/>
      <c r="D811" s="640"/>
      <c r="E811" s="641"/>
      <c r="F811" s="642"/>
      <c r="G811" s="643"/>
      <c r="H811" s="194"/>
    </row>
    <row r="812" spans="1:8" x14ac:dyDescent="0.25">
      <c r="A812" s="637"/>
      <c r="B812" s="638"/>
      <c r="C812" s="639"/>
      <c r="D812" s="640"/>
      <c r="E812" s="641"/>
      <c r="F812" s="642"/>
      <c r="G812" s="643"/>
      <c r="H812" s="194"/>
    </row>
    <row r="813" spans="1:8" x14ac:dyDescent="0.25">
      <c r="A813" s="637"/>
      <c r="B813" s="638"/>
      <c r="C813" s="639"/>
      <c r="D813" s="640"/>
      <c r="E813" s="641"/>
      <c r="F813" s="642"/>
      <c r="G813" s="643"/>
      <c r="H813" s="194"/>
    </row>
    <row r="814" spans="1:8" x14ac:dyDescent="0.25">
      <c r="A814" s="637"/>
      <c r="B814" s="638"/>
      <c r="C814" s="639"/>
      <c r="D814" s="640"/>
      <c r="E814" s="641"/>
      <c r="F814" s="642"/>
      <c r="G814" s="643"/>
      <c r="H814" s="194"/>
    </row>
    <row r="815" spans="1:8" x14ac:dyDescent="0.25">
      <c r="A815" s="637"/>
      <c r="B815" s="638"/>
      <c r="C815" s="639"/>
      <c r="D815" s="640"/>
      <c r="E815" s="641"/>
      <c r="F815" s="642"/>
      <c r="G815" s="643"/>
      <c r="H815" s="194"/>
    </row>
    <row r="816" spans="1:8" x14ac:dyDescent="0.25">
      <c r="A816" s="637"/>
      <c r="B816" s="638"/>
      <c r="C816" s="639"/>
      <c r="D816" s="640"/>
      <c r="E816" s="641"/>
      <c r="F816" s="642"/>
      <c r="G816" s="643"/>
      <c r="H816" s="194"/>
    </row>
    <row r="817" spans="1:8" x14ac:dyDescent="0.25">
      <c r="A817" s="637"/>
      <c r="B817" s="638"/>
      <c r="C817" s="639"/>
      <c r="D817" s="640"/>
      <c r="E817" s="641"/>
      <c r="F817" s="642"/>
      <c r="G817" s="643"/>
      <c r="H817" s="194"/>
    </row>
    <row r="818" spans="1:8" x14ac:dyDescent="0.25">
      <c r="A818" s="637"/>
      <c r="B818" s="638"/>
      <c r="C818" s="639"/>
      <c r="D818" s="640"/>
      <c r="E818" s="641"/>
      <c r="F818" s="642"/>
      <c r="G818" s="643"/>
      <c r="H818" s="194"/>
    </row>
    <row r="819" spans="1:8" x14ac:dyDescent="0.25">
      <c r="A819" s="637"/>
      <c r="B819" s="638"/>
      <c r="C819" s="639"/>
      <c r="D819" s="640"/>
      <c r="E819" s="641"/>
      <c r="F819" s="642"/>
      <c r="G819" s="643"/>
      <c r="H819" s="194"/>
    </row>
    <row r="820" spans="1:8" x14ac:dyDescent="0.25">
      <c r="A820" s="637"/>
      <c r="B820" s="638"/>
      <c r="C820" s="639"/>
      <c r="D820" s="640"/>
      <c r="E820" s="641"/>
      <c r="F820" s="642"/>
      <c r="G820" s="643"/>
      <c r="H820" s="194"/>
    </row>
    <row r="821" spans="1:8" x14ac:dyDescent="0.25">
      <c r="A821" s="637"/>
      <c r="B821" s="638"/>
      <c r="C821" s="639"/>
      <c r="D821" s="640"/>
      <c r="E821" s="641"/>
      <c r="F821" s="642"/>
      <c r="G821" s="643"/>
      <c r="H821" s="194"/>
    </row>
    <row r="822" spans="1:8" x14ac:dyDescent="0.25">
      <c r="A822" s="637"/>
      <c r="B822" s="638"/>
      <c r="C822" s="639"/>
      <c r="D822" s="640"/>
      <c r="E822" s="641"/>
      <c r="F822" s="642"/>
      <c r="G822" s="643"/>
      <c r="H822" s="194"/>
    </row>
    <row r="823" spans="1:8" x14ac:dyDescent="0.25">
      <c r="A823" s="637"/>
      <c r="B823" s="638"/>
      <c r="C823" s="639"/>
      <c r="D823" s="640"/>
      <c r="E823" s="641"/>
      <c r="F823" s="642"/>
      <c r="G823" s="643"/>
      <c r="H823" s="194"/>
    </row>
    <row r="824" spans="1:8" x14ac:dyDescent="0.25">
      <c r="A824" s="637"/>
      <c r="B824" s="638"/>
      <c r="C824" s="639"/>
      <c r="D824" s="640"/>
      <c r="E824" s="641"/>
      <c r="F824" s="642"/>
      <c r="G824" s="643"/>
      <c r="H824" s="194"/>
    </row>
    <row r="825" spans="1:8" x14ac:dyDescent="0.25">
      <c r="A825" s="637"/>
      <c r="B825" s="638"/>
      <c r="C825" s="639"/>
      <c r="D825" s="640"/>
      <c r="E825" s="641"/>
      <c r="F825" s="642"/>
      <c r="G825" s="643"/>
      <c r="H825" s="194"/>
    </row>
    <row r="826" spans="1:8" x14ac:dyDescent="0.25">
      <c r="A826" s="637"/>
      <c r="B826" s="638"/>
      <c r="C826" s="639"/>
      <c r="D826" s="640"/>
      <c r="E826" s="641"/>
      <c r="F826" s="642"/>
      <c r="G826" s="643"/>
      <c r="H826" s="194"/>
    </row>
    <row r="827" spans="1:8" x14ac:dyDescent="0.25">
      <c r="A827" s="637"/>
      <c r="B827" s="638"/>
      <c r="C827" s="639"/>
      <c r="D827" s="640"/>
      <c r="E827" s="641"/>
      <c r="F827" s="642"/>
      <c r="G827" s="643"/>
      <c r="H827" s="194"/>
    </row>
    <row r="828" spans="1:8" x14ac:dyDescent="0.25">
      <c r="A828" s="637"/>
      <c r="B828" s="638"/>
      <c r="C828" s="639"/>
      <c r="D828" s="640"/>
      <c r="E828" s="641"/>
      <c r="F828" s="642"/>
      <c r="G828" s="643"/>
      <c r="H828" s="194"/>
    </row>
    <row r="829" spans="1:8" x14ac:dyDescent="0.25">
      <c r="A829" s="637"/>
      <c r="B829" s="638"/>
      <c r="C829" s="639"/>
      <c r="D829" s="640"/>
      <c r="E829" s="641"/>
      <c r="F829" s="642"/>
      <c r="G829" s="643"/>
      <c r="H829" s="194"/>
    </row>
    <row r="830" spans="1:8" x14ac:dyDescent="0.25">
      <c r="A830" s="637"/>
      <c r="B830" s="638"/>
      <c r="C830" s="639"/>
      <c r="D830" s="640"/>
      <c r="E830" s="641"/>
      <c r="F830" s="642"/>
      <c r="G830" s="643"/>
      <c r="H830" s="194"/>
    </row>
    <row r="831" spans="1:8" x14ac:dyDescent="0.25">
      <c r="A831" s="637"/>
      <c r="B831" s="638"/>
      <c r="C831" s="639"/>
      <c r="D831" s="640"/>
      <c r="E831" s="641"/>
      <c r="F831" s="642"/>
      <c r="G831" s="643"/>
      <c r="H831" s="194"/>
    </row>
    <row r="832" spans="1:8" x14ac:dyDescent="0.25">
      <c r="A832" s="637"/>
      <c r="B832" s="638"/>
      <c r="C832" s="639"/>
      <c r="D832" s="640"/>
      <c r="E832" s="641"/>
      <c r="F832" s="642"/>
      <c r="G832" s="643"/>
      <c r="H832" s="194"/>
    </row>
    <row r="833" spans="1:8" x14ac:dyDescent="0.25">
      <c r="A833" s="637"/>
      <c r="B833" s="638"/>
      <c r="C833" s="639"/>
      <c r="D833" s="640"/>
      <c r="E833" s="641"/>
      <c r="F833" s="642"/>
      <c r="G833" s="643"/>
      <c r="H833" s="194"/>
    </row>
    <row r="834" spans="1:8" x14ac:dyDescent="0.25">
      <c r="A834" s="637"/>
      <c r="B834" s="638"/>
      <c r="C834" s="639"/>
      <c r="D834" s="640"/>
      <c r="E834" s="641"/>
      <c r="F834" s="642"/>
      <c r="G834" s="643"/>
      <c r="H834" s="194"/>
    </row>
    <row r="835" spans="1:8" x14ac:dyDescent="0.25">
      <c r="A835" s="637"/>
      <c r="B835" s="638"/>
      <c r="C835" s="639"/>
      <c r="D835" s="640"/>
      <c r="E835" s="641"/>
      <c r="F835" s="642"/>
      <c r="G835" s="643"/>
      <c r="H835" s="194"/>
    </row>
    <row r="836" spans="1:8" x14ac:dyDescent="0.25">
      <c r="A836" s="637"/>
      <c r="B836" s="638"/>
      <c r="C836" s="639"/>
      <c r="D836" s="640"/>
      <c r="E836" s="641"/>
      <c r="F836" s="642"/>
      <c r="G836" s="643"/>
      <c r="H836" s="194"/>
    </row>
    <row r="837" spans="1:8" x14ac:dyDescent="0.25">
      <c r="A837" s="637"/>
      <c r="B837" s="638"/>
      <c r="C837" s="639"/>
      <c r="D837" s="640"/>
      <c r="E837" s="641"/>
      <c r="F837" s="642"/>
      <c r="G837" s="643"/>
      <c r="H837" s="194"/>
    </row>
    <row r="838" spans="1:8" x14ac:dyDescent="0.25">
      <c r="A838" s="637"/>
      <c r="B838" s="638"/>
      <c r="C838" s="639"/>
      <c r="D838" s="640"/>
      <c r="E838" s="641"/>
      <c r="F838" s="642"/>
      <c r="G838" s="643"/>
      <c r="H838" s="194"/>
    </row>
    <row r="839" spans="1:8" x14ac:dyDescent="0.25">
      <c r="A839" s="637"/>
      <c r="B839" s="638"/>
      <c r="C839" s="639"/>
      <c r="D839" s="640"/>
      <c r="E839" s="641"/>
      <c r="F839" s="642"/>
      <c r="G839" s="643"/>
      <c r="H839" s="194"/>
    </row>
    <row r="840" spans="1:8" x14ac:dyDescent="0.25">
      <c r="A840" s="637"/>
      <c r="B840" s="638"/>
      <c r="C840" s="639"/>
      <c r="D840" s="640"/>
      <c r="E840" s="641"/>
      <c r="F840" s="642"/>
      <c r="G840" s="643"/>
      <c r="H840" s="194"/>
    </row>
    <row r="841" spans="1:8" x14ac:dyDescent="0.25">
      <c r="A841" s="637"/>
      <c r="B841" s="638"/>
      <c r="C841" s="639"/>
      <c r="D841" s="640"/>
      <c r="E841" s="641"/>
      <c r="F841" s="642"/>
      <c r="G841" s="643"/>
      <c r="H841" s="194"/>
    </row>
    <row r="842" spans="1:8" x14ac:dyDescent="0.25">
      <c r="A842" s="637"/>
      <c r="B842" s="638"/>
      <c r="C842" s="639"/>
      <c r="D842" s="640"/>
      <c r="E842" s="641"/>
      <c r="F842" s="642"/>
      <c r="G842" s="643"/>
      <c r="H842" s="194"/>
    </row>
    <row r="843" spans="1:8" x14ac:dyDescent="0.25">
      <c r="A843" s="637"/>
      <c r="B843" s="638"/>
      <c r="C843" s="639"/>
      <c r="D843" s="640"/>
      <c r="E843" s="641"/>
      <c r="F843" s="642"/>
      <c r="G843" s="643"/>
      <c r="H843" s="194"/>
    </row>
    <row r="844" spans="1:8" x14ac:dyDescent="0.25">
      <c r="A844" s="637"/>
      <c r="B844" s="638"/>
      <c r="C844" s="639"/>
      <c r="D844" s="640"/>
      <c r="E844" s="641"/>
      <c r="F844" s="642"/>
      <c r="G844" s="643"/>
      <c r="H844" s="194"/>
    </row>
    <row r="845" spans="1:8" x14ac:dyDescent="0.25">
      <c r="A845" s="637"/>
      <c r="B845" s="638"/>
      <c r="C845" s="639"/>
      <c r="D845" s="640"/>
      <c r="E845" s="641"/>
      <c r="F845" s="642"/>
      <c r="G845" s="643"/>
      <c r="H845" s="194"/>
    </row>
    <row r="846" spans="1:8" x14ac:dyDescent="0.25">
      <c r="A846" s="637"/>
      <c r="B846" s="638"/>
      <c r="C846" s="639"/>
      <c r="D846" s="640"/>
      <c r="E846" s="641"/>
      <c r="F846" s="642"/>
      <c r="G846" s="643"/>
      <c r="H846" s="194"/>
    </row>
    <row r="847" spans="1:8" x14ac:dyDescent="0.25">
      <c r="A847" s="637"/>
      <c r="B847" s="638"/>
      <c r="C847" s="639"/>
      <c r="D847" s="640"/>
      <c r="E847" s="641"/>
      <c r="F847" s="642"/>
      <c r="G847" s="643"/>
      <c r="H847" s="194"/>
    </row>
    <row r="848" spans="1:8" x14ac:dyDescent="0.25">
      <c r="A848" s="637"/>
      <c r="B848" s="638"/>
      <c r="C848" s="639"/>
      <c r="D848" s="640"/>
      <c r="E848" s="641"/>
      <c r="F848" s="642"/>
      <c r="G848" s="643"/>
      <c r="H848" s="194"/>
    </row>
    <row r="849" spans="1:8" x14ac:dyDescent="0.25">
      <c r="A849" s="637"/>
      <c r="B849" s="638"/>
      <c r="C849" s="639"/>
      <c r="D849" s="640"/>
      <c r="E849" s="641"/>
      <c r="F849" s="642"/>
      <c r="G849" s="643"/>
      <c r="H849" s="194"/>
    </row>
    <row r="850" spans="1:8" x14ac:dyDescent="0.25">
      <c r="A850" s="637"/>
      <c r="B850" s="638"/>
      <c r="C850" s="639"/>
      <c r="D850" s="640"/>
      <c r="E850" s="641"/>
      <c r="F850" s="642"/>
      <c r="G850" s="643"/>
      <c r="H850" s="194"/>
    </row>
    <row r="851" spans="1:8" x14ac:dyDescent="0.25">
      <c r="A851" s="637"/>
      <c r="B851" s="638"/>
      <c r="C851" s="639"/>
      <c r="D851" s="640"/>
      <c r="E851" s="641"/>
      <c r="F851" s="642"/>
      <c r="G851" s="643"/>
      <c r="H851" s="194"/>
    </row>
    <row r="852" spans="1:8" x14ac:dyDescent="0.25">
      <c r="A852" s="637"/>
      <c r="B852" s="638"/>
      <c r="C852" s="639"/>
      <c r="D852" s="640"/>
      <c r="E852" s="641"/>
      <c r="F852" s="642"/>
      <c r="G852" s="643"/>
      <c r="H852" s="194"/>
    </row>
    <row r="853" spans="1:8" x14ac:dyDescent="0.25">
      <c r="A853" s="637"/>
      <c r="B853" s="638"/>
      <c r="C853" s="639"/>
      <c r="D853" s="640"/>
      <c r="E853" s="641"/>
      <c r="F853" s="642"/>
      <c r="G853" s="643"/>
      <c r="H853" s="194"/>
    </row>
    <row r="854" spans="1:8" x14ac:dyDescent="0.25">
      <c r="A854" s="637"/>
      <c r="B854" s="638"/>
      <c r="C854" s="639"/>
      <c r="D854" s="640"/>
      <c r="E854" s="641"/>
      <c r="F854" s="642"/>
      <c r="G854" s="643"/>
      <c r="H854" s="194"/>
    </row>
    <row r="855" spans="1:8" x14ac:dyDescent="0.25">
      <c r="A855" s="637"/>
      <c r="B855" s="638"/>
      <c r="C855" s="639"/>
      <c r="D855" s="640"/>
      <c r="E855" s="641"/>
      <c r="F855" s="642"/>
      <c r="G855" s="643"/>
      <c r="H855" s="194"/>
    </row>
    <row r="856" spans="1:8" x14ac:dyDescent="0.25">
      <c r="A856" s="637"/>
      <c r="B856" s="638"/>
      <c r="C856" s="639"/>
      <c r="D856" s="640"/>
      <c r="E856" s="641"/>
      <c r="F856" s="642"/>
      <c r="G856" s="643"/>
      <c r="H856" s="194"/>
    </row>
    <row r="857" spans="1:8" x14ac:dyDescent="0.25">
      <c r="A857" s="637"/>
      <c r="B857" s="638"/>
      <c r="C857" s="639"/>
      <c r="D857" s="640"/>
      <c r="E857" s="641"/>
      <c r="F857" s="642"/>
      <c r="G857" s="643"/>
      <c r="H857" s="194"/>
    </row>
    <row r="858" spans="1:8" x14ac:dyDescent="0.25">
      <c r="A858" s="637"/>
      <c r="B858" s="638"/>
      <c r="C858" s="639"/>
      <c r="D858" s="640"/>
      <c r="E858" s="641"/>
      <c r="F858" s="642"/>
      <c r="G858" s="643"/>
      <c r="H858" s="194"/>
    </row>
    <row r="859" spans="1:8" x14ac:dyDescent="0.25">
      <c r="A859" s="637"/>
      <c r="B859" s="638"/>
      <c r="C859" s="639"/>
      <c r="D859" s="640"/>
      <c r="E859" s="641"/>
      <c r="F859" s="642"/>
      <c r="G859" s="643"/>
      <c r="H859" s="194"/>
    </row>
    <row r="860" spans="1:8" x14ac:dyDescent="0.25">
      <c r="A860" s="637"/>
      <c r="B860" s="638"/>
      <c r="C860" s="639"/>
      <c r="D860" s="640"/>
      <c r="E860" s="641"/>
      <c r="F860" s="642"/>
      <c r="G860" s="643"/>
      <c r="H860" s="194"/>
    </row>
    <row r="861" spans="1:8" x14ac:dyDescent="0.25">
      <c r="A861" s="637"/>
      <c r="B861" s="638"/>
      <c r="C861" s="639"/>
      <c r="D861" s="640"/>
      <c r="E861" s="641"/>
      <c r="F861" s="642"/>
      <c r="G861" s="643"/>
      <c r="H861" s="194"/>
    </row>
    <row r="862" spans="1:8" x14ac:dyDescent="0.25">
      <c r="A862" s="637"/>
      <c r="B862" s="638"/>
      <c r="C862" s="639"/>
      <c r="D862" s="640"/>
      <c r="E862" s="641"/>
      <c r="F862" s="642"/>
      <c r="G862" s="643"/>
      <c r="H862" s="194"/>
    </row>
    <row r="863" spans="1:8" x14ac:dyDescent="0.25">
      <c r="A863" s="637"/>
      <c r="B863" s="638"/>
      <c r="C863" s="639"/>
      <c r="D863" s="640"/>
      <c r="E863" s="641"/>
      <c r="F863" s="642"/>
      <c r="G863" s="643"/>
      <c r="H863" s="194"/>
    </row>
    <row r="864" spans="1:8" x14ac:dyDescent="0.25">
      <c r="A864" s="637"/>
      <c r="B864" s="638"/>
      <c r="C864" s="639"/>
      <c r="D864" s="640"/>
      <c r="E864" s="641"/>
      <c r="F864" s="642"/>
      <c r="G864" s="643"/>
      <c r="H864" s="194"/>
    </row>
    <row r="865" spans="1:8" x14ac:dyDescent="0.25">
      <c r="A865" s="637"/>
      <c r="B865" s="638"/>
      <c r="C865" s="639"/>
      <c r="D865" s="640"/>
      <c r="E865" s="641"/>
      <c r="F865" s="642"/>
      <c r="G865" s="643"/>
      <c r="H865" s="194"/>
    </row>
    <row r="866" spans="1:8" x14ac:dyDescent="0.25">
      <c r="A866" s="637"/>
      <c r="B866" s="638"/>
      <c r="C866" s="639"/>
      <c r="D866" s="640"/>
      <c r="E866" s="641"/>
      <c r="F866" s="642"/>
      <c r="G866" s="643"/>
      <c r="H866" s="194"/>
    </row>
    <row r="867" spans="1:8" x14ac:dyDescent="0.25">
      <c r="A867" s="637"/>
      <c r="B867" s="638"/>
      <c r="C867" s="639"/>
      <c r="D867" s="640"/>
      <c r="E867" s="641"/>
      <c r="F867" s="642"/>
      <c r="G867" s="643"/>
      <c r="H867" s="194"/>
    </row>
    <row r="868" spans="1:8" x14ac:dyDescent="0.25">
      <c r="A868" s="637"/>
      <c r="B868" s="638"/>
      <c r="C868" s="639"/>
      <c r="D868" s="640"/>
      <c r="E868" s="641"/>
      <c r="F868" s="642"/>
      <c r="G868" s="643"/>
      <c r="H868" s="194"/>
    </row>
  </sheetData>
  <mergeCells count="4">
    <mergeCell ref="A1:F1"/>
    <mergeCell ref="A2:F2"/>
    <mergeCell ref="A5:A6"/>
    <mergeCell ref="A395:A396"/>
  </mergeCells>
  <conditionalFormatting sqref="D234">
    <cfRule type="cellIs" dxfId="123" priority="35" operator="notEqual">
      <formula>#REF!</formula>
    </cfRule>
  </conditionalFormatting>
  <conditionalFormatting sqref="D236:D237">
    <cfRule type="cellIs" dxfId="122" priority="34" operator="notEqual">
      <formula>#REF!</formula>
    </cfRule>
  </conditionalFormatting>
  <conditionalFormatting sqref="A570">
    <cfRule type="cellIs" dxfId="121" priority="51" operator="equal">
      <formula>"x"</formula>
    </cfRule>
  </conditionalFormatting>
  <conditionalFormatting sqref="D211:D213 D72:D94 D108 D70 D171:D188 D96:D103">
    <cfRule type="cellIs" dxfId="120" priority="50" operator="notEqual">
      <formula>#REF!</formula>
    </cfRule>
  </conditionalFormatting>
  <conditionalFormatting sqref="A570">
    <cfRule type="iconSet" priority="49">
      <iconSet iconSet="3Flags" showValue="0">
        <cfvo type="percent" val="0"/>
        <cfvo type="num" val="0"/>
        <cfvo type="num" val="1"/>
      </iconSet>
    </cfRule>
  </conditionalFormatting>
  <conditionalFormatting sqref="D227:D232 C231 C227 D234:D267 C255">
    <cfRule type="cellIs" dxfId="119" priority="48" operator="notEqual">
      <formula>#REF!</formula>
    </cfRule>
  </conditionalFormatting>
  <conditionalFormatting sqref="D218:D219 C219">
    <cfRule type="cellIs" dxfId="118" priority="47" operator="notEqual">
      <formula>#REF!</formula>
    </cfRule>
  </conditionalFormatting>
  <conditionalFormatting sqref="D221">
    <cfRule type="cellIs" dxfId="117" priority="46" operator="notEqual">
      <formula>#REF!</formula>
    </cfRule>
  </conditionalFormatting>
  <conditionalFormatting sqref="C210:D210 D244:D251 J244:J252">
    <cfRule type="cellIs" dxfId="116" priority="45" operator="notEqual">
      <formula>#REF!</formula>
    </cfRule>
  </conditionalFormatting>
  <conditionalFormatting sqref="D233">
    <cfRule type="cellIs" dxfId="115" priority="44" operator="notEqual">
      <formula>#REF!</formula>
    </cfRule>
  </conditionalFormatting>
  <conditionalFormatting sqref="D222:D223">
    <cfRule type="cellIs" dxfId="114" priority="43" operator="notEqual">
      <formula>#REF!</formula>
    </cfRule>
  </conditionalFormatting>
  <conditionalFormatting sqref="D224">
    <cfRule type="cellIs" dxfId="113" priority="42" operator="notEqual">
      <formula>#REF!</formula>
    </cfRule>
  </conditionalFormatting>
  <conditionalFormatting sqref="D222:D223 D225:D227 C227">
    <cfRule type="cellIs" dxfId="112" priority="41" operator="notEqual">
      <formula>#REF!</formula>
    </cfRule>
  </conditionalFormatting>
  <conditionalFormatting sqref="D228:D231 C231">
    <cfRule type="cellIs" dxfId="111" priority="40" operator="notEqual">
      <formula>#REF!</formula>
    </cfRule>
  </conditionalFormatting>
  <conditionalFormatting sqref="D232">
    <cfRule type="cellIs" dxfId="110" priority="39" operator="notEqual">
      <formula>#REF!</formula>
    </cfRule>
  </conditionalFormatting>
  <conditionalFormatting sqref="D224">
    <cfRule type="cellIs" dxfId="109" priority="38" operator="notEqual">
      <formula>#REF!</formula>
    </cfRule>
  </conditionalFormatting>
  <conditionalFormatting sqref="D233">
    <cfRule type="cellIs" dxfId="108" priority="37" operator="notEqual">
      <formula>#REF!</formula>
    </cfRule>
  </conditionalFormatting>
  <conditionalFormatting sqref="D235">
    <cfRule type="cellIs" dxfId="107" priority="36" operator="notEqual">
      <formula>#REF!</formula>
    </cfRule>
  </conditionalFormatting>
  <conditionalFormatting sqref="D235">
    <cfRule type="cellIs" dxfId="106" priority="33" operator="notEqual">
      <formula>#REF!</formula>
    </cfRule>
  </conditionalFormatting>
  <conditionalFormatting sqref="D95">
    <cfRule type="cellIs" dxfId="105" priority="32" operator="notEqual">
      <formula>#REF!</formula>
    </cfRule>
  </conditionalFormatting>
  <conditionalFormatting sqref="J210">
    <cfRule type="cellIs" dxfId="104" priority="31" operator="notEqual">
      <formula>#REF!</formula>
    </cfRule>
  </conditionalFormatting>
  <conditionalFormatting sqref="J203:J209">
    <cfRule type="cellIs" dxfId="103" priority="30" operator="notEqual">
      <formula>#REF!</formula>
    </cfRule>
  </conditionalFormatting>
  <conditionalFormatting sqref="J234:J235">
    <cfRule type="cellIs" dxfId="102" priority="29" operator="notEqual">
      <formula>#REF!</formula>
    </cfRule>
  </conditionalFormatting>
  <conditionalFormatting sqref="J234">
    <cfRule type="cellIs" dxfId="101" priority="28" operator="notEqual">
      <formula>#REF!</formula>
    </cfRule>
  </conditionalFormatting>
  <conditionalFormatting sqref="J235">
    <cfRule type="cellIs" dxfId="100" priority="27" operator="notEqual">
      <formula>#REF!</formula>
    </cfRule>
  </conditionalFormatting>
  <conditionalFormatting sqref="J234">
    <cfRule type="cellIs" dxfId="99" priority="26" operator="notEqual">
      <formula>#REF!</formula>
    </cfRule>
  </conditionalFormatting>
  <conditionalFormatting sqref="D222:D223 D225:D227 C227">
    <cfRule type="cellIs" dxfId="98" priority="25" operator="notEqual">
      <formula>#REF!</formula>
    </cfRule>
  </conditionalFormatting>
  <conditionalFormatting sqref="D228:D230">
    <cfRule type="cellIs" dxfId="97" priority="24" operator="notEqual">
      <formula>#REF!</formula>
    </cfRule>
  </conditionalFormatting>
  <conditionalFormatting sqref="D232">
    <cfRule type="cellIs" dxfId="96" priority="23" operator="notEqual">
      <formula>#REF!</formula>
    </cfRule>
  </conditionalFormatting>
  <conditionalFormatting sqref="D224">
    <cfRule type="cellIs" dxfId="95" priority="22" operator="notEqual">
      <formula>#REF!</formula>
    </cfRule>
  </conditionalFormatting>
  <conditionalFormatting sqref="D243">
    <cfRule type="cellIs" dxfId="94" priority="21" operator="notEqual">
      <formula>#REF!</formula>
    </cfRule>
  </conditionalFormatting>
  <conditionalFormatting sqref="D233">
    <cfRule type="cellIs" dxfId="93" priority="20" operator="notEqual">
      <formula>#REF!</formula>
    </cfRule>
  </conditionalFormatting>
  <conditionalFormatting sqref="D235">
    <cfRule type="cellIs" dxfId="92" priority="19" operator="notEqual">
      <formula>#REF!</formula>
    </cfRule>
  </conditionalFormatting>
  <conditionalFormatting sqref="D234">
    <cfRule type="cellIs" dxfId="91" priority="18" operator="notEqual">
      <formula>#REF!</formula>
    </cfRule>
  </conditionalFormatting>
  <conditionalFormatting sqref="D261">
    <cfRule type="cellIs" dxfId="90" priority="17" operator="notEqual">
      <formula>#REF!</formula>
    </cfRule>
  </conditionalFormatting>
  <conditionalFormatting sqref="D233:D234 D236:D238">
    <cfRule type="cellIs" dxfId="89" priority="16" operator="notEqual">
      <formula>#REF!</formula>
    </cfRule>
  </conditionalFormatting>
  <conditionalFormatting sqref="D239:D241">
    <cfRule type="cellIs" dxfId="88" priority="15" operator="notEqual">
      <formula>#REF!</formula>
    </cfRule>
  </conditionalFormatting>
  <conditionalFormatting sqref="D242">
    <cfRule type="cellIs" dxfId="87" priority="14" operator="notEqual">
      <formula>#REF!</formula>
    </cfRule>
  </conditionalFormatting>
  <conditionalFormatting sqref="D235">
    <cfRule type="cellIs" dxfId="86" priority="13" operator="notEqual">
      <formula>#REF!</formula>
    </cfRule>
  </conditionalFormatting>
  <conditionalFormatting sqref="D243">
    <cfRule type="cellIs" dxfId="85" priority="12" operator="notEqual">
      <formula>#REF!</formula>
    </cfRule>
  </conditionalFormatting>
  <conditionalFormatting sqref="D252">
    <cfRule type="cellIs" dxfId="84" priority="11" operator="notEqual">
      <formula>#REF!</formula>
    </cfRule>
  </conditionalFormatting>
  <conditionalFormatting sqref="D253:D254">
    <cfRule type="cellIs" dxfId="83" priority="10" operator="notEqual">
      <formula>#REF!</formula>
    </cfRule>
  </conditionalFormatting>
  <conditionalFormatting sqref="D252">
    <cfRule type="cellIs" dxfId="82" priority="9" operator="notEqual">
      <formula>#REF!</formula>
    </cfRule>
  </conditionalFormatting>
  <conditionalFormatting sqref="J252">
    <cfRule type="cellIs" dxfId="81" priority="8" operator="notEqual">
      <formula>#REF!</formula>
    </cfRule>
  </conditionalFormatting>
  <conditionalFormatting sqref="D214:D217">
    <cfRule type="cellIs" dxfId="80" priority="7" operator="notEqual">
      <formula>#REF!</formula>
    </cfRule>
  </conditionalFormatting>
  <conditionalFormatting sqref="D104:D107">
    <cfRule type="cellIs" dxfId="79" priority="6" operator="notEqual">
      <formula>#REF!</formula>
    </cfRule>
  </conditionalFormatting>
  <conditionalFormatting sqref="D267">
    <cfRule type="cellIs" dxfId="78" priority="5" operator="notEqual">
      <formula>#REF!</formula>
    </cfRule>
  </conditionalFormatting>
  <conditionalFormatting sqref="D189:D203 D209">
    <cfRule type="cellIs" dxfId="77" priority="4" operator="notEqual">
      <formula>#REF!</formula>
    </cfRule>
  </conditionalFormatting>
  <conditionalFormatting sqref="D204:D208">
    <cfRule type="cellIs" dxfId="76" priority="3" operator="notEqual">
      <formula>#REF!</formula>
    </cfRule>
  </conditionalFormatting>
  <conditionalFormatting sqref="J253">
    <cfRule type="cellIs" dxfId="75" priority="2" operator="notEqual">
      <formula>#REF!</formula>
    </cfRule>
  </conditionalFormatting>
  <conditionalFormatting sqref="J253">
    <cfRule type="cellIs" dxfId="74" priority="1" operator="notEqual">
      <formula>#REF!</formula>
    </cfRule>
  </conditionalFormatting>
  <pageMargins left="0.70866141732283472" right="0.70866141732283472" top="0.78740157480314965" bottom="0.78740157480314965" header="0.31496062992125984" footer="0.31496062992125984"/>
  <pageSetup paperSize="9" scale="51" fitToHeight="11" orientation="portrait" r:id="rId1"/>
  <legacy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726"/>
  <sheetViews>
    <sheetView topLeftCell="A70" zoomScaleNormal="100" workbookViewId="0">
      <selection activeCell="I23" sqref="I23"/>
    </sheetView>
  </sheetViews>
  <sheetFormatPr defaultColWidth="9.140625" defaultRowHeight="15.75" x14ac:dyDescent="0.25"/>
  <cols>
    <col min="1" max="1" width="11.28515625" style="305" customWidth="1"/>
    <col min="2" max="2" width="94.5703125" style="45" customWidth="1"/>
    <col min="3" max="3" width="22.5703125" style="471" customWidth="1"/>
    <col min="4" max="4" width="16.7109375" style="2" customWidth="1"/>
    <col min="5" max="5" width="16.5703125" style="88" customWidth="1"/>
    <col min="6" max="6" width="17.140625" style="88" customWidth="1"/>
    <col min="7" max="7" width="20.28515625" style="269" customWidth="1"/>
    <col min="8" max="8" width="20.28515625" style="45" customWidth="1"/>
    <col min="9" max="9" width="13.5703125" style="45" bestFit="1" customWidth="1"/>
    <col min="10" max="10" width="15.7109375" style="45" bestFit="1" customWidth="1"/>
    <col min="11" max="11" width="11" style="45" bestFit="1" customWidth="1"/>
    <col min="12" max="16384" width="9.140625" style="45"/>
  </cols>
  <sheetData>
    <row r="1" spans="1:7" ht="22.5" x14ac:dyDescent="0.3">
      <c r="A1" s="689" t="s">
        <v>0</v>
      </c>
      <c r="B1" s="689"/>
      <c r="C1" s="689"/>
      <c r="D1" s="689"/>
      <c r="E1" s="689"/>
      <c r="F1" s="689"/>
    </row>
    <row r="2" spans="1:7" ht="22.5" x14ac:dyDescent="0.3">
      <c r="A2" s="689" t="s">
        <v>673</v>
      </c>
      <c r="B2" s="689"/>
      <c r="C2" s="689"/>
      <c r="D2" s="689"/>
      <c r="E2" s="689"/>
      <c r="F2" s="689"/>
    </row>
    <row r="3" spans="1:7" ht="22.5" x14ac:dyDescent="0.3">
      <c r="A3" s="464"/>
      <c r="B3" s="270"/>
      <c r="C3" s="473"/>
      <c r="D3" s="463"/>
      <c r="E3" s="463"/>
      <c r="F3" s="463"/>
    </row>
    <row r="4" spans="1:7" ht="23.25" thickBot="1" x14ac:dyDescent="0.35">
      <c r="A4" s="464"/>
      <c r="B4" s="464"/>
      <c r="C4" s="472"/>
      <c r="D4" s="421"/>
      <c r="E4" s="463"/>
      <c r="F4" s="1"/>
    </row>
    <row r="5" spans="1:7" x14ac:dyDescent="0.25">
      <c r="A5" s="690" t="s">
        <v>193</v>
      </c>
      <c r="B5" s="5"/>
      <c r="C5" s="480"/>
      <c r="D5" s="359"/>
      <c r="E5" s="6"/>
      <c r="F5" s="6"/>
      <c r="G5" s="79"/>
    </row>
    <row r="6" spans="1:7" ht="16.5" thickBot="1" x14ac:dyDescent="0.3">
      <c r="A6" s="691"/>
      <c r="B6" s="10" t="s">
        <v>2</v>
      </c>
      <c r="C6" s="485" t="s">
        <v>3</v>
      </c>
      <c r="D6" s="360" t="s">
        <v>4</v>
      </c>
      <c r="E6" s="11" t="s">
        <v>5</v>
      </c>
      <c r="F6" s="11" t="s">
        <v>6</v>
      </c>
    </row>
    <row r="7" spans="1:7" x14ac:dyDescent="0.25">
      <c r="A7" s="272"/>
      <c r="B7" s="273" t="s">
        <v>14</v>
      </c>
      <c r="C7" s="506">
        <f>+SUM(C8:C19)</f>
        <v>121.19054</v>
      </c>
      <c r="D7" s="30">
        <f>+SUM(D8:D19)</f>
        <v>121190.54</v>
      </c>
      <c r="E7" s="22"/>
      <c r="F7" s="29"/>
      <c r="G7" s="45">
        <f>+C7*1000-D7</f>
        <v>0</v>
      </c>
    </row>
    <row r="8" spans="1:7" x14ac:dyDescent="0.25">
      <c r="A8" s="272">
        <v>42117</v>
      </c>
      <c r="B8" s="276" t="s">
        <v>146</v>
      </c>
      <c r="C8" s="505">
        <v>33.306150000000002</v>
      </c>
      <c r="D8" s="20">
        <v>33306.15</v>
      </c>
      <c r="E8" s="22">
        <v>90001</v>
      </c>
      <c r="F8" s="29">
        <v>4113</v>
      </c>
      <c r="G8" s="45"/>
    </row>
    <row r="9" spans="1:7" x14ac:dyDescent="0.25">
      <c r="A9" s="272">
        <v>42194</v>
      </c>
      <c r="B9" s="276" t="s">
        <v>279</v>
      </c>
      <c r="C9" s="505">
        <v>5.5467000000000004</v>
      </c>
      <c r="D9" s="20">
        <v>5546.7</v>
      </c>
      <c r="E9" s="22">
        <v>90001</v>
      </c>
      <c r="F9" s="29">
        <v>4113</v>
      </c>
      <c r="G9" s="45"/>
    </row>
    <row r="10" spans="1:7" x14ac:dyDescent="0.25">
      <c r="A10" s="272">
        <v>42348</v>
      </c>
      <c r="B10" s="276" t="s">
        <v>633</v>
      </c>
      <c r="C10" s="505">
        <v>38.598590000000002</v>
      </c>
      <c r="D10" s="20">
        <v>38598.589999999997</v>
      </c>
      <c r="E10" s="22">
        <v>90001</v>
      </c>
      <c r="F10" s="29">
        <v>4113</v>
      </c>
      <c r="G10" s="45"/>
    </row>
    <row r="11" spans="1:7" x14ac:dyDescent="0.25">
      <c r="A11" s="272">
        <v>42348</v>
      </c>
      <c r="B11" s="276" t="s">
        <v>634</v>
      </c>
      <c r="C11" s="505">
        <v>20.12847</v>
      </c>
      <c r="D11" s="20">
        <v>20128.47</v>
      </c>
      <c r="E11" s="22">
        <v>90001</v>
      </c>
      <c r="F11" s="29">
        <v>4113</v>
      </c>
      <c r="G11" s="45"/>
    </row>
    <row r="12" spans="1:7" x14ac:dyDescent="0.25">
      <c r="A12" s="272">
        <v>42348</v>
      </c>
      <c r="B12" s="276" t="s">
        <v>646</v>
      </c>
      <c r="C12" s="505">
        <v>2.4167100000000001</v>
      </c>
      <c r="D12" s="20">
        <v>2416.71</v>
      </c>
      <c r="E12" s="22">
        <v>90001</v>
      </c>
      <c r="F12" s="29">
        <v>4113</v>
      </c>
      <c r="G12" s="45"/>
    </row>
    <row r="13" spans="1:7" x14ac:dyDescent="0.25">
      <c r="A13" s="272">
        <v>42349</v>
      </c>
      <c r="B13" s="276" t="s">
        <v>647</v>
      </c>
      <c r="C13" s="505">
        <v>6.9417999999999997</v>
      </c>
      <c r="D13" s="20">
        <v>6941.8</v>
      </c>
      <c r="E13" s="22">
        <v>90001</v>
      </c>
      <c r="F13" s="29">
        <v>4113</v>
      </c>
      <c r="G13" s="45"/>
    </row>
    <row r="14" spans="1:7" x14ac:dyDescent="0.25">
      <c r="A14" s="43">
        <v>42354</v>
      </c>
      <c r="B14" s="276" t="s">
        <v>648</v>
      </c>
      <c r="C14" s="505">
        <v>3.1039500000000002</v>
      </c>
      <c r="D14" s="20">
        <v>3103.95</v>
      </c>
      <c r="E14" s="22">
        <v>90001</v>
      </c>
      <c r="F14" s="29">
        <v>4113</v>
      </c>
      <c r="G14" s="45"/>
    </row>
    <row r="15" spans="1:7" x14ac:dyDescent="0.25">
      <c r="A15" s="272">
        <v>42354</v>
      </c>
      <c r="B15" s="276" t="s">
        <v>649</v>
      </c>
      <c r="C15" s="505">
        <v>1.93167</v>
      </c>
      <c r="D15" s="20">
        <v>1931.67</v>
      </c>
      <c r="E15" s="22">
        <v>90001</v>
      </c>
      <c r="F15" s="29">
        <v>4113</v>
      </c>
      <c r="G15" s="45"/>
    </row>
    <row r="16" spans="1:7" x14ac:dyDescent="0.25">
      <c r="A16" s="272">
        <v>42354</v>
      </c>
      <c r="B16" s="276" t="s">
        <v>650</v>
      </c>
      <c r="C16" s="505">
        <v>6.3040599999999998</v>
      </c>
      <c r="D16" s="20">
        <v>6304.06</v>
      </c>
      <c r="E16" s="22">
        <v>90001</v>
      </c>
      <c r="F16" s="29">
        <v>4113</v>
      </c>
      <c r="G16" s="45"/>
    </row>
    <row r="17" spans="1:10" x14ac:dyDescent="0.25">
      <c r="A17" s="272">
        <v>42354</v>
      </c>
      <c r="B17" s="276" t="s">
        <v>651</v>
      </c>
      <c r="C17" s="505">
        <v>0.12103999999999999</v>
      </c>
      <c r="D17" s="20">
        <v>121.04</v>
      </c>
      <c r="E17" s="22">
        <v>90001</v>
      </c>
      <c r="F17" s="29">
        <v>4113</v>
      </c>
      <c r="G17" s="45"/>
    </row>
    <row r="18" spans="1:10" x14ac:dyDescent="0.25">
      <c r="A18" s="272">
        <v>42354</v>
      </c>
      <c r="B18" s="276" t="s">
        <v>664</v>
      </c>
      <c r="C18" s="505">
        <v>0.60499999999999998</v>
      </c>
      <c r="D18" s="20">
        <v>605</v>
      </c>
      <c r="E18" s="22">
        <v>90001</v>
      </c>
      <c r="F18" s="29">
        <v>4113</v>
      </c>
      <c r="G18" s="45"/>
    </row>
    <row r="19" spans="1:10" x14ac:dyDescent="0.25">
      <c r="A19" s="272">
        <v>42354</v>
      </c>
      <c r="B19" s="276" t="s">
        <v>652</v>
      </c>
      <c r="C19" s="505">
        <v>2.1863999999999999</v>
      </c>
      <c r="D19" s="20">
        <v>2186.4</v>
      </c>
      <c r="E19" s="22">
        <v>90001</v>
      </c>
      <c r="F19" s="29">
        <v>4113</v>
      </c>
      <c r="G19" s="45"/>
    </row>
    <row r="20" spans="1:10" x14ac:dyDescent="0.25">
      <c r="A20" s="272"/>
      <c r="B20" s="278"/>
      <c r="C20" s="505"/>
      <c r="D20" s="422"/>
      <c r="E20" s="161"/>
      <c r="F20" s="22"/>
      <c r="G20" s="45"/>
    </row>
    <row r="21" spans="1:10" s="275" customFormat="1" x14ac:dyDescent="0.25">
      <c r="A21" s="272"/>
      <c r="B21" s="273" t="s">
        <v>17</v>
      </c>
      <c r="C21" s="506">
        <f>SUM(C22:C29)</f>
        <v>3848</v>
      </c>
      <c r="D21" s="30">
        <f>SUM(D22:D29)</f>
        <v>3848000</v>
      </c>
      <c r="E21" s="33"/>
      <c r="F21" s="16"/>
      <c r="G21" s="45">
        <f>+C21*1000-D21</f>
        <v>0</v>
      </c>
      <c r="H21" s="45"/>
      <c r="I21" s="45"/>
      <c r="J21" s="45"/>
    </row>
    <row r="22" spans="1:10" x14ac:dyDescent="0.25">
      <c r="A22" s="43">
        <v>42053</v>
      </c>
      <c r="B22" s="107" t="s">
        <v>37</v>
      </c>
      <c r="C22" s="282">
        <v>3744</v>
      </c>
      <c r="D22" s="20">
        <v>3744000</v>
      </c>
      <c r="E22" s="34">
        <v>13010</v>
      </c>
      <c r="F22" s="29">
        <v>4116</v>
      </c>
      <c r="G22" s="45"/>
    </row>
    <row r="23" spans="1:10" x14ac:dyDescent="0.25">
      <c r="A23" s="272">
        <v>42123</v>
      </c>
      <c r="B23" s="107" t="s">
        <v>37</v>
      </c>
      <c r="C23" s="282">
        <v>8</v>
      </c>
      <c r="D23" s="20">
        <v>8000</v>
      </c>
      <c r="E23" s="34">
        <v>13010</v>
      </c>
      <c r="F23" s="29">
        <v>4116</v>
      </c>
      <c r="G23" s="45"/>
    </row>
    <row r="24" spans="1:10" x14ac:dyDescent="0.25">
      <c r="A24" s="272">
        <v>42152</v>
      </c>
      <c r="B24" s="107" t="s">
        <v>37</v>
      </c>
      <c r="C24" s="282">
        <v>12</v>
      </c>
      <c r="D24" s="20">
        <v>12000</v>
      </c>
      <c r="E24" s="34">
        <v>13010</v>
      </c>
      <c r="F24" s="29">
        <v>4116</v>
      </c>
      <c r="G24" s="45"/>
    </row>
    <row r="25" spans="1:10" s="275" customFormat="1" x14ac:dyDescent="0.25">
      <c r="A25" s="272">
        <v>42184</v>
      </c>
      <c r="B25" s="107" t="s">
        <v>37</v>
      </c>
      <c r="C25" s="282">
        <v>44</v>
      </c>
      <c r="D25" s="20">
        <v>44000</v>
      </c>
      <c r="E25" s="34">
        <v>13010</v>
      </c>
      <c r="F25" s="29">
        <v>4116</v>
      </c>
      <c r="G25" s="45"/>
      <c r="H25" s="45"/>
      <c r="I25" s="45"/>
      <c r="J25" s="45"/>
    </row>
    <row r="26" spans="1:10" x14ac:dyDescent="0.25">
      <c r="A26" s="43">
        <v>42201</v>
      </c>
      <c r="B26" s="107" t="s">
        <v>37</v>
      </c>
      <c r="C26" s="282">
        <v>32</v>
      </c>
      <c r="D26" s="20">
        <v>32000</v>
      </c>
      <c r="E26" s="34">
        <v>13010</v>
      </c>
      <c r="F26" s="29">
        <v>4116</v>
      </c>
      <c r="G26" s="45"/>
    </row>
    <row r="27" spans="1:10" x14ac:dyDescent="0.25">
      <c r="A27" s="43">
        <v>42283</v>
      </c>
      <c r="B27" s="107" t="s">
        <v>424</v>
      </c>
      <c r="C27" s="282">
        <v>-28</v>
      </c>
      <c r="D27" s="20">
        <v>-28000</v>
      </c>
      <c r="E27" s="34">
        <v>13010</v>
      </c>
      <c r="F27" s="29">
        <v>4116</v>
      </c>
      <c r="G27" s="45"/>
    </row>
    <row r="28" spans="1:10" x14ac:dyDescent="0.25">
      <c r="A28" s="43">
        <v>42310</v>
      </c>
      <c r="B28" s="107" t="s">
        <v>37</v>
      </c>
      <c r="C28" s="282">
        <v>20</v>
      </c>
      <c r="D28" s="20">
        <v>20000</v>
      </c>
      <c r="E28" s="34">
        <v>13010</v>
      </c>
      <c r="F28" s="29">
        <v>4116</v>
      </c>
      <c r="G28" s="45"/>
    </row>
    <row r="29" spans="1:10" x14ac:dyDescent="0.25">
      <c r="A29" s="43">
        <v>42319</v>
      </c>
      <c r="B29" s="107" t="s">
        <v>37</v>
      </c>
      <c r="C29" s="282">
        <v>16</v>
      </c>
      <c r="D29" s="20">
        <v>16000</v>
      </c>
      <c r="E29" s="34">
        <v>13010</v>
      </c>
      <c r="F29" s="29">
        <v>4116</v>
      </c>
      <c r="G29" s="45"/>
    </row>
    <row r="30" spans="1:10" x14ac:dyDescent="0.25">
      <c r="A30" s="43"/>
      <c r="B30" s="44"/>
      <c r="C30" s="282"/>
      <c r="D30" s="20"/>
      <c r="E30" s="35"/>
      <c r="F30" s="36"/>
      <c r="G30" s="45"/>
    </row>
    <row r="31" spans="1:10" x14ac:dyDescent="0.25">
      <c r="A31" s="43"/>
      <c r="B31" s="285" t="s">
        <v>116</v>
      </c>
      <c r="C31" s="524">
        <f>+SUM(C32:C33)</f>
        <v>36.299999999999997</v>
      </c>
      <c r="D31" s="39">
        <f>+SUM(D32:D33)</f>
        <v>36300</v>
      </c>
      <c r="E31" s="29"/>
      <c r="F31" s="36"/>
      <c r="G31" s="45">
        <f>+C31*1000-D31</f>
        <v>0</v>
      </c>
    </row>
    <row r="32" spans="1:10" x14ac:dyDescent="0.25">
      <c r="A32" s="43">
        <v>42066</v>
      </c>
      <c r="B32" s="107" t="s">
        <v>115</v>
      </c>
      <c r="C32" s="282">
        <v>36.299999999999997</v>
      </c>
      <c r="D32" s="20">
        <v>36300</v>
      </c>
      <c r="E32" s="41">
        <v>27003</v>
      </c>
      <c r="F32" s="36">
        <v>4116</v>
      </c>
      <c r="G32" s="45"/>
    </row>
    <row r="33" spans="1:7" x14ac:dyDescent="0.25">
      <c r="A33" s="287"/>
      <c r="B33" s="107"/>
      <c r="C33" s="282"/>
      <c r="D33" s="20"/>
      <c r="E33" s="36"/>
      <c r="F33" s="36"/>
      <c r="G33" s="45"/>
    </row>
    <row r="34" spans="1:7" x14ac:dyDescent="0.25">
      <c r="A34" s="43"/>
      <c r="B34" s="285" t="s">
        <v>33</v>
      </c>
      <c r="C34" s="524">
        <f>+SUM(C35:C66)</f>
        <v>24358</v>
      </c>
      <c r="D34" s="39">
        <f>+SUM(D35:D66)</f>
        <v>24358000</v>
      </c>
      <c r="E34" s="29"/>
      <c r="F34" s="36"/>
      <c r="G34" s="45">
        <f>+C34*1000-D34</f>
        <v>0</v>
      </c>
    </row>
    <row r="35" spans="1:7" x14ac:dyDescent="0.25">
      <c r="A35" s="43">
        <v>42086</v>
      </c>
      <c r="B35" s="107" t="s">
        <v>122</v>
      </c>
      <c r="C35" s="282">
        <v>80</v>
      </c>
      <c r="D35" s="21">
        <v>80000</v>
      </c>
      <c r="E35" s="29">
        <v>34070</v>
      </c>
      <c r="F35" s="29">
        <v>4116</v>
      </c>
      <c r="G35" s="45"/>
    </row>
    <row r="36" spans="1:7" x14ac:dyDescent="0.25">
      <c r="A36" s="43">
        <v>42116</v>
      </c>
      <c r="B36" s="107" t="s">
        <v>266</v>
      </c>
      <c r="C36" s="282">
        <v>25</v>
      </c>
      <c r="D36" s="21">
        <v>25000</v>
      </c>
      <c r="E36" s="29">
        <v>34070</v>
      </c>
      <c r="F36" s="29">
        <v>4116</v>
      </c>
      <c r="G36" s="45"/>
    </row>
    <row r="37" spans="1:7" x14ac:dyDescent="0.25">
      <c r="A37" s="43">
        <v>42116</v>
      </c>
      <c r="B37" s="107" t="s">
        <v>143</v>
      </c>
      <c r="C37" s="282">
        <v>18</v>
      </c>
      <c r="D37" s="21">
        <v>18000</v>
      </c>
      <c r="E37" s="29">
        <v>34070</v>
      </c>
      <c r="F37" s="29">
        <v>4116</v>
      </c>
      <c r="G37" s="45"/>
    </row>
    <row r="38" spans="1:7" x14ac:dyDescent="0.25">
      <c r="A38" s="43">
        <v>42116</v>
      </c>
      <c r="B38" s="107" t="s">
        <v>173</v>
      </c>
      <c r="C38" s="282">
        <v>20</v>
      </c>
      <c r="D38" s="21">
        <v>20000</v>
      </c>
      <c r="E38" s="29">
        <v>34070</v>
      </c>
      <c r="F38" s="29">
        <v>4116</v>
      </c>
      <c r="G38" s="45"/>
    </row>
    <row r="39" spans="1:7" x14ac:dyDescent="0.25">
      <c r="A39" s="43">
        <v>42128</v>
      </c>
      <c r="B39" s="107" t="s">
        <v>172</v>
      </c>
      <c r="C39" s="282">
        <v>45</v>
      </c>
      <c r="D39" s="21">
        <v>45000</v>
      </c>
      <c r="E39" s="29">
        <v>34053</v>
      </c>
      <c r="F39" s="29">
        <v>4116</v>
      </c>
      <c r="G39" s="45"/>
    </row>
    <row r="40" spans="1:7" x14ac:dyDescent="0.25">
      <c r="A40" s="43">
        <v>42135</v>
      </c>
      <c r="B40" s="107" t="s">
        <v>175</v>
      </c>
      <c r="C40" s="282">
        <v>600</v>
      </c>
      <c r="D40" s="21">
        <v>600000</v>
      </c>
      <c r="E40" s="29">
        <v>34070</v>
      </c>
      <c r="F40" s="29">
        <v>4116</v>
      </c>
      <c r="G40" s="45"/>
    </row>
    <row r="41" spans="1:7" x14ac:dyDescent="0.25">
      <c r="A41" s="43">
        <v>42135</v>
      </c>
      <c r="B41" s="107" t="s">
        <v>176</v>
      </c>
      <c r="C41" s="282">
        <v>70</v>
      </c>
      <c r="D41" s="21">
        <v>70000</v>
      </c>
      <c r="E41" s="29">
        <v>34070</v>
      </c>
      <c r="F41" s="29">
        <v>4116</v>
      </c>
      <c r="G41" s="45"/>
    </row>
    <row r="42" spans="1:7" x14ac:dyDescent="0.25">
      <c r="A42" s="43">
        <v>42136</v>
      </c>
      <c r="B42" s="107" t="s">
        <v>177</v>
      </c>
      <c r="C42" s="282">
        <v>120</v>
      </c>
      <c r="D42" s="21">
        <v>120000</v>
      </c>
      <c r="E42" s="29">
        <v>34070</v>
      </c>
      <c r="F42" s="29">
        <v>4116</v>
      </c>
      <c r="G42" s="45"/>
    </row>
    <row r="43" spans="1:7" x14ac:dyDescent="0.25">
      <c r="A43" s="43">
        <v>42136</v>
      </c>
      <c r="B43" s="107" t="s">
        <v>178</v>
      </c>
      <c r="C43" s="282">
        <v>340</v>
      </c>
      <c r="D43" s="21">
        <v>340000</v>
      </c>
      <c r="E43" s="29">
        <v>34070</v>
      </c>
      <c r="F43" s="29">
        <v>4116</v>
      </c>
      <c r="G43" s="45"/>
    </row>
    <row r="44" spans="1:7" x14ac:dyDescent="0.25">
      <c r="A44" s="43">
        <v>42136</v>
      </c>
      <c r="B44" s="107" t="s">
        <v>179</v>
      </c>
      <c r="C44" s="282">
        <v>320</v>
      </c>
      <c r="D44" s="21">
        <v>320000</v>
      </c>
      <c r="E44" s="29">
        <v>34070</v>
      </c>
      <c r="F44" s="29">
        <v>4116</v>
      </c>
      <c r="G44" s="45"/>
    </row>
    <row r="45" spans="1:7" x14ac:dyDescent="0.25">
      <c r="A45" s="43">
        <v>42143</v>
      </c>
      <c r="B45" s="107" t="s">
        <v>194</v>
      </c>
      <c r="C45" s="282">
        <v>95</v>
      </c>
      <c r="D45" s="21">
        <v>95000</v>
      </c>
      <c r="E45" s="29">
        <v>34070</v>
      </c>
      <c r="F45" s="29">
        <v>4116</v>
      </c>
      <c r="G45" s="45"/>
    </row>
    <row r="46" spans="1:7" x14ac:dyDescent="0.25">
      <c r="A46" s="43">
        <v>42143</v>
      </c>
      <c r="B46" s="107" t="s">
        <v>195</v>
      </c>
      <c r="C46" s="282">
        <v>30</v>
      </c>
      <c r="D46" s="21">
        <v>30000</v>
      </c>
      <c r="E46" s="29">
        <v>34194</v>
      </c>
      <c r="F46" s="29">
        <v>4116</v>
      </c>
      <c r="G46" s="45"/>
    </row>
    <row r="47" spans="1:7" x14ac:dyDescent="0.25">
      <c r="A47" s="43">
        <v>42143</v>
      </c>
      <c r="B47" s="107" t="s">
        <v>197</v>
      </c>
      <c r="C47" s="282">
        <v>750</v>
      </c>
      <c r="D47" s="21">
        <v>750000</v>
      </c>
      <c r="E47" s="29">
        <v>34070</v>
      </c>
      <c r="F47" s="29">
        <v>4116</v>
      </c>
      <c r="G47" s="45"/>
    </row>
    <row r="48" spans="1:7" x14ac:dyDescent="0.25">
      <c r="A48" s="43">
        <v>42144</v>
      </c>
      <c r="B48" s="107" t="s">
        <v>199</v>
      </c>
      <c r="C48" s="282">
        <v>64</v>
      </c>
      <c r="D48" s="21">
        <v>64000</v>
      </c>
      <c r="E48" s="29">
        <v>34053</v>
      </c>
      <c r="F48" s="29">
        <v>4116</v>
      </c>
      <c r="G48" s="45"/>
    </row>
    <row r="49" spans="1:7" x14ac:dyDescent="0.25">
      <c r="A49" s="43">
        <v>42144</v>
      </c>
      <c r="B49" s="107" t="s">
        <v>198</v>
      </c>
      <c r="C49" s="282">
        <v>45</v>
      </c>
      <c r="D49" s="21">
        <v>45000</v>
      </c>
      <c r="E49" s="29">
        <v>34053</v>
      </c>
      <c r="F49" s="29">
        <v>4116</v>
      </c>
      <c r="G49" s="45"/>
    </row>
    <row r="50" spans="1:7" x14ac:dyDescent="0.25">
      <c r="A50" s="43">
        <v>42164</v>
      </c>
      <c r="B50" s="107" t="s">
        <v>241</v>
      </c>
      <c r="C50" s="282">
        <v>1200</v>
      </c>
      <c r="D50" s="21">
        <v>1200000</v>
      </c>
      <c r="E50" s="29">
        <v>34352</v>
      </c>
      <c r="F50" s="29">
        <v>4116</v>
      </c>
      <c r="G50" s="45"/>
    </row>
    <row r="51" spans="1:7" x14ac:dyDescent="0.25">
      <c r="A51" s="43">
        <v>42172</v>
      </c>
      <c r="B51" s="107" t="s">
        <v>233</v>
      </c>
      <c r="C51" s="282">
        <v>740</v>
      </c>
      <c r="D51" s="21">
        <v>740000</v>
      </c>
      <c r="E51" s="29">
        <v>34352</v>
      </c>
      <c r="F51" s="29">
        <v>4116</v>
      </c>
      <c r="G51" s="45"/>
    </row>
    <row r="52" spans="1:7" x14ac:dyDescent="0.25">
      <c r="A52" s="43">
        <v>42172</v>
      </c>
      <c r="B52" s="107" t="s">
        <v>234</v>
      </c>
      <c r="C52" s="282">
        <v>2745</v>
      </c>
      <c r="D52" s="21">
        <v>2745000</v>
      </c>
      <c r="E52" s="29">
        <v>34352</v>
      </c>
      <c r="F52" s="29">
        <v>4116</v>
      </c>
      <c r="G52" s="45"/>
    </row>
    <row r="53" spans="1:7" x14ac:dyDescent="0.25">
      <c r="A53" s="43">
        <v>42172</v>
      </c>
      <c r="B53" s="107" t="s">
        <v>235</v>
      </c>
      <c r="C53" s="282">
        <v>2580</v>
      </c>
      <c r="D53" s="21">
        <v>2580000</v>
      </c>
      <c r="E53" s="29">
        <v>34352</v>
      </c>
      <c r="F53" s="29">
        <v>4116</v>
      </c>
      <c r="G53" s="45"/>
    </row>
    <row r="54" spans="1:7" x14ac:dyDescent="0.25">
      <c r="A54" s="43">
        <v>42178</v>
      </c>
      <c r="B54" s="107" t="s">
        <v>242</v>
      </c>
      <c r="C54" s="282">
        <v>7135</v>
      </c>
      <c r="D54" s="21">
        <v>7135000</v>
      </c>
      <c r="E54" s="29">
        <v>34352</v>
      </c>
      <c r="F54" s="29">
        <v>4116</v>
      </c>
      <c r="G54" s="45"/>
    </row>
    <row r="55" spans="1:7" x14ac:dyDescent="0.25">
      <c r="A55" s="43">
        <v>42188</v>
      </c>
      <c r="B55" s="107" t="s">
        <v>531</v>
      </c>
      <c r="C55" s="282">
        <v>112</v>
      </c>
      <c r="D55" s="21">
        <v>112000</v>
      </c>
      <c r="E55" s="29">
        <v>34001</v>
      </c>
      <c r="F55" s="29">
        <v>4116</v>
      </c>
      <c r="G55" s="45"/>
    </row>
    <row r="56" spans="1:7" x14ac:dyDescent="0.25">
      <c r="A56" s="43">
        <v>42198</v>
      </c>
      <c r="B56" s="107" t="s">
        <v>295</v>
      </c>
      <c r="C56" s="282">
        <v>80</v>
      </c>
      <c r="D56" s="21">
        <v>80000</v>
      </c>
      <c r="E56" s="29">
        <v>34070</v>
      </c>
      <c r="F56" s="29">
        <v>4116</v>
      </c>
      <c r="G56" s="45"/>
    </row>
    <row r="57" spans="1:7" x14ac:dyDescent="0.25">
      <c r="A57" s="43">
        <v>42212</v>
      </c>
      <c r="B57" s="107" t="s">
        <v>341</v>
      </c>
      <c r="C57" s="282">
        <v>1900</v>
      </c>
      <c r="D57" s="21">
        <v>1900000</v>
      </c>
      <c r="E57" s="29">
        <v>34054</v>
      </c>
      <c r="F57" s="29">
        <v>4116</v>
      </c>
      <c r="G57" s="45"/>
    </row>
    <row r="58" spans="1:7" x14ac:dyDescent="0.25">
      <c r="A58" s="43">
        <v>42214</v>
      </c>
      <c r="B58" s="107" t="s">
        <v>340</v>
      </c>
      <c r="C58" s="282">
        <v>70</v>
      </c>
      <c r="D58" s="21">
        <v>70000</v>
      </c>
      <c r="E58" s="29">
        <v>34070</v>
      </c>
      <c r="F58" s="29">
        <v>4116</v>
      </c>
      <c r="G58" s="384"/>
    </row>
    <row r="59" spans="1:7" x14ac:dyDescent="0.25">
      <c r="A59" s="43">
        <v>42227</v>
      </c>
      <c r="B59" s="107" t="s">
        <v>367</v>
      </c>
      <c r="C59" s="282">
        <v>180</v>
      </c>
      <c r="D59" s="21">
        <v>180000</v>
      </c>
      <c r="E59" s="29">
        <v>34070</v>
      </c>
      <c r="F59" s="29">
        <v>4116</v>
      </c>
      <c r="G59" s="160"/>
    </row>
    <row r="60" spans="1:7" x14ac:dyDescent="0.25">
      <c r="A60" s="43">
        <v>42241</v>
      </c>
      <c r="B60" s="107" t="s">
        <v>413</v>
      </c>
      <c r="C60" s="282">
        <v>2654</v>
      </c>
      <c r="D60" s="21">
        <v>2654000</v>
      </c>
      <c r="E60" s="29">
        <v>34002</v>
      </c>
      <c r="F60" s="29">
        <v>4116</v>
      </c>
      <c r="G60" s="45"/>
    </row>
    <row r="61" spans="1:7" x14ac:dyDescent="0.25">
      <c r="A61" s="43">
        <v>42271</v>
      </c>
      <c r="B61" s="107" t="s">
        <v>422</v>
      </c>
      <c r="C61" s="282">
        <v>1380</v>
      </c>
      <c r="D61" s="21">
        <v>1380000</v>
      </c>
      <c r="E61" s="29">
        <v>34070</v>
      </c>
      <c r="F61" s="29">
        <v>4116</v>
      </c>
      <c r="G61" s="45"/>
    </row>
    <row r="62" spans="1:7" x14ac:dyDescent="0.25">
      <c r="A62" s="43">
        <v>42272</v>
      </c>
      <c r="B62" s="107" t="s">
        <v>422</v>
      </c>
      <c r="C62" s="282">
        <v>620</v>
      </c>
      <c r="D62" s="21">
        <v>620000</v>
      </c>
      <c r="E62" s="29">
        <v>34070</v>
      </c>
      <c r="F62" s="29">
        <v>4116</v>
      </c>
      <c r="G62" s="45"/>
    </row>
    <row r="63" spans="1:7" x14ac:dyDescent="0.25">
      <c r="A63" s="43">
        <v>42284</v>
      </c>
      <c r="B63" s="107" t="s">
        <v>197</v>
      </c>
      <c r="C63" s="282">
        <v>50</v>
      </c>
      <c r="D63" s="21">
        <v>50000</v>
      </c>
      <c r="E63" s="29">
        <v>34070</v>
      </c>
      <c r="F63" s="29">
        <v>4116</v>
      </c>
      <c r="G63" s="45"/>
    </row>
    <row r="64" spans="1:7" x14ac:dyDescent="0.25">
      <c r="A64" s="43">
        <v>42310</v>
      </c>
      <c r="B64" s="107" t="s">
        <v>588</v>
      </c>
      <c r="C64" s="282">
        <v>250</v>
      </c>
      <c r="D64" s="21">
        <v>250000</v>
      </c>
      <c r="E64" s="29">
        <v>34070</v>
      </c>
      <c r="F64" s="29">
        <v>4116</v>
      </c>
      <c r="G64" s="45"/>
    </row>
    <row r="65" spans="1:7" x14ac:dyDescent="0.25">
      <c r="A65" s="43">
        <v>42318</v>
      </c>
      <c r="B65" s="107" t="s">
        <v>598</v>
      </c>
      <c r="C65" s="282">
        <v>40</v>
      </c>
      <c r="D65" s="21">
        <v>40000</v>
      </c>
      <c r="E65" s="29">
        <v>34070</v>
      </c>
      <c r="F65" s="29">
        <v>4116</v>
      </c>
      <c r="G65" s="45"/>
    </row>
    <row r="66" spans="1:7" x14ac:dyDescent="0.25">
      <c r="A66" s="43"/>
      <c r="B66" s="107"/>
      <c r="C66" s="282"/>
      <c r="D66" s="20"/>
      <c r="E66" s="29"/>
      <c r="F66" s="29"/>
      <c r="G66" s="45"/>
    </row>
    <row r="67" spans="1:7" x14ac:dyDescent="0.25">
      <c r="A67" s="43"/>
      <c r="B67" s="285" t="s">
        <v>34</v>
      </c>
      <c r="C67" s="524">
        <f>SUM(C68:C166)</f>
        <v>59121.139590000006</v>
      </c>
      <c r="D67" s="39">
        <f>SUM(D68:D166)</f>
        <v>59121139.590000004</v>
      </c>
      <c r="E67" s="29"/>
      <c r="F67" s="36"/>
      <c r="G67" s="45">
        <f>+C67*1000-D67</f>
        <v>0</v>
      </c>
    </row>
    <row r="68" spans="1:7" x14ac:dyDescent="0.25">
      <c r="A68" s="43">
        <v>42054</v>
      </c>
      <c r="B68" s="107" t="s">
        <v>68</v>
      </c>
      <c r="C68" s="282">
        <f>+D68/1000</f>
        <v>972.54641000000004</v>
      </c>
      <c r="D68" s="53">
        <v>972546.41</v>
      </c>
      <c r="E68" s="29">
        <v>33019</v>
      </c>
      <c r="F68" s="36" t="s">
        <v>18</v>
      </c>
      <c r="G68" s="45"/>
    </row>
    <row r="69" spans="1:7" x14ac:dyDescent="0.25">
      <c r="A69" s="43">
        <v>42081</v>
      </c>
      <c r="B69" s="107" t="s">
        <v>117</v>
      </c>
      <c r="C69" s="282">
        <f t="shared" ref="C69:C132" si="0">+D69/1000</f>
        <v>192</v>
      </c>
      <c r="D69" s="55">
        <v>192000</v>
      </c>
      <c r="E69" s="29">
        <v>33339</v>
      </c>
      <c r="F69" s="36">
        <v>4116</v>
      </c>
      <c r="G69" s="45"/>
    </row>
    <row r="70" spans="1:7" x14ac:dyDescent="0.25">
      <c r="A70" s="43">
        <v>42116</v>
      </c>
      <c r="B70" s="107" t="s">
        <v>145</v>
      </c>
      <c r="C70" s="282">
        <f t="shared" si="0"/>
        <v>417.25607000000002</v>
      </c>
      <c r="D70" s="55">
        <f>354667.65+62588.42</f>
        <v>417256.07</v>
      </c>
      <c r="E70" s="29">
        <v>33019</v>
      </c>
      <c r="F70" s="36">
        <v>4116</v>
      </c>
      <c r="G70" s="45"/>
    </row>
    <row r="71" spans="1:7" x14ac:dyDescent="0.25">
      <c r="A71" s="43">
        <v>42117</v>
      </c>
      <c r="B71" s="107" t="s">
        <v>148</v>
      </c>
      <c r="C71" s="282">
        <f t="shared" si="0"/>
        <v>6858.8674299999993</v>
      </c>
      <c r="D71" s="114">
        <v>6858867.4299999997</v>
      </c>
      <c r="E71" s="29">
        <v>33019</v>
      </c>
      <c r="F71" s="36">
        <v>4116</v>
      </c>
      <c r="G71" s="45"/>
    </row>
    <row r="72" spans="1:7" x14ac:dyDescent="0.25">
      <c r="A72" s="43">
        <v>42131</v>
      </c>
      <c r="B72" s="107" t="s">
        <v>174</v>
      </c>
      <c r="C72" s="282">
        <f t="shared" si="0"/>
        <v>592.21028999999999</v>
      </c>
      <c r="D72" s="55">
        <v>592210.29</v>
      </c>
      <c r="E72" s="28">
        <v>33019</v>
      </c>
      <c r="F72" s="36">
        <v>4116</v>
      </c>
      <c r="G72" s="45"/>
    </row>
    <row r="73" spans="1:7" x14ac:dyDescent="0.25">
      <c r="A73" s="43">
        <v>42138</v>
      </c>
      <c r="B73" s="107" t="s">
        <v>148</v>
      </c>
      <c r="C73" s="282">
        <f t="shared" si="0"/>
        <v>4904.7020000000002</v>
      </c>
      <c r="D73" s="55">
        <v>4904702</v>
      </c>
      <c r="E73" s="28">
        <v>33019</v>
      </c>
      <c r="F73" s="36">
        <v>4116</v>
      </c>
      <c r="G73" s="45"/>
    </row>
    <row r="74" spans="1:7" x14ac:dyDescent="0.25">
      <c r="A74" s="43">
        <v>42184</v>
      </c>
      <c r="B74" s="107" t="s">
        <v>145</v>
      </c>
      <c r="C74" s="282">
        <f t="shared" si="0"/>
        <v>681.93142</v>
      </c>
      <c r="D74" s="55">
        <v>681931.42</v>
      </c>
      <c r="E74" s="28">
        <v>33019</v>
      </c>
      <c r="F74" s="36">
        <v>4116</v>
      </c>
      <c r="G74" s="45"/>
    </row>
    <row r="75" spans="1:7" x14ac:dyDescent="0.25">
      <c r="A75" s="43">
        <v>42188</v>
      </c>
      <c r="B75" s="276" t="s">
        <v>174</v>
      </c>
      <c r="C75" s="282">
        <f t="shared" si="0"/>
        <v>800.06945999999994</v>
      </c>
      <c r="D75" s="55">
        <v>800069.46</v>
      </c>
      <c r="E75" s="28">
        <v>33019</v>
      </c>
      <c r="F75" s="36">
        <v>4116</v>
      </c>
      <c r="G75" s="45"/>
    </row>
    <row r="76" spans="1:7" x14ac:dyDescent="0.25">
      <c r="A76" s="43">
        <v>42198</v>
      </c>
      <c r="B76" s="276" t="s">
        <v>275</v>
      </c>
      <c r="C76" s="282">
        <f t="shared" si="0"/>
        <v>990.553</v>
      </c>
      <c r="D76" s="55">
        <f>841970.05+148582.95</f>
        <v>990553</v>
      </c>
      <c r="E76" s="28">
        <v>33058</v>
      </c>
      <c r="F76" s="36">
        <v>4116</v>
      </c>
      <c r="G76" s="45"/>
    </row>
    <row r="77" spans="1:7" x14ac:dyDescent="0.25">
      <c r="A77" s="43">
        <v>42198</v>
      </c>
      <c r="B77" s="276" t="s">
        <v>276</v>
      </c>
      <c r="C77" s="282">
        <f t="shared" si="0"/>
        <v>996.21900000000005</v>
      </c>
      <c r="D77" s="55">
        <f>846786.15+149432.85</f>
        <v>996219</v>
      </c>
      <c r="E77" s="28">
        <v>33058</v>
      </c>
      <c r="F77" s="36">
        <v>4116</v>
      </c>
      <c r="G77" s="45"/>
    </row>
    <row r="78" spans="1:7" x14ac:dyDescent="0.25">
      <c r="A78" s="43">
        <v>42198</v>
      </c>
      <c r="B78" s="276" t="s">
        <v>277</v>
      </c>
      <c r="C78" s="282">
        <f t="shared" si="0"/>
        <v>811.65700000000004</v>
      </c>
      <c r="D78" s="55">
        <f>689908.45+121748.55</f>
        <v>811657</v>
      </c>
      <c r="E78" s="28">
        <v>33058</v>
      </c>
      <c r="F78" s="36">
        <v>4116</v>
      </c>
      <c r="G78" s="45"/>
    </row>
    <row r="79" spans="1:7" x14ac:dyDescent="0.25">
      <c r="A79" s="43">
        <v>42200</v>
      </c>
      <c r="B79" s="276" t="s">
        <v>296</v>
      </c>
      <c r="C79" s="282">
        <f t="shared" si="0"/>
        <v>978.06399999999996</v>
      </c>
      <c r="D79" s="55">
        <v>978064</v>
      </c>
      <c r="E79" s="28">
        <v>33058</v>
      </c>
      <c r="F79" s="36">
        <v>4116</v>
      </c>
      <c r="G79" s="45"/>
    </row>
    <row r="80" spans="1:7" x14ac:dyDescent="0.25">
      <c r="A80" s="43">
        <v>42200</v>
      </c>
      <c r="B80" s="276" t="s">
        <v>297</v>
      </c>
      <c r="C80" s="282">
        <f t="shared" si="0"/>
        <v>914.54499999999996</v>
      </c>
      <c r="D80" s="55">
        <v>914545</v>
      </c>
      <c r="E80" s="28">
        <v>33058</v>
      </c>
      <c r="F80" s="36">
        <v>4116</v>
      </c>
      <c r="G80" s="45"/>
    </row>
    <row r="81" spans="1:7" x14ac:dyDescent="0.25">
      <c r="A81" s="43">
        <v>42200</v>
      </c>
      <c r="B81" s="276" t="s">
        <v>298</v>
      </c>
      <c r="C81" s="282">
        <f t="shared" si="0"/>
        <v>797.56700000000001</v>
      </c>
      <c r="D81" s="55">
        <v>797567</v>
      </c>
      <c r="E81" s="28">
        <v>33058</v>
      </c>
      <c r="F81" s="36">
        <v>4116</v>
      </c>
      <c r="G81" s="45"/>
    </row>
    <row r="82" spans="1:7" x14ac:dyDescent="0.25">
      <c r="A82" s="43">
        <v>42200</v>
      </c>
      <c r="B82" s="276" t="s">
        <v>299</v>
      </c>
      <c r="C82" s="282">
        <f t="shared" si="0"/>
        <v>991.53399999999999</v>
      </c>
      <c r="D82" s="55">
        <v>991534</v>
      </c>
      <c r="E82" s="28">
        <v>33058</v>
      </c>
      <c r="F82" s="36">
        <v>4116</v>
      </c>
      <c r="G82" s="45"/>
    </row>
    <row r="83" spans="1:7" x14ac:dyDescent="0.25">
      <c r="A83" s="43">
        <v>42200</v>
      </c>
      <c r="B83" s="276" t="s">
        <v>300</v>
      </c>
      <c r="C83" s="282">
        <f t="shared" si="0"/>
        <v>959.90899999999999</v>
      </c>
      <c r="D83" s="55">
        <v>959909</v>
      </c>
      <c r="E83" s="28">
        <v>33058</v>
      </c>
      <c r="F83" s="36">
        <v>4116</v>
      </c>
      <c r="G83" s="45"/>
    </row>
    <row r="84" spans="1:7" x14ac:dyDescent="0.25">
      <c r="A84" s="43">
        <v>42206</v>
      </c>
      <c r="B84" s="276" t="s">
        <v>314</v>
      </c>
      <c r="C84" s="282">
        <f t="shared" si="0"/>
        <v>415.29</v>
      </c>
      <c r="D84" s="55">
        <v>415290</v>
      </c>
      <c r="E84" s="28">
        <v>33058</v>
      </c>
      <c r="F84" s="36">
        <v>4116</v>
      </c>
      <c r="G84" s="45"/>
    </row>
    <row r="85" spans="1:7" x14ac:dyDescent="0.25">
      <c r="A85" s="43">
        <v>42206</v>
      </c>
      <c r="B85" s="276" t="s">
        <v>315</v>
      </c>
      <c r="C85" s="282">
        <f t="shared" si="0"/>
        <v>578.94200000000001</v>
      </c>
      <c r="D85" s="55">
        <v>578942</v>
      </c>
      <c r="E85" s="28">
        <v>33058</v>
      </c>
      <c r="F85" s="36">
        <v>4116</v>
      </c>
      <c r="G85" s="45"/>
    </row>
    <row r="86" spans="1:7" x14ac:dyDescent="0.25">
      <c r="A86" s="43">
        <v>42206</v>
      </c>
      <c r="B86" s="276" t="s">
        <v>316</v>
      </c>
      <c r="C86" s="282">
        <f t="shared" si="0"/>
        <v>528.80200000000002</v>
      </c>
      <c r="D86" s="55">
        <v>528802</v>
      </c>
      <c r="E86" s="28">
        <v>33058</v>
      </c>
      <c r="F86" s="36">
        <v>4116</v>
      </c>
      <c r="G86" s="45"/>
    </row>
    <row r="87" spans="1:7" x14ac:dyDescent="0.25">
      <c r="A87" s="43">
        <v>42206</v>
      </c>
      <c r="B87" s="276" t="s">
        <v>317</v>
      </c>
      <c r="C87" s="282">
        <f t="shared" si="0"/>
        <v>672.51599999999996</v>
      </c>
      <c r="D87" s="55">
        <v>672516</v>
      </c>
      <c r="E87" s="28">
        <v>33058</v>
      </c>
      <c r="F87" s="36">
        <v>4116</v>
      </c>
      <c r="G87" s="45"/>
    </row>
    <row r="88" spans="1:7" x14ac:dyDescent="0.25">
      <c r="A88" s="43">
        <v>42206</v>
      </c>
      <c r="B88" s="276" t="s">
        <v>318</v>
      </c>
      <c r="C88" s="282">
        <f t="shared" si="0"/>
        <v>424.34399999999999</v>
      </c>
      <c r="D88" s="55">
        <v>424344</v>
      </c>
      <c r="E88" s="28">
        <v>33058</v>
      </c>
      <c r="F88" s="36">
        <v>4116</v>
      </c>
      <c r="G88" s="45"/>
    </row>
    <row r="89" spans="1:7" x14ac:dyDescent="0.25">
      <c r="A89" s="43">
        <v>42206</v>
      </c>
      <c r="B89" s="276" t="s">
        <v>319</v>
      </c>
      <c r="C89" s="282">
        <f t="shared" si="0"/>
        <v>315.46100000000001</v>
      </c>
      <c r="D89" s="55">
        <v>315461</v>
      </c>
      <c r="E89" s="28">
        <v>33058</v>
      </c>
      <c r="F89" s="36">
        <v>4116</v>
      </c>
      <c r="G89" s="45"/>
    </row>
    <row r="90" spans="1:7" x14ac:dyDescent="0.25">
      <c r="A90" s="43">
        <v>42206</v>
      </c>
      <c r="B90" s="276" t="s">
        <v>320</v>
      </c>
      <c r="C90" s="282">
        <f t="shared" si="0"/>
        <v>537.85599999999999</v>
      </c>
      <c r="D90" s="55">
        <v>537856</v>
      </c>
      <c r="E90" s="28">
        <v>33058</v>
      </c>
      <c r="F90" s="36">
        <v>4116</v>
      </c>
      <c r="G90" s="45"/>
    </row>
    <row r="91" spans="1:7" x14ac:dyDescent="0.25">
      <c r="A91" s="43">
        <v>42206</v>
      </c>
      <c r="B91" s="276" t="s">
        <v>321</v>
      </c>
      <c r="C91" s="282">
        <f t="shared" si="0"/>
        <v>980.19799999999998</v>
      </c>
      <c r="D91" s="55">
        <v>980198</v>
      </c>
      <c r="E91" s="28">
        <v>33058</v>
      </c>
      <c r="F91" s="36">
        <v>4116</v>
      </c>
      <c r="G91" s="45"/>
    </row>
    <row r="92" spans="1:7" x14ac:dyDescent="0.25">
      <c r="A92" s="43">
        <v>42209</v>
      </c>
      <c r="B92" s="276" t="s">
        <v>323</v>
      </c>
      <c r="C92" s="282">
        <f t="shared" si="0"/>
        <v>715.23800000000006</v>
      </c>
      <c r="D92" s="55">
        <v>715238</v>
      </c>
      <c r="E92" s="28">
        <v>33058</v>
      </c>
      <c r="F92" s="36">
        <v>4116</v>
      </c>
      <c r="G92" s="45"/>
    </row>
    <row r="93" spans="1:7" x14ac:dyDescent="0.25">
      <c r="A93" s="43">
        <v>42209</v>
      </c>
      <c r="B93" s="276" t="s">
        <v>324</v>
      </c>
      <c r="C93" s="282">
        <f t="shared" si="0"/>
        <v>692.15</v>
      </c>
      <c r="D93" s="55">
        <v>692150</v>
      </c>
      <c r="E93" s="28">
        <v>33058</v>
      </c>
      <c r="F93" s="36">
        <v>4116</v>
      </c>
      <c r="G93" s="45"/>
    </row>
    <row r="94" spans="1:7" x14ac:dyDescent="0.25">
      <c r="A94" s="43">
        <v>42209</v>
      </c>
      <c r="B94" s="276" t="s">
        <v>325</v>
      </c>
      <c r="C94" s="282">
        <f t="shared" si="0"/>
        <v>903.15300000000002</v>
      </c>
      <c r="D94" s="55">
        <v>903153</v>
      </c>
      <c r="E94" s="28">
        <v>33058</v>
      </c>
      <c r="F94" s="36">
        <v>4116</v>
      </c>
      <c r="G94" s="45"/>
    </row>
    <row r="95" spans="1:7" x14ac:dyDescent="0.25">
      <c r="A95" s="43">
        <v>42209</v>
      </c>
      <c r="B95" s="276" t="s">
        <v>326</v>
      </c>
      <c r="C95" s="282">
        <f t="shared" si="0"/>
        <v>328.98700000000002</v>
      </c>
      <c r="D95" s="55">
        <v>328987</v>
      </c>
      <c r="E95" s="28">
        <v>33058</v>
      </c>
      <c r="F95" s="36">
        <v>4116</v>
      </c>
      <c r="G95" s="45"/>
    </row>
    <row r="96" spans="1:7" x14ac:dyDescent="0.25">
      <c r="A96" s="43">
        <v>42209</v>
      </c>
      <c r="B96" s="276" t="s">
        <v>327</v>
      </c>
      <c r="C96" s="282">
        <f t="shared" si="0"/>
        <v>989.45600000000002</v>
      </c>
      <c r="D96" s="55">
        <v>989456</v>
      </c>
      <c r="E96" s="28">
        <v>33058</v>
      </c>
      <c r="F96" s="36">
        <v>4116</v>
      </c>
      <c r="G96" s="45"/>
    </row>
    <row r="97" spans="1:7" x14ac:dyDescent="0.25">
      <c r="A97" s="43">
        <v>42209</v>
      </c>
      <c r="B97" s="276" t="s">
        <v>328</v>
      </c>
      <c r="C97" s="282">
        <f t="shared" si="0"/>
        <v>990.11099999999999</v>
      </c>
      <c r="D97" s="55">
        <v>990111</v>
      </c>
      <c r="E97" s="28">
        <v>33058</v>
      </c>
      <c r="F97" s="36">
        <v>4116</v>
      </c>
      <c r="G97" s="45"/>
    </row>
    <row r="98" spans="1:7" x14ac:dyDescent="0.25">
      <c r="A98" s="43">
        <v>42214</v>
      </c>
      <c r="B98" s="276" t="s">
        <v>335</v>
      </c>
      <c r="C98" s="282">
        <f t="shared" si="0"/>
        <v>973.43499999999995</v>
      </c>
      <c r="D98" s="55">
        <f>827419.75+146015.25</f>
        <v>973435</v>
      </c>
      <c r="E98" s="28">
        <v>33058</v>
      </c>
      <c r="F98" s="29">
        <v>4116</v>
      </c>
      <c r="G98" s="45"/>
    </row>
    <row r="99" spans="1:7" x14ac:dyDescent="0.25">
      <c r="A99" s="43">
        <v>42214</v>
      </c>
      <c r="B99" s="276" t="s">
        <v>336</v>
      </c>
      <c r="C99" s="282">
        <f t="shared" si="0"/>
        <v>600.303</v>
      </c>
      <c r="D99" s="55">
        <f>510257.55+90045.45</f>
        <v>600303</v>
      </c>
      <c r="E99" s="28">
        <v>33058</v>
      </c>
      <c r="F99" s="29">
        <v>4116</v>
      </c>
      <c r="G99" s="45"/>
    </row>
    <row r="100" spans="1:7" x14ac:dyDescent="0.25">
      <c r="A100" s="43">
        <v>42214</v>
      </c>
      <c r="B100" s="276" t="s">
        <v>337</v>
      </c>
      <c r="C100" s="282">
        <f t="shared" si="0"/>
        <v>87.683000000000007</v>
      </c>
      <c r="D100" s="55">
        <v>87683</v>
      </c>
      <c r="E100" s="28">
        <v>33060</v>
      </c>
      <c r="F100" s="29">
        <v>4116</v>
      </c>
      <c r="G100" s="45"/>
    </row>
    <row r="101" spans="1:7" x14ac:dyDescent="0.25">
      <c r="A101" s="43">
        <v>42214</v>
      </c>
      <c r="B101" s="276" t="s">
        <v>338</v>
      </c>
      <c r="C101" s="282">
        <f t="shared" si="0"/>
        <v>40</v>
      </c>
      <c r="D101" s="55">
        <v>40000</v>
      </c>
      <c r="E101" s="28">
        <v>33060</v>
      </c>
      <c r="F101" s="29">
        <v>4116</v>
      </c>
      <c r="G101" s="45"/>
    </row>
    <row r="102" spans="1:7" x14ac:dyDescent="0.25">
      <c r="A102" s="43">
        <v>42214</v>
      </c>
      <c r="B102" s="276" t="s">
        <v>339</v>
      </c>
      <c r="C102" s="282">
        <f t="shared" si="0"/>
        <v>100.455</v>
      </c>
      <c r="D102" s="55">
        <v>100455</v>
      </c>
      <c r="E102" s="28">
        <v>33060</v>
      </c>
      <c r="F102" s="29">
        <v>4116</v>
      </c>
      <c r="G102" s="45"/>
    </row>
    <row r="103" spans="1:7" x14ac:dyDescent="0.25">
      <c r="A103" s="43">
        <v>42222</v>
      </c>
      <c r="B103" s="276" t="s">
        <v>361</v>
      </c>
      <c r="C103" s="282">
        <f t="shared" si="0"/>
        <v>568.97299999999996</v>
      </c>
      <c r="D103" s="55">
        <v>568973</v>
      </c>
      <c r="E103" s="28">
        <v>33058</v>
      </c>
      <c r="F103" s="29">
        <v>4116</v>
      </c>
      <c r="G103" s="45"/>
    </row>
    <row r="104" spans="1:7" x14ac:dyDescent="0.25">
      <c r="A104" s="43">
        <v>42227</v>
      </c>
      <c r="B104" s="276" t="s">
        <v>362</v>
      </c>
      <c r="C104" s="282">
        <f t="shared" si="0"/>
        <v>417.58100000000002</v>
      </c>
      <c r="D104" s="55">
        <v>417581</v>
      </c>
      <c r="E104" s="28">
        <v>33058</v>
      </c>
      <c r="F104" s="29">
        <v>4116</v>
      </c>
      <c r="G104" s="45"/>
    </row>
    <row r="105" spans="1:7" x14ac:dyDescent="0.25">
      <c r="A105" s="43">
        <v>42227</v>
      </c>
      <c r="B105" s="276" t="s">
        <v>363</v>
      </c>
      <c r="C105" s="282">
        <f t="shared" si="0"/>
        <v>707.96699999999998</v>
      </c>
      <c r="D105" s="55">
        <v>707967</v>
      </c>
      <c r="E105" s="28">
        <v>33058</v>
      </c>
      <c r="F105" s="29">
        <v>4116</v>
      </c>
      <c r="G105" s="45"/>
    </row>
    <row r="106" spans="1:7" x14ac:dyDescent="0.25">
      <c r="A106" s="43">
        <v>42227</v>
      </c>
      <c r="B106" s="276" t="s">
        <v>364</v>
      </c>
      <c r="C106" s="282">
        <f t="shared" si="0"/>
        <v>542.32799999999997</v>
      </c>
      <c r="D106" s="55">
        <v>542328</v>
      </c>
      <c r="E106" s="28">
        <v>33058</v>
      </c>
      <c r="F106" s="29">
        <v>4116</v>
      </c>
      <c r="G106" s="45"/>
    </row>
    <row r="107" spans="1:7" x14ac:dyDescent="0.25">
      <c r="A107" s="43">
        <v>42227</v>
      </c>
      <c r="B107" s="276" t="s">
        <v>365</v>
      </c>
      <c r="C107" s="282">
        <f t="shared" si="0"/>
        <v>605.84699999999998</v>
      </c>
      <c r="D107" s="55">
        <v>605847</v>
      </c>
      <c r="E107" s="28">
        <v>33058</v>
      </c>
      <c r="F107" s="29">
        <v>4116</v>
      </c>
      <c r="G107" s="45"/>
    </row>
    <row r="108" spans="1:7" x14ac:dyDescent="0.25">
      <c r="A108" s="43">
        <v>42227</v>
      </c>
      <c r="B108" s="276" t="s">
        <v>366</v>
      </c>
      <c r="C108" s="282">
        <f t="shared" si="0"/>
        <v>914.54499999999996</v>
      </c>
      <c r="D108" s="55">
        <v>914545</v>
      </c>
      <c r="E108" s="28">
        <v>33058</v>
      </c>
      <c r="F108" s="29">
        <v>4116</v>
      </c>
      <c r="G108" s="45"/>
    </row>
    <row r="109" spans="1:7" x14ac:dyDescent="0.25">
      <c r="A109" s="43">
        <v>42229</v>
      </c>
      <c r="B109" s="276" t="s">
        <v>369</v>
      </c>
      <c r="C109" s="282">
        <f t="shared" si="0"/>
        <v>614.12400000000002</v>
      </c>
      <c r="D109" s="55">
        <v>614124</v>
      </c>
      <c r="E109" s="28">
        <v>33058</v>
      </c>
      <c r="F109" s="29">
        <v>4116</v>
      </c>
      <c r="G109" s="45"/>
    </row>
    <row r="110" spans="1:7" x14ac:dyDescent="0.25">
      <c r="A110" s="43">
        <v>42229</v>
      </c>
      <c r="B110" s="276" t="s">
        <v>370</v>
      </c>
      <c r="C110" s="282">
        <f t="shared" si="0"/>
        <v>492.49200000000002</v>
      </c>
      <c r="D110" s="55">
        <v>492492</v>
      </c>
      <c r="E110" s="28">
        <v>33058</v>
      </c>
      <c r="F110" s="29">
        <v>4116</v>
      </c>
      <c r="G110" s="45"/>
    </row>
    <row r="111" spans="1:7" x14ac:dyDescent="0.25">
      <c r="A111" s="43">
        <v>42233</v>
      </c>
      <c r="B111" s="276" t="s">
        <v>371</v>
      </c>
      <c r="C111" s="282">
        <f t="shared" si="0"/>
        <v>378.98</v>
      </c>
      <c r="D111" s="55">
        <v>378980</v>
      </c>
      <c r="E111" s="28">
        <v>33058</v>
      </c>
      <c r="F111" s="29">
        <v>4116</v>
      </c>
      <c r="G111" s="45"/>
    </row>
    <row r="112" spans="1:7" x14ac:dyDescent="0.25">
      <c r="A112" s="43">
        <v>42233</v>
      </c>
      <c r="B112" s="276" t="s">
        <v>372</v>
      </c>
      <c r="C112" s="282">
        <f t="shared" si="0"/>
        <v>785.52</v>
      </c>
      <c r="D112" s="55">
        <v>785520</v>
      </c>
      <c r="E112" s="28">
        <v>33058</v>
      </c>
      <c r="F112" s="29">
        <v>4116</v>
      </c>
      <c r="G112" s="45"/>
    </row>
    <row r="113" spans="1:8" x14ac:dyDescent="0.25">
      <c r="A113" s="43">
        <v>42233</v>
      </c>
      <c r="B113" s="276" t="s">
        <v>373</v>
      </c>
      <c r="C113" s="282">
        <f t="shared" si="0"/>
        <v>447.12799999999999</v>
      </c>
      <c r="D113" s="55">
        <v>447128</v>
      </c>
      <c r="E113" s="28">
        <v>33058</v>
      </c>
      <c r="F113" s="29">
        <v>4116</v>
      </c>
      <c r="G113" s="45"/>
    </row>
    <row r="114" spans="1:8" x14ac:dyDescent="0.25">
      <c r="A114" s="43">
        <v>42233</v>
      </c>
      <c r="B114" s="276" t="s">
        <v>374</v>
      </c>
      <c r="C114" s="282">
        <f t="shared" si="0"/>
        <v>692.15</v>
      </c>
      <c r="D114" s="55">
        <v>692150</v>
      </c>
      <c r="E114" s="28">
        <v>33058</v>
      </c>
      <c r="F114" s="29">
        <v>4116</v>
      </c>
      <c r="G114" s="45"/>
    </row>
    <row r="115" spans="1:8" x14ac:dyDescent="0.25">
      <c r="A115" s="43">
        <v>42236</v>
      </c>
      <c r="B115" s="276" t="s">
        <v>375</v>
      </c>
      <c r="C115" s="282">
        <f t="shared" si="0"/>
        <v>479.97199999999998</v>
      </c>
      <c r="D115" s="55">
        <v>479972</v>
      </c>
      <c r="E115" s="28">
        <v>33058</v>
      </c>
      <c r="F115" s="29">
        <v>4116</v>
      </c>
      <c r="G115" s="45"/>
    </row>
    <row r="116" spans="1:8" x14ac:dyDescent="0.25">
      <c r="A116" s="43">
        <v>42236</v>
      </c>
      <c r="B116" s="276" t="s">
        <v>376</v>
      </c>
      <c r="C116" s="282">
        <f t="shared" si="0"/>
        <v>964.17700000000002</v>
      </c>
      <c r="D116" s="55">
        <v>964177</v>
      </c>
      <c r="E116" s="28">
        <v>33058</v>
      </c>
      <c r="F116" s="29">
        <v>4116</v>
      </c>
      <c r="G116" s="45"/>
    </row>
    <row r="117" spans="1:8" x14ac:dyDescent="0.25">
      <c r="A117" s="43">
        <v>42236</v>
      </c>
      <c r="B117" s="276" t="s">
        <v>377</v>
      </c>
      <c r="C117" s="282">
        <f t="shared" si="0"/>
        <v>736.59900000000005</v>
      </c>
      <c r="D117" s="55">
        <v>736599</v>
      </c>
      <c r="E117" s="28">
        <v>33058</v>
      </c>
      <c r="F117" s="29">
        <v>4116</v>
      </c>
      <c r="G117" s="45"/>
    </row>
    <row r="118" spans="1:8" x14ac:dyDescent="0.25">
      <c r="A118" s="43">
        <v>42236</v>
      </c>
      <c r="B118" s="276" t="s">
        <v>378</v>
      </c>
      <c r="C118" s="282">
        <f t="shared" si="0"/>
        <v>501.89699999999999</v>
      </c>
      <c r="D118" s="55">
        <v>501897</v>
      </c>
      <c r="E118" s="28">
        <v>33058</v>
      </c>
      <c r="F118" s="29">
        <v>4116</v>
      </c>
      <c r="G118" s="45"/>
    </row>
    <row r="119" spans="1:8" x14ac:dyDescent="0.25">
      <c r="A119" s="43">
        <v>42240</v>
      </c>
      <c r="B119" s="276" t="s">
        <v>400</v>
      </c>
      <c r="C119" s="282">
        <f t="shared" si="0"/>
        <v>390.37200000000001</v>
      </c>
      <c r="D119" s="55">
        <v>390372</v>
      </c>
      <c r="E119" s="28">
        <v>33058</v>
      </c>
      <c r="F119" s="29">
        <v>4116</v>
      </c>
      <c r="G119" s="45"/>
    </row>
    <row r="120" spans="1:8" x14ac:dyDescent="0.25">
      <c r="A120" s="43">
        <v>42240</v>
      </c>
      <c r="B120" s="276" t="s">
        <v>384</v>
      </c>
      <c r="C120" s="282">
        <f t="shared" si="0"/>
        <v>227.024</v>
      </c>
      <c r="D120" s="55">
        <v>227024</v>
      </c>
      <c r="E120" s="28">
        <v>33058</v>
      </c>
      <c r="F120" s="29">
        <v>4116</v>
      </c>
      <c r="G120" s="45"/>
    </row>
    <row r="121" spans="1:8" x14ac:dyDescent="0.25">
      <c r="A121" s="43">
        <v>42240</v>
      </c>
      <c r="B121" s="276" t="s">
        <v>385</v>
      </c>
      <c r="C121" s="282">
        <f t="shared" si="0"/>
        <v>649.077</v>
      </c>
      <c r="D121" s="55">
        <v>649077</v>
      </c>
      <c r="E121" s="28">
        <v>33058</v>
      </c>
      <c r="F121" s="29">
        <v>4116</v>
      </c>
      <c r="G121" s="45"/>
    </row>
    <row r="122" spans="1:8" x14ac:dyDescent="0.25">
      <c r="A122" s="43">
        <v>42240</v>
      </c>
      <c r="B122" s="276" t="s">
        <v>386</v>
      </c>
      <c r="C122" s="282">
        <f t="shared" si="0"/>
        <v>982.69299999999998</v>
      </c>
      <c r="D122" s="55">
        <v>982693</v>
      </c>
      <c r="E122" s="28">
        <v>33058</v>
      </c>
      <c r="F122" s="29">
        <v>4116</v>
      </c>
      <c r="G122" s="45"/>
    </row>
    <row r="123" spans="1:8" x14ac:dyDescent="0.25">
      <c r="A123" s="43">
        <v>42240</v>
      </c>
      <c r="B123" s="276" t="s">
        <v>387</v>
      </c>
      <c r="C123" s="282">
        <f t="shared" si="0"/>
        <v>481.1</v>
      </c>
      <c r="D123" s="55">
        <v>481100</v>
      </c>
      <c r="E123" s="28">
        <v>33058</v>
      </c>
      <c r="F123" s="29">
        <v>4116</v>
      </c>
      <c r="G123" s="45"/>
    </row>
    <row r="124" spans="1:8" x14ac:dyDescent="0.25">
      <c r="A124" s="43">
        <v>42240</v>
      </c>
      <c r="B124" s="276" t="s">
        <v>388</v>
      </c>
      <c r="C124" s="282">
        <f t="shared" si="0"/>
        <v>979.07</v>
      </c>
      <c r="D124" s="55">
        <v>979070</v>
      </c>
      <c r="E124" s="28">
        <v>33058</v>
      </c>
      <c r="F124" s="29">
        <v>4116</v>
      </c>
      <c r="G124" s="45"/>
    </row>
    <row r="125" spans="1:8" x14ac:dyDescent="0.25">
      <c r="A125" s="43">
        <v>42240</v>
      </c>
      <c r="B125" s="276" t="s">
        <v>389</v>
      </c>
      <c r="C125" s="282">
        <f t="shared" si="0"/>
        <v>354.06200000000001</v>
      </c>
      <c r="D125" s="55">
        <v>354062</v>
      </c>
      <c r="E125" s="28">
        <v>33058</v>
      </c>
      <c r="F125" s="29">
        <v>4116</v>
      </c>
      <c r="G125" s="45"/>
    </row>
    <row r="126" spans="1:8" x14ac:dyDescent="0.25">
      <c r="A126" s="43">
        <v>42240</v>
      </c>
      <c r="B126" s="276" t="s">
        <v>390</v>
      </c>
      <c r="C126" s="282">
        <f t="shared" si="0"/>
        <v>227.024</v>
      </c>
      <c r="D126" s="55">
        <v>227024</v>
      </c>
      <c r="E126" s="28">
        <v>33058</v>
      </c>
      <c r="F126" s="29">
        <v>4116</v>
      </c>
      <c r="G126" s="45"/>
    </row>
    <row r="127" spans="1:8" x14ac:dyDescent="0.25">
      <c r="A127" s="43">
        <v>42240</v>
      </c>
      <c r="B127" s="276" t="s">
        <v>391</v>
      </c>
      <c r="C127" s="282">
        <f t="shared" si="0"/>
        <v>998.44399999999996</v>
      </c>
      <c r="D127" s="55">
        <v>998444</v>
      </c>
      <c r="E127" s="28">
        <v>33058</v>
      </c>
      <c r="F127" s="29">
        <v>4116</v>
      </c>
      <c r="G127" s="45"/>
    </row>
    <row r="128" spans="1:8" x14ac:dyDescent="0.25">
      <c r="A128" s="43">
        <v>42240</v>
      </c>
      <c r="B128" s="276" t="s">
        <v>540</v>
      </c>
      <c r="C128" s="282">
        <f t="shared" si="0"/>
        <v>265.46800000000002</v>
      </c>
      <c r="D128" s="55">
        <v>265468</v>
      </c>
      <c r="E128" s="28">
        <v>33058</v>
      </c>
      <c r="F128" s="29">
        <v>4116</v>
      </c>
      <c r="G128" s="45"/>
      <c r="H128" s="384"/>
    </row>
    <row r="129" spans="1:7" x14ac:dyDescent="0.25">
      <c r="A129" s="43">
        <v>42242</v>
      </c>
      <c r="B129" s="276" t="s">
        <v>148</v>
      </c>
      <c r="C129" s="282">
        <f t="shared" si="0"/>
        <v>2092.5357399999998</v>
      </c>
      <c r="D129" s="53">
        <v>2092535.74</v>
      </c>
      <c r="E129" s="28">
        <v>33019</v>
      </c>
      <c r="F129" s="29">
        <v>4116</v>
      </c>
      <c r="G129" s="45"/>
    </row>
    <row r="130" spans="1:7" x14ac:dyDescent="0.25">
      <c r="A130" s="43">
        <v>42299</v>
      </c>
      <c r="B130" s="276" t="s">
        <v>544</v>
      </c>
      <c r="C130" s="282">
        <f t="shared" si="0"/>
        <v>204.11199999999999</v>
      </c>
      <c r="D130" s="53">
        <v>204112</v>
      </c>
      <c r="E130" s="28">
        <v>33058</v>
      </c>
      <c r="F130" s="29">
        <v>4116</v>
      </c>
      <c r="G130" s="45"/>
    </row>
    <row r="131" spans="1:7" x14ac:dyDescent="0.25">
      <c r="A131" s="43">
        <v>42299</v>
      </c>
      <c r="B131" s="276" t="s">
        <v>545</v>
      </c>
      <c r="C131" s="282">
        <f t="shared" si="0"/>
        <v>570.93200000000002</v>
      </c>
      <c r="D131" s="53">
        <v>570932</v>
      </c>
      <c r="E131" s="28">
        <v>33058</v>
      </c>
      <c r="F131" s="29">
        <v>4116</v>
      </c>
      <c r="G131" s="45"/>
    </row>
    <row r="132" spans="1:7" x14ac:dyDescent="0.25">
      <c r="A132" s="43">
        <v>42299</v>
      </c>
      <c r="B132" s="276" t="s">
        <v>546</v>
      </c>
      <c r="C132" s="282">
        <f t="shared" si="0"/>
        <v>204.11199999999999</v>
      </c>
      <c r="D132" s="53">
        <v>204112</v>
      </c>
      <c r="E132" s="28">
        <v>33058</v>
      </c>
      <c r="F132" s="29">
        <v>4116</v>
      </c>
      <c r="G132" s="45"/>
    </row>
    <row r="133" spans="1:7" x14ac:dyDescent="0.25">
      <c r="A133" s="43">
        <v>42299</v>
      </c>
      <c r="B133" s="276" t="s">
        <v>547</v>
      </c>
      <c r="C133" s="282">
        <f t="shared" ref="C133:C166" si="1">+D133/1000</f>
        <v>204.11199999999999</v>
      </c>
      <c r="D133" s="53">
        <v>204112</v>
      </c>
      <c r="E133" s="28">
        <v>33058</v>
      </c>
      <c r="F133" s="29">
        <v>4116</v>
      </c>
      <c r="G133" s="45"/>
    </row>
    <row r="134" spans="1:7" x14ac:dyDescent="0.25">
      <c r="A134" s="43">
        <v>42299</v>
      </c>
      <c r="B134" s="276" t="s">
        <v>548</v>
      </c>
      <c r="C134" s="282">
        <f t="shared" si="1"/>
        <v>529.08699999999999</v>
      </c>
      <c r="D134" s="53">
        <v>529087</v>
      </c>
      <c r="E134" s="28">
        <v>33058</v>
      </c>
      <c r="F134" s="29">
        <v>4116</v>
      </c>
      <c r="G134" s="45"/>
    </row>
    <row r="135" spans="1:7" x14ac:dyDescent="0.25">
      <c r="A135" s="43">
        <v>42299</v>
      </c>
      <c r="B135" s="276" t="s">
        <v>549</v>
      </c>
      <c r="C135" s="282">
        <f t="shared" si="1"/>
        <v>225.61600000000001</v>
      </c>
      <c r="D135" s="53">
        <v>225616</v>
      </c>
      <c r="E135" s="28">
        <v>33058</v>
      </c>
      <c r="F135" s="29">
        <v>4116</v>
      </c>
      <c r="G135" s="45"/>
    </row>
    <row r="136" spans="1:7" x14ac:dyDescent="0.25">
      <c r="A136" s="43">
        <v>42299</v>
      </c>
      <c r="B136" s="276" t="s">
        <v>550</v>
      </c>
      <c r="C136" s="282">
        <f t="shared" si="1"/>
        <v>204.11199999999999</v>
      </c>
      <c r="D136" s="53">
        <v>204112</v>
      </c>
      <c r="E136" s="28">
        <v>33058</v>
      </c>
      <c r="F136" s="29">
        <v>4116</v>
      </c>
      <c r="G136" s="45"/>
    </row>
    <row r="137" spans="1:7" x14ac:dyDescent="0.25">
      <c r="A137" s="43">
        <v>42299</v>
      </c>
      <c r="B137" s="276" t="s">
        <v>551</v>
      </c>
      <c r="C137" s="282">
        <f t="shared" si="1"/>
        <v>616.33799999999997</v>
      </c>
      <c r="D137" s="53">
        <v>616338</v>
      </c>
      <c r="E137" s="28">
        <v>33058</v>
      </c>
      <c r="F137" s="29">
        <v>4116</v>
      </c>
      <c r="G137" s="45"/>
    </row>
    <row r="138" spans="1:7" x14ac:dyDescent="0.25">
      <c r="A138" s="43">
        <v>42299</v>
      </c>
      <c r="B138" s="276" t="s">
        <v>552</v>
      </c>
      <c r="C138" s="282">
        <f t="shared" si="1"/>
        <v>220.85</v>
      </c>
      <c r="D138" s="53">
        <v>220850</v>
      </c>
      <c r="E138" s="28">
        <v>33058</v>
      </c>
      <c r="F138" s="29">
        <v>4116</v>
      </c>
      <c r="G138" s="45"/>
    </row>
    <row r="139" spans="1:7" x14ac:dyDescent="0.25">
      <c r="A139" s="43">
        <v>42299</v>
      </c>
      <c r="B139" s="276" t="s">
        <v>553</v>
      </c>
      <c r="C139" s="282">
        <f t="shared" si="1"/>
        <v>229.21899999999999</v>
      </c>
      <c r="D139" s="53">
        <v>229219</v>
      </c>
      <c r="E139" s="28">
        <v>33058</v>
      </c>
      <c r="F139" s="29">
        <v>4116</v>
      </c>
      <c r="G139" s="45"/>
    </row>
    <row r="140" spans="1:7" x14ac:dyDescent="0.25">
      <c r="A140" s="43">
        <v>42299</v>
      </c>
      <c r="B140" s="276" t="s">
        <v>554</v>
      </c>
      <c r="C140" s="282">
        <f t="shared" si="1"/>
        <v>204.11199999999999</v>
      </c>
      <c r="D140" s="53">
        <v>204112</v>
      </c>
      <c r="E140" s="28">
        <v>33058</v>
      </c>
      <c r="F140" s="29">
        <v>4116</v>
      </c>
      <c r="G140" s="45"/>
    </row>
    <row r="141" spans="1:7" x14ac:dyDescent="0.25">
      <c r="A141" s="43">
        <v>42300</v>
      </c>
      <c r="B141" s="276" t="s">
        <v>555</v>
      </c>
      <c r="C141" s="282">
        <f t="shared" si="1"/>
        <v>229.21899999999999</v>
      </c>
      <c r="D141" s="53">
        <v>229219</v>
      </c>
      <c r="E141" s="28">
        <v>33058</v>
      </c>
      <c r="F141" s="29">
        <v>4116</v>
      </c>
      <c r="G141" s="45"/>
    </row>
    <row r="142" spans="1:7" x14ac:dyDescent="0.25">
      <c r="A142" s="43">
        <v>42300</v>
      </c>
      <c r="B142" s="276" t="s">
        <v>556</v>
      </c>
      <c r="C142" s="282">
        <f t="shared" si="1"/>
        <v>392.95600000000002</v>
      </c>
      <c r="D142" s="53">
        <v>392956</v>
      </c>
      <c r="E142" s="28">
        <v>33058</v>
      </c>
      <c r="F142" s="29">
        <v>4116</v>
      </c>
      <c r="G142" s="45"/>
    </row>
    <row r="143" spans="1:7" x14ac:dyDescent="0.25">
      <c r="A143" s="43">
        <v>42300</v>
      </c>
      <c r="B143" s="276" t="s">
        <v>557</v>
      </c>
      <c r="C143" s="282">
        <f t="shared" si="1"/>
        <v>220.85</v>
      </c>
      <c r="D143" s="53">
        <v>220850</v>
      </c>
      <c r="E143" s="28">
        <v>33058</v>
      </c>
      <c r="F143" s="29">
        <v>4116</v>
      </c>
      <c r="G143" s="45"/>
    </row>
    <row r="144" spans="1:7" x14ac:dyDescent="0.25">
      <c r="A144" s="43">
        <v>42300</v>
      </c>
      <c r="B144" s="276" t="s">
        <v>558</v>
      </c>
      <c r="C144" s="282">
        <f t="shared" si="1"/>
        <v>353.69200000000001</v>
      </c>
      <c r="D144" s="53">
        <v>353692</v>
      </c>
      <c r="E144" s="28">
        <v>33058</v>
      </c>
      <c r="F144" s="29">
        <v>4116</v>
      </c>
      <c r="G144" s="45"/>
    </row>
    <row r="145" spans="1:7" x14ac:dyDescent="0.25">
      <c r="A145" s="43">
        <v>42300</v>
      </c>
      <c r="B145" s="276" t="s">
        <v>559</v>
      </c>
      <c r="C145" s="282">
        <f t="shared" si="1"/>
        <v>112.80800000000001</v>
      </c>
      <c r="D145" s="53">
        <v>112808</v>
      </c>
      <c r="E145" s="28">
        <v>33058</v>
      </c>
      <c r="F145" s="29">
        <v>4116</v>
      </c>
      <c r="G145" s="45"/>
    </row>
    <row r="146" spans="1:7" x14ac:dyDescent="0.25">
      <c r="A146" s="43">
        <v>42300</v>
      </c>
      <c r="B146" s="276" t="s">
        <v>560</v>
      </c>
      <c r="C146" s="282">
        <f t="shared" si="1"/>
        <v>220.85</v>
      </c>
      <c r="D146" s="53">
        <v>220850</v>
      </c>
      <c r="E146" s="28">
        <v>33058</v>
      </c>
      <c r="F146" s="29">
        <v>4116</v>
      </c>
      <c r="G146" s="45"/>
    </row>
    <row r="147" spans="1:7" x14ac:dyDescent="0.25">
      <c r="A147" s="43">
        <v>42310</v>
      </c>
      <c r="B147" s="276" t="s">
        <v>574</v>
      </c>
      <c r="C147" s="282">
        <f t="shared" si="1"/>
        <v>299.16000000000003</v>
      </c>
      <c r="D147" s="53">
        <f>254286+44874</f>
        <v>299160</v>
      </c>
      <c r="E147" s="28">
        <v>33058</v>
      </c>
      <c r="F147" s="29">
        <v>4116</v>
      </c>
      <c r="G147" s="45"/>
    </row>
    <row r="148" spans="1:7" x14ac:dyDescent="0.25">
      <c r="A148" s="43">
        <v>42310</v>
      </c>
      <c r="B148" s="276" t="s">
        <v>575</v>
      </c>
      <c r="C148" s="282">
        <f t="shared" si="1"/>
        <v>220.85</v>
      </c>
      <c r="D148" s="53">
        <f>187722.5+33127.5</f>
        <v>220850</v>
      </c>
      <c r="E148" s="28">
        <v>33058</v>
      </c>
      <c r="F148" s="29">
        <v>4116</v>
      </c>
      <c r="G148" s="45"/>
    </row>
    <row r="149" spans="1:7" x14ac:dyDescent="0.25">
      <c r="A149" s="43">
        <v>42310</v>
      </c>
      <c r="B149" s="276" t="s">
        <v>573</v>
      </c>
      <c r="C149" s="282">
        <f t="shared" si="1"/>
        <v>212.48099999999999</v>
      </c>
      <c r="D149" s="53">
        <f>180608.85+31872.15</f>
        <v>212481</v>
      </c>
      <c r="E149" s="28">
        <v>33058</v>
      </c>
      <c r="F149" s="29">
        <v>4116</v>
      </c>
      <c r="G149" s="45"/>
    </row>
    <row r="150" spans="1:7" x14ac:dyDescent="0.25">
      <c r="A150" s="43">
        <v>42310</v>
      </c>
      <c r="B150" s="276" t="s">
        <v>576</v>
      </c>
      <c r="C150" s="282">
        <f t="shared" si="1"/>
        <v>220.85</v>
      </c>
      <c r="D150" s="53">
        <f>187722.5+33127.5</f>
        <v>220850</v>
      </c>
      <c r="E150" s="28">
        <v>33058</v>
      </c>
      <c r="F150" s="29">
        <v>4116</v>
      </c>
      <c r="G150" s="45"/>
    </row>
    <row r="151" spans="1:7" x14ac:dyDescent="0.25">
      <c r="A151" s="43">
        <v>42310</v>
      </c>
      <c r="B151" s="276" t="s">
        <v>577</v>
      </c>
      <c r="C151" s="282">
        <f t="shared" si="1"/>
        <v>220.85</v>
      </c>
      <c r="D151" s="53">
        <f>187722.5+33127.5</f>
        <v>220850</v>
      </c>
      <c r="E151" s="28">
        <v>33058</v>
      </c>
      <c r="F151" s="29">
        <v>4116</v>
      </c>
      <c r="G151" s="45"/>
    </row>
    <row r="152" spans="1:7" x14ac:dyDescent="0.25">
      <c r="A152" s="43">
        <v>42310</v>
      </c>
      <c r="B152" s="276" t="s">
        <v>578</v>
      </c>
      <c r="C152" s="282">
        <f t="shared" si="1"/>
        <v>225.56899999999999</v>
      </c>
      <c r="D152" s="53">
        <f>191733.65+33835.35</f>
        <v>225569</v>
      </c>
      <c r="E152" s="28">
        <v>33058</v>
      </c>
      <c r="F152" s="29">
        <v>4116</v>
      </c>
      <c r="G152" s="45"/>
    </row>
    <row r="153" spans="1:7" x14ac:dyDescent="0.25">
      <c r="A153" s="43">
        <v>42310</v>
      </c>
      <c r="B153" s="276" t="s">
        <v>579</v>
      </c>
      <c r="C153" s="282">
        <f t="shared" si="1"/>
        <v>204.11199999999999</v>
      </c>
      <c r="D153" s="53">
        <f>173495.2+30616.8</f>
        <v>204112</v>
      </c>
      <c r="E153" s="28">
        <v>33058</v>
      </c>
      <c r="F153" s="29">
        <v>4116</v>
      </c>
      <c r="G153" s="45"/>
    </row>
    <row r="154" spans="1:7" x14ac:dyDescent="0.25">
      <c r="A154" s="43">
        <v>42310</v>
      </c>
      <c r="B154" s="276" t="s">
        <v>580</v>
      </c>
      <c r="C154" s="282">
        <f t="shared" si="1"/>
        <v>204.11199999999999</v>
      </c>
      <c r="D154" s="53">
        <f>173495.2+30616.8</f>
        <v>204112</v>
      </c>
      <c r="E154" s="28">
        <v>33058</v>
      </c>
      <c r="F154" s="29">
        <v>4116</v>
      </c>
      <c r="G154" s="45"/>
    </row>
    <row r="155" spans="1:7" x14ac:dyDescent="0.25">
      <c r="A155" s="43">
        <v>42310</v>
      </c>
      <c r="B155" s="276" t="s">
        <v>581</v>
      </c>
      <c r="C155" s="282">
        <f t="shared" si="1"/>
        <v>212.48099999999999</v>
      </c>
      <c r="D155" s="53">
        <f>180608.85+31872.15</f>
        <v>212481</v>
      </c>
      <c r="E155" s="28">
        <v>33058</v>
      </c>
      <c r="F155" s="29">
        <v>4116</v>
      </c>
      <c r="G155" s="45"/>
    </row>
    <row r="156" spans="1:7" x14ac:dyDescent="0.25">
      <c r="A156" s="43">
        <v>42310</v>
      </c>
      <c r="B156" s="276" t="s">
        <v>582</v>
      </c>
      <c r="C156" s="282">
        <f t="shared" si="1"/>
        <v>338.01600000000002</v>
      </c>
      <c r="D156" s="53">
        <f>287313.6+50702.4</f>
        <v>338016</v>
      </c>
      <c r="E156" s="28">
        <v>33058</v>
      </c>
      <c r="F156" s="29">
        <v>4116</v>
      </c>
      <c r="G156" s="45"/>
    </row>
    <row r="157" spans="1:7" x14ac:dyDescent="0.25">
      <c r="A157" s="43">
        <v>42310</v>
      </c>
      <c r="B157" s="276" t="s">
        <v>583</v>
      </c>
      <c r="C157" s="282">
        <f t="shared" si="1"/>
        <v>204.11199999999999</v>
      </c>
      <c r="D157" s="53">
        <f>173495.2+30616.8</f>
        <v>204112</v>
      </c>
      <c r="E157" s="28">
        <v>33058</v>
      </c>
      <c r="F157" s="29">
        <v>4116</v>
      </c>
      <c r="G157" s="45"/>
    </row>
    <row r="158" spans="1:7" x14ac:dyDescent="0.25">
      <c r="A158" s="43">
        <v>42310</v>
      </c>
      <c r="B158" s="276" t="s">
        <v>584</v>
      </c>
      <c r="C158" s="282">
        <f t="shared" si="1"/>
        <v>204.11199999999999</v>
      </c>
      <c r="D158" s="53">
        <f>173495.2+30616.8</f>
        <v>204112</v>
      </c>
      <c r="E158" s="28">
        <v>33058</v>
      </c>
      <c r="F158" s="29">
        <v>4116</v>
      </c>
      <c r="G158" s="45"/>
    </row>
    <row r="159" spans="1:7" x14ac:dyDescent="0.25">
      <c r="A159" s="43">
        <v>42310</v>
      </c>
      <c r="B159" s="276" t="s">
        <v>585</v>
      </c>
      <c r="C159" s="282">
        <f t="shared" si="1"/>
        <v>212.48099999999999</v>
      </c>
      <c r="D159" s="53">
        <f>180608.85+31872.15</f>
        <v>212481</v>
      </c>
      <c r="E159" s="28">
        <v>33058</v>
      </c>
      <c r="F159" s="29">
        <v>4116</v>
      </c>
      <c r="G159" s="45"/>
    </row>
    <row r="160" spans="1:7" x14ac:dyDescent="0.25">
      <c r="A160" s="43">
        <v>42310</v>
      </c>
      <c r="B160" s="276" t="s">
        <v>586</v>
      </c>
      <c r="C160" s="282">
        <f t="shared" si="1"/>
        <v>212.48099999999999</v>
      </c>
      <c r="D160" s="53">
        <f>180608.85+31872.15</f>
        <v>212481</v>
      </c>
      <c r="E160" s="28">
        <v>33058</v>
      </c>
      <c r="F160" s="29">
        <v>4116</v>
      </c>
      <c r="G160" s="45"/>
    </row>
    <row r="161" spans="1:7" x14ac:dyDescent="0.25">
      <c r="A161" s="43">
        <v>42310</v>
      </c>
      <c r="B161" s="276" t="s">
        <v>587</v>
      </c>
      <c r="C161" s="282">
        <f t="shared" si="1"/>
        <v>477.40800000000002</v>
      </c>
      <c r="D161" s="53">
        <f>405796.8+71611.2</f>
        <v>477408</v>
      </c>
      <c r="E161" s="28">
        <v>33058</v>
      </c>
      <c r="F161" s="29">
        <v>4116</v>
      </c>
      <c r="G161" s="45"/>
    </row>
    <row r="162" spans="1:7" x14ac:dyDescent="0.25">
      <c r="A162" s="43">
        <v>42312</v>
      </c>
      <c r="B162" s="276" t="s">
        <v>592</v>
      </c>
      <c r="C162" s="282">
        <f t="shared" si="1"/>
        <v>237.58799999999999</v>
      </c>
      <c r="D162" s="53">
        <f>201949.8+35638.2</f>
        <v>237588</v>
      </c>
      <c r="E162" s="28">
        <v>33058</v>
      </c>
      <c r="F162" s="29">
        <v>4116</v>
      </c>
      <c r="G162" s="45"/>
    </row>
    <row r="163" spans="1:7" x14ac:dyDescent="0.25">
      <c r="A163" s="43">
        <v>42312</v>
      </c>
      <c r="B163" s="276" t="s">
        <v>593</v>
      </c>
      <c r="C163" s="282">
        <f t="shared" si="1"/>
        <v>333.65800000000002</v>
      </c>
      <c r="D163" s="53">
        <f>283609.3+50048.7</f>
        <v>333658</v>
      </c>
      <c r="E163" s="28">
        <v>33058</v>
      </c>
      <c r="F163" s="29">
        <v>4116</v>
      </c>
      <c r="G163" s="45"/>
    </row>
    <row r="164" spans="1:7" x14ac:dyDescent="0.25">
      <c r="A164" s="43">
        <v>42326</v>
      </c>
      <c r="B164" s="276" t="s">
        <v>605</v>
      </c>
      <c r="C164" s="282">
        <f t="shared" si="1"/>
        <v>-496.64810999999997</v>
      </c>
      <c r="D164" s="53">
        <v>-496648.11</v>
      </c>
      <c r="E164" s="28">
        <v>33019</v>
      </c>
      <c r="F164" s="29">
        <v>4116</v>
      </c>
      <c r="G164" s="45"/>
    </row>
    <row r="165" spans="1:7" x14ac:dyDescent="0.25">
      <c r="A165" s="43">
        <v>42327</v>
      </c>
      <c r="B165" s="107" t="s">
        <v>606</v>
      </c>
      <c r="C165" s="282">
        <f t="shared" si="1"/>
        <v>-167.35857000000001</v>
      </c>
      <c r="D165" s="53">
        <v>-167358.57</v>
      </c>
      <c r="E165" s="28">
        <v>33019</v>
      </c>
      <c r="F165" s="29">
        <v>4116</v>
      </c>
      <c r="G165" s="45"/>
    </row>
    <row r="166" spans="1:7" x14ac:dyDescent="0.25">
      <c r="A166" s="43">
        <v>42338</v>
      </c>
      <c r="B166" s="276" t="s">
        <v>597</v>
      </c>
      <c r="C166" s="282">
        <f t="shared" si="1"/>
        <v>-629.3125500000001</v>
      </c>
      <c r="D166" s="53">
        <v>-629312.55000000005</v>
      </c>
      <c r="E166" s="28">
        <v>33019</v>
      </c>
      <c r="F166" s="29">
        <v>4116</v>
      </c>
      <c r="G166" s="45"/>
    </row>
    <row r="167" spans="1:7" x14ac:dyDescent="0.25">
      <c r="A167" s="43"/>
      <c r="B167" s="276"/>
      <c r="C167" s="282"/>
      <c r="D167" s="53"/>
      <c r="E167" s="28"/>
      <c r="F167" s="29"/>
      <c r="G167" s="45"/>
    </row>
    <row r="168" spans="1:7" x14ac:dyDescent="0.25">
      <c r="A168" s="43"/>
      <c r="B168" s="273" t="s">
        <v>35</v>
      </c>
      <c r="C168" s="506">
        <f>+SUM(C169:C175)</f>
        <v>2698.7324400000002</v>
      </c>
      <c r="D168" s="30">
        <f>+SUM(D169:D175)</f>
        <v>2698732.44</v>
      </c>
      <c r="E168" s="28"/>
      <c r="F168" s="29"/>
      <c r="G168" s="45">
        <f>+C168*1000-D168</f>
        <v>0</v>
      </c>
    </row>
    <row r="169" spans="1:7" x14ac:dyDescent="0.25">
      <c r="A169" s="43">
        <v>42040</v>
      </c>
      <c r="B169" s="107" t="s">
        <v>60</v>
      </c>
      <c r="C169" s="282">
        <f>+D169/1000</f>
        <v>2686.6678700000002</v>
      </c>
      <c r="D169" s="52">
        <v>2686667.87</v>
      </c>
      <c r="E169" s="28">
        <v>17003</v>
      </c>
      <c r="F169" s="29" t="s">
        <v>18</v>
      </c>
      <c r="G169" s="45"/>
    </row>
    <row r="170" spans="1:7" x14ac:dyDescent="0.25">
      <c r="A170" s="43">
        <v>42059</v>
      </c>
      <c r="B170" s="107" t="s">
        <v>105</v>
      </c>
      <c r="C170" s="282">
        <f t="shared" ref="C170:C174" si="2">+D170/1000</f>
        <v>188.21549999999999</v>
      </c>
      <c r="D170" s="52">
        <v>188215.5</v>
      </c>
      <c r="E170" s="28">
        <v>17003</v>
      </c>
      <c r="F170" s="29">
        <v>4116</v>
      </c>
      <c r="G170" s="45"/>
    </row>
    <row r="171" spans="1:7" x14ac:dyDescent="0.25">
      <c r="A171" s="43">
        <v>42059</v>
      </c>
      <c r="B171" s="107" t="s">
        <v>105</v>
      </c>
      <c r="C171" s="282">
        <f t="shared" si="2"/>
        <v>33.214500000000001</v>
      </c>
      <c r="D171" s="52">
        <v>33214.5</v>
      </c>
      <c r="E171" s="28">
        <v>17002</v>
      </c>
      <c r="F171" s="29">
        <v>4116</v>
      </c>
      <c r="G171" s="45"/>
    </row>
    <row r="172" spans="1:7" x14ac:dyDescent="0.25">
      <c r="A172" s="43">
        <v>42241</v>
      </c>
      <c r="B172" s="107" t="s">
        <v>379</v>
      </c>
      <c r="C172" s="282">
        <f t="shared" si="2"/>
        <v>-188.21549999999999</v>
      </c>
      <c r="D172" s="52">
        <v>-188215.5</v>
      </c>
      <c r="E172" s="28">
        <v>17003</v>
      </c>
      <c r="F172" s="29">
        <v>4116</v>
      </c>
      <c r="G172" s="45"/>
    </row>
    <row r="173" spans="1:7" x14ac:dyDescent="0.25">
      <c r="A173" s="43">
        <v>42241</v>
      </c>
      <c r="B173" s="107" t="s">
        <v>379</v>
      </c>
      <c r="C173" s="282">
        <f t="shared" si="2"/>
        <v>-33.214500000000001</v>
      </c>
      <c r="D173" s="52">
        <v>-33214.5</v>
      </c>
      <c r="E173" s="28">
        <v>17002</v>
      </c>
      <c r="F173" s="29">
        <v>4116</v>
      </c>
      <c r="G173" s="45"/>
    </row>
    <row r="174" spans="1:7" x14ac:dyDescent="0.25">
      <c r="A174" s="43">
        <v>42318</v>
      </c>
      <c r="B174" s="107" t="s">
        <v>601</v>
      </c>
      <c r="C174" s="282">
        <f t="shared" si="2"/>
        <v>12.06457</v>
      </c>
      <c r="D174" s="52">
        <v>12064.57</v>
      </c>
      <c r="E174" s="28">
        <v>17007</v>
      </c>
      <c r="F174" s="29">
        <v>4116</v>
      </c>
      <c r="G174" s="45"/>
    </row>
    <row r="175" spans="1:7" x14ac:dyDescent="0.25">
      <c r="A175" s="43"/>
      <c r="B175" s="83"/>
      <c r="C175" s="282"/>
      <c r="D175" s="52"/>
      <c r="E175" s="28"/>
      <c r="F175" s="29"/>
      <c r="G175" s="45"/>
    </row>
    <row r="176" spans="1:7" x14ac:dyDescent="0.25">
      <c r="A176" s="43"/>
      <c r="B176" s="31" t="s">
        <v>36</v>
      </c>
      <c r="C176" s="506">
        <f>+SUM(C177:C180)</f>
        <v>15461.914000000001</v>
      </c>
      <c r="D176" s="30">
        <f>+SUM(D177:D180)</f>
        <v>15461914</v>
      </c>
      <c r="E176" s="28"/>
      <c r="F176" s="29"/>
      <c r="G176" s="45">
        <f>+C176*1000-D176</f>
        <v>0</v>
      </c>
    </row>
    <row r="177" spans="1:8" x14ac:dyDescent="0.25">
      <c r="A177" s="43">
        <v>42163</v>
      </c>
      <c r="B177" s="107" t="s">
        <v>237</v>
      </c>
      <c r="C177" s="282">
        <f>+D177/1000</f>
        <v>4147.348</v>
      </c>
      <c r="D177" s="52">
        <f>46797196-42649848</f>
        <v>4147348</v>
      </c>
      <c r="E177" s="28">
        <v>13011</v>
      </c>
      <c r="F177" s="29">
        <v>4116</v>
      </c>
      <c r="G177" s="384"/>
      <c r="H177" s="384"/>
    </row>
    <row r="178" spans="1:8" x14ac:dyDescent="0.25">
      <c r="A178" s="43">
        <v>42163</v>
      </c>
      <c r="B178" s="107" t="s">
        <v>238</v>
      </c>
      <c r="C178" s="282">
        <f t="shared" ref="C178:C180" si="3">+D178/1000</f>
        <v>505.56599999999997</v>
      </c>
      <c r="D178" s="52">
        <v>505566</v>
      </c>
      <c r="E178" s="28">
        <v>13011</v>
      </c>
      <c r="F178" s="29">
        <v>4116</v>
      </c>
      <c r="G178" s="45"/>
    </row>
    <row r="179" spans="1:8" x14ac:dyDescent="0.25">
      <c r="A179" s="43">
        <v>42271</v>
      </c>
      <c r="B179" s="107" t="s">
        <v>423</v>
      </c>
      <c r="C179" s="282">
        <f t="shared" si="3"/>
        <v>12309</v>
      </c>
      <c r="D179" s="52">
        <v>12309000</v>
      </c>
      <c r="E179" s="28">
        <v>13015</v>
      </c>
      <c r="F179" s="29">
        <v>4116</v>
      </c>
      <c r="G179" s="45"/>
    </row>
    <row r="180" spans="1:8" x14ac:dyDescent="0.25">
      <c r="A180" s="43">
        <v>42312</v>
      </c>
      <c r="B180" s="107" t="s">
        <v>594</v>
      </c>
      <c r="C180" s="282">
        <f t="shared" si="3"/>
        <v>-1500</v>
      </c>
      <c r="D180" s="52">
        <v>-1500000</v>
      </c>
      <c r="E180" s="28">
        <v>13011</v>
      </c>
      <c r="F180" s="29">
        <v>4116</v>
      </c>
      <c r="G180" s="45"/>
    </row>
    <row r="181" spans="1:8" x14ac:dyDescent="0.25">
      <c r="A181" s="43"/>
      <c r="B181" s="58"/>
      <c r="C181" s="282"/>
      <c r="D181" s="358"/>
      <c r="E181" s="28"/>
      <c r="F181" s="29"/>
      <c r="G181" s="45"/>
    </row>
    <row r="182" spans="1:8" x14ac:dyDescent="0.25">
      <c r="A182" s="43"/>
      <c r="B182" s="273" t="s">
        <v>38</v>
      </c>
      <c r="C182" s="506">
        <f>+C183+C184</f>
        <v>747.2</v>
      </c>
      <c r="D182" s="30">
        <f>+D183+D184</f>
        <v>747200</v>
      </c>
      <c r="E182" s="28"/>
      <c r="F182" s="29"/>
      <c r="G182" s="45"/>
    </row>
    <row r="183" spans="1:8" x14ac:dyDescent="0.25">
      <c r="A183" s="43">
        <v>42051</v>
      </c>
      <c r="B183" s="107" t="s">
        <v>39</v>
      </c>
      <c r="C183" s="499">
        <v>600</v>
      </c>
      <c r="D183" s="46">
        <v>600000</v>
      </c>
      <c r="E183" s="28">
        <v>22005</v>
      </c>
      <c r="F183" s="29" t="s">
        <v>18</v>
      </c>
      <c r="G183" s="45"/>
    </row>
    <row r="184" spans="1:8" x14ac:dyDescent="0.25">
      <c r="A184" s="43">
        <v>42324</v>
      </c>
      <c r="B184" s="107" t="s">
        <v>607</v>
      </c>
      <c r="C184" s="499">
        <v>147.19999999999999</v>
      </c>
      <c r="D184" s="46">
        <v>147200</v>
      </c>
      <c r="E184" s="28">
        <v>22003</v>
      </c>
      <c r="F184" s="29">
        <v>4116</v>
      </c>
      <c r="G184" s="45"/>
    </row>
    <row r="185" spans="1:8" x14ac:dyDescent="0.25">
      <c r="A185" s="43"/>
      <c r="B185" s="276"/>
      <c r="C185" s="282"/>
      <c r="D185" s="46"/>
      <c r="E185" s="28"/>
      <c r="F185" s="29"/>
      <c r="G185" s="45"/>
    </row>
    <row r="186" spans="1:8" x14ac:dyDescent="0.25">
      <c r="A186" s="43"/>
      <c r="B186" s="273" t="s">
        <v>40</v>
      </c>
      <c r="C186" s="506">
        <f>SUM(C187:C205)</f>
        <v>1928.2125699999997</v>
      </c>
      <c r="D186" s="30">
        <f>SUM(D187:D205)</f>
        <v>1928212.5699999998</v>
      </c>
      <c r="E186" s="28"/>
      <c r="F186" s="29"/>
      <c r="G186" s="45">
        <f>+C186*1000-D186</f>
        <v>0</v>
      </c>
    </row>
    <row r="187" spans="1:8" x14ac:dyDescent="0.25">
      <c r="A187" s="43">
        <v>42081</v>
      </c>
      <c r="B187" s="276" t="s">
        <v>118</v>
      </c>
      <c r="C187" s="282">
        <f>+D187/1000</f>
        <v>134.988</v>
      </c>
      <c r="D187" s="47">
        <v>134988</v>
      </c>
      <c r="E187" s="28">
        <v>14023</v>
      </c>
      <c r="F187" s="29">
        <v>4116</v>
      </c>
      <c r="G187" s="45"/>
    </row>
    <row r="188" spans="1:8" x14ac:dyDescent="0.25">
      <c r="A188" s="43">
        <v>42082</v>
      </c>
      <c r="B188" s="276" t="s">
        <v>119</v>
      </c>
      <c r="C188" s="282">
        <f t="shared" ref="C188:C249" si="4">+D188/1000</f>
        <v>72</v>
      </c>
      <c r="D188" s="47">
        <v>72000</v>
      </c>
      <c r="E188" s="28">
        <v>14336</v>
      </c>
      <c r="F188" s="29">
        <v>4116</v>
      </c>
      <c r="G188" s="45"/>
    </row>
    <row r="189" spans="1:8" x14ac:dyDescent="0.25">
      <c r="A189" s="43">
        <v>42087</v>
      </c>
      <c r="B189" s="276" t="s">
        <v>118</v>
      </c>
      <c r="C189" s="282">
        <f t="shared" si="4"/>
        <v>0.8</v>
      </c>
      <c r="D189" s="47">
        <v>800</v>
      </c>
      <c r="E189" s="28">
        <v>14023</v>
      </c>
      <c r="F189" s="29">
        <v>4116</v>
      </c>
      <c r="G189" s="45"/>
    </row>
    <row r="190" spans="1:8" x14ac:dyDescent="0.25">
      <c r="A190" s="43">
        <v>42090</v>
      </c>
      <c r="B190" s="276" t="s">
        <v>118</v>
      </c>
      <c r="C190" s="282">
        <f t="shared" si="4"/>
        <v>66.06</v>
      </c>
      <c r="D190" s="47">
        <v>66060</v>
      </c>
      <c r="E190" s="28">
        <v>14023</v>
      </c>
      <c r="F190" s="29">
        <v>4116</v>
      </c>
      <c r="G190" s="45"/>
    </row>
    <row r="191" spans="1:8" x14ac:dyDescent="0.25">
      <c r="A191" s="43">
        <v>42096</v>
      </c>
      <c r="B191" s="276" t="s">
        <v>136</v>
      </c>
      <c r="C191" s="282">
        <f t="shared" si="4"/>
        <v>72</v>
      </c>
      <c r="D191" s="47">
        <v>72000</v>
      </c>
      <c r="E191" s="28">
        <v>14336</v>
      </c>
      <c r="F191" s="29">
        <v>4116</v>
      </c>
      <c r="G191" s="45"/>
    </row>
    <row r="192" spans="1:8" x14ac:dyDescent="0.25">
      <c r="A192" s="43">
        <v>42096</v>
      </c>
      <c r="B192" s="276" t="s">
        <v>137</v>
      </c>
      <c r="C192" s="282">
        <f t="shared" si="4"/>
        <v>72</v>
      </c>
      <c r="D192" s="47">
        <v>72000</v>
      </c>
      <c r="E192" s="28">
        <v>14336</v>
      </c>
      <c r="F192" s="29">
        <v>4116</v>
      </c>
      <c r="G192" s="45"/>
    </row>
    <row r="193" spans="1:7" x14ac:dyDescent="0.25">
      <c r="A193" s="43">
        <v>42123</v>
      </c>
      <c r="B193" s="276" t="s">
        <v>153</v>
      </c>
      <c r="C193" s="282">
        <f t="shared" si="4"/>
        <v>72</v>
      </c>
      <c r="D193" s="47">
        <v>72000</v>
      </c>
      <c r="E193" s="28">
        <v>14336</v>
      </c>
      <c r="F193" s="29">
        <v>4116</v>
      </c>
      <c r="G193" s="45"/>
    </row>
    <row r="194" spans="1:7" x14ac:dyDescent="0.25">
      <c r="A194" s="43">
        <v>42128</v>
      </c>
      <c r="B194" s="276" t="s">
        <v>118</v>
      </c>
      <c r="C194" s="282">
        <f t="shared" si="4"/>
        <v>65.341999999999999</v>
      </c>
      <c r="D194" s="47">
        <v>65342</v>
      </c>
      <c r="E194" s="28">
        <v>14023</v>
      </c>
      <c r="F194" s="29">
        <v>4116</v>
      </c>
      <c r="G194" s="45"/>
    </row>
    <row r="195" spans="1:7" x14ac:dyDescent="0.25">
      <c r="A195" s="43">
        <v>42152</v>
      </c>
      <c r="B195" s="276" t="s">
        <v>118</v>
      </c>
      <c r="C195" s="282">
        <f t="shared" si="4"/>
        <v>69.66</v>
      </c>
      <c r="D195" s="47">
        <v>69660</v>
      </c>
      <c r="E195" s="28">
        <v>14023</v>
      </c>
      <c r="F195" s="29">
        <v>4116</v>
      </c>
      <c r="G195" s="45"/>
    </row>
    <row r="196" spans="1:7" x14ac:dyDescent="0.25">
      <c r="A196" s="43">
        <v>42166</v>
      </c>
      <c r="B196" s="276" t="s">
        <v>229</v>
      </c>
      <c r="C196" s="282">
        <f t="shared" si="4"/>
        <v>721</v>
      </c>
      <c r="D196" s="47">
        <f>757000-36000</f>
        <v>721000</v>
      </c>
      <c r="E196" s="28">
        <v>14018</v>
      </c>
      <c r="F196" s="29">
        <v>4116</v>
      </c>
      <c r="G196" s="45"/>
    </row>
    <row r="197" spans="1:7" x14ac:dyDescent="0.25">
      <c r="A197" s="43">
        <v>42181</v>
      </c>
      <c r="B197" s="276" t="s">
        <v>247</v>
      </c>
      <c r="C197" s="282">
        <f t="shared" si="4"/>
        <v>102.74966999999999</v>
      </c>
      <c r="D197" s="47">
        <v>102749.67</v>
      </c>
      <c r="E197" s="28">
        <v>14013</v>
      </c>
      <c r="F197" s="29">
        <v>4116</v>
      </c>
      <c r="G197" s="45"/>
    </row>
    <row r="198" spans="1:7" x14ac:dyDescent="0.25">
      <c r="A198" s="43">
        <v>42184</v>
      </c>
      <c r="B198" s="276" t="s">
        <v>118</v>
      </c>
      <c r="C198" s="282">
        <f t="shared" si="4"/>
        <v>81.936000000000007</v>
      </c>
      <c r="D198" s="47">
        <v>81936</v>
      </c>
      <c r="E198" s="28">
        <v>14023</v>
      </c>
      <c r="F198" s="29">
        <v>4116</v>
      </c>
      <c r="G198" s="45"/>
    </row>
    <row r="199" spans="1:7" x14ac:dyDescent="0.25">
      <c r="A199" s="43">
        <v>42213</v>
      </c>
      <c r="B199" s="276" t="s">
        <v>118</v>
      </c>
      <c r="C199" s="282">
        <f t="shared" si="4"/>
        <v>67.016000000000005</v>
      </c>
      <c r="D199" s="47">
        <v>67016</v>
      </c>
      <c r="E199" s="28">
        <v>14023</v>
      </c>
      <c r="F199" s="29">
        <v>4116</v>
      </c>
      <c r="G199" s="45"/>
    </row>
    <row r="200" spans="1:7" x14ac:dyDescent="0.25">
      <c r="A200" s="43">
        <v>42241</v>
      </c>
      <c r="B200" s="276" t="s">
        <v>118</v>
      </c>
      <c r="C200" s="282">
        <f t="shared" si="4"/>
        <v>69.228999999999999</v>
      </c>
      <c r="D200" s="47">
        <f>58844.65+10384.35</f>
        <v>69229</v>
      </c>
      <c r="E200" s="28">
        <v>14023</v>
      </c>
      <c r="F200" s="29">
        <v>4116</v>
      </c>
      <c r="G200" s="45"/>
    </row>
    <row r="201" spans="1:7" x14ac:dyDescent="0.25">
      <c r="A201" s="43">
        <v>42278</v>
      </c>
      <c r="B201" s="276" t="s">
        <v>118</v>
      </c>
      <c r="C201" s="282">
        <f t="shared" si="4"/>
        <v>75.543000000000006</v>
      </c>
      <c r="D201" s="47">
        <v>75543</v>
      </c>
      <c r="E201" s="28">
        <v>14023</v>
      </c>
      <c r="F201" s="29">
        <v>4116</v>
      </c>
      <c r="G201" s="45"/>
    </row>
    <row r="202" spans="1:7" x14ac:dyDescent="0.25">
      <c r="A202" s="43">
        <v>42314</v>
      </c>
      <c r="B202" s="276" t="s">
        <v>118</v>
      </c>
      <c r="C202" s="282">
        <f t="shared" si="4"/>
        <v>67.688000000000002</v>
      </c>
      <c r="D202" s="47">
        <v>67688</v>
      </c>
      <c r="E202" s="28">
        <v>14023</v>
      </c>
      <c r="F202" s="29">
        <v>4116</v>
      </c>
      <c r="G202" s="45"/>
    </row>
    <row r="203" spans="1:7" x14ac:dyDescent="0.25">
      <c r="A203" s="43">
        <v>42335</v>
      </c>
      <c r="B203" s="276" t="s">
        <v>118</v>
      </c>
      <c r="C203" s="282">
        <f t="shared" si="4"/>
        <v>62.695</v>
      </c>
      <c r="D203" s="47">
        <v>62695</v>
      </c>
      <c r="E203" s="28">
        <v>14023</v>
      </c>
      <c r="F203" s="29">
        <v>4116</v>
      </c>
      <c r="G203" s="45"/>
    </row>
    <row r="204" spans="1:7" x14ac:dyDescent="0.25">
      <c r="A204" s="43">
        <v>42353</v>
      </c>
      <c r="B204" s="276" t="s">
        <v>653</v>
      </c>
      <c r="C204" s="282">
        <f t="shared" si="4"/>
        <v>-1.7090999999999998</v>
      </c>
      <c r="D204" s="47">
        <v>-1709.1</v>
      </c>
      <c r="E204" s="28">
        <v>14018</v>
      </c>
      <c r="F204" s="29">
        <v>4116</v>
      </c>
      <c r="G204" s="45"/>
    </row>
    <row r="205" spans="1:7" x14ac:dyDescent="0.25">
      <c r="A205" s="43">
        <v>42354</v>
      </c>
      <c r="B205" s="276" t="s">
        <v>118</v>
      </c>
      <c r="C205" s="282">
        <f t="shared" si="4"/>
        <v>57.215000000000003</v>
      </c>
      <c r="D205" s="47">
        <f>48632.75+8582.25</f>
        <v>57215</v>
      </c>
      <c r="E205" s="28">
        <v>14023</v>
      </c>
      <c r="F205" s="29">
        <v>4116</v>
      </c>
      <c r="G205" s="45"/>
    </row>
    <row r="206" spans="1:7" x14ac:dyDescent="0.25">
      <c r="A206" s="43"/>
      <c r="B206" s="276"/>
      <c r="C206" s="282"/>
      <c r="D206" s="46"/>
      <c r="E206" s="28"/>
      <c r="F206" s="48"/>
      <c r="G206" s="45"/>
    </row>
    <row r="207" spans="1:7" x14ac:dyDescent="0.25">
      <c r="A207" s="43"/>
      <c r="B207" s="273" t="s">
        <v>41</v>
      </c>
      <c r="C207" s="506">
        <f>+SUM(C208:C226)</f>
        <v>935.77300000000014</v>
      </c>
      <c r="D207" s="30">
        <f>+SUM(D208:D226)</f>
        <v>935773</v>
      </c>
      <c r="E207" s="28"/>
      <c r="F207" s="48"/>
      <c r="G207" s="45">
        <f>+C207*1000-D207</f>
        <v>0</v>
      </c>
    </row>
    <row r="208" spans="1:7" x14ac:dyDescent="0.25">
      <c r="A208" s="43">
        <v>42118</v>
      </c>
      <c r="B208" s="276" t="s">
        <v>93</v>
      </c>
      <c r="C208" s="282">
        <f t="shared" si="4"/>
        <v>18.0625</v>
      </c>
      <c r="D208" s="46">
        <v>18062.5</v>
      </c>
      <c r="E208" s="28">
        <v>35019</v>
      </c>
      <c r="F208" s="48">
        <v>4116</v>
      </c>
      <c r="G208" s="45"/>
    </row>
    <row r="209" spans="1:8" x14ac:dyDescent="0.25">
      <c r="A209" s="43">
        <v>42118</v>
      </c>
      <c r="B209" s="276" t="s">
        <v>94</v>
      </c>
      <c r="C209" s="282">
        <f t="shared" si="4"/>
        <v>17.977499999999999</v>
      </c>
      <c r="D209" s="46">
        <v>17977.5</v>
      </c>
      <c r="E209" s="28">
        <v>35019</v>
      </c>
      <c r="F209" s="48">
        <v>4116</v>
      </c>
      <c r="G209" s="439"/>
      <c r="H209" s="440"/>
    </row>
    <row r="210" spans="1:8" x14ac:dyDescent="0.25">
      <c r="A210" s="43">
        <v>42118</v>
      </c>
      <c r="B210" s="276" t="s">
        <v>95</v>
      </c>
      <c r="C210" s="282">
        <f t="shared" si="4"/>
        <v>32.084000000000003</v>
      </c>
      <c r="D210" s="46">
        <v>32084</v>
      </c>
      <c r="E210" s="28">
        <v>35019</v>
      </c>
      <c r="F210" s="48">
        <v>4116</v>
      </c>
      <c r="G210" s="439"/>
      <c r="H210" s="440"/>
    </row>
    <row r="211" spans="1:8" x14ac:dyDescent="0.25">
      <c r="A211" s="43">
        <v>42118</v>
      </c>
      <c r="B211" s="276" t="s">
        <v>95</v>
      </c>
      <c r="C211" s="282">
        <f t="shared" si="4"/>
        <v>77</v>
      </c>
      <c r="D211" s="46">
        <v>77000</v>
      </c>
      <c r="E211" s="28">
        <v>35019</v>
      </c>
      <c r="F211" s="48">
        <v>4116</v>
      </c>
      <c r="G211" s="439"/>
      <c r="H211" s="440"/>
    </row>
    <row r="212" spans="1:8" x14ac:dyDescent="0.25">
      <c r="A212" s="43">
        <v>42118</v>
      </c>
      <c r="B212" s="276" t="s">
        <v>92</v>
      </c>
      <c r="C212" s="282">
        <f t="shared" si="4"/>
        <v>40.25</v>
      </c>
      <c r="D212" s="46">
        <v>40250</v>
      </c>
      <c r="E212" s="28">
        <v>35019</v>
      </c>
      <c r="F212" s="48">
        <v>4116</v>
      </c>
      <c r="G212" s="439"/>
      <c r="H212" s="440"/>
    </row>
    <row r="213" spans="1:8" x14ac:dyDescent="0.25">
      <c r="A213" s="43">
        <v>42172</v>
      </c>
      <c r="B213" s="276" t="s">
        <v>100</v>
      </c>
      <c r="C213" s="282">
        <f t="shared" si="4"/>
        <v>140</v>
      </c>
      <c r="D213" s="46">
        <v>140000</v>
      </c>
      <c r="E213" s="28">
        <v>35015</v>
      </c>
      <c r="F213" s="48">
        <v>4116</v>
      </c>
      <c r="G213" s="439"/>
      <c r="H213" s="440"/>
    </row>
    <row r="214" spans="1:8" x14ac:dyDescent="0.25">
      <c r="A214" s="43">
        <v>42299</v>
      </c>
      <c r="B214" s="276" t="s">
        <v>93</v>
      </c>
      <c r="C214" s="282">
        <f t="shared" si="4"/>
        <v>18.0625</v>
      </c>
      <c r="D214" s="46">
        <v>18062.5</v>
      </c>
      <c r="E214" s="28">
        <v>35019</v>
      </c>
      <c r="F214" s="48">
        <v>4116</v>
      </c>
      <c r="G214" s="439"/>
      <c r="H214" s="440"/>
    </row>
    <row r="215" spans="1:8" x14ac:dyDescent="0.25">
      <c r="A215" s="43">
        <v>42299</v>
      </c>
      <c r="B215" s="276" t="s">
        <v>94</v>
      </c>
      <c r="C215" s="282">
        <f t="shared" si="4"/>
        <v>17.977499999999999</v>
      </c>
      <c r="D215" s="46">
        <v>17977.5</v>
      </c>
      <c r="E215" s="28">
        <v>35019</v>
      </c>
      <c r="F215" s="48">
        <v>4116</v>
      </c>
      <c r="G215" s="45"/>
    </row>
    <row r="216" spans="1:8" x14ac:dyDescent="0.25">
      <c r="A216" s="43">
        <v>42299</v>
      </c>
      <c r="B216" s="276" t="s">
        <v>95</v>
      </c>
      <c r="C216" s="282">
        <f t="shared" si="4"/>
        <v>32.084000000000003</v>
      </c>
      <c r="D216" s="46">
        <v>32084</v>
      </c>
      <c r="E216" s="28">
        <v>35019</v>
      </c>
      <c r="F216" s="48">
        <v>4116</v>
      </c>
      <c r="G216" s="45"/>
    </row>
    <row r="217" spans="1:8" x14ac:dyDescent="0.25">
      <c r="A217" s="43">
        <v>42300</v>
      </c>
      <c r="B217" s="276" t="s">
        <v>95</v>
      </c>
      <c r="C217" s="282">
        <f t="shared" si="4"/>
        <v>77</v>
      </c>
      <c r="D217" s="46">
        <v>77000</v>
      </c>
      <c r="E217" s="28">
        <v>35019</v>
      </c>
      <c r="F217" s="48">
        <v>4116</v>
      </c>
      <c r="G217" s="45"/>
    </row>
    <row r="218" spans="1:8" x14ac:dyDescent="0.25">
      <c r="A218" s="43">
        <v>42300</v>
      </c>
      <c r="B218" s="276" t="s">
        <v>92</v>
      </c>
      <c r="C218" s="282">
        <f t="shared" si="4"/>
        <v>40.25</v>
      </c>
      <c r="D218" s="46">
        <v>40250</v>
      </c>
      <c r="E218" s="28">
        <v>35019</v>
      </c>
      <c r="F218" s="48">
        <v>4116</v>
      </c>
      <c r="G218" s="45"/>
    </row>
    <row r="219" spans="1:8" x14ac:dyDescent="0.25">
      <c r="A219" s="43">
        <v>42300</v>
      </c>
      <c r="B219" s="276" t="s">
        <v>100</v>
      </c>
      <c r="C219" s="282">
        <f t="shared" si="4"/>
        <v>140</v>
      </c>
      <c r="D219" s="46">
        <v>140000</v>
      </c>
      <c r="E219" s="28">
        <v>35015</v>
      </c>
      <c r="F219" s="48">
        <v>4116</v>
      </c>
      <c r="G219" s="45"/>
    </row>
    <row r="220" spans="1:8" x14ac:dyDescent="0.25">
      <c r="A220" s="43">
        <v>42311</v>
      </c>
      <c r="B220" s="276" t="s">
        <v>590</v>
      </c>
      <c r="C220" s="282">
        <f t="shared" si="4"/>
        <v>100</v>
      </c>
      <c r="D220" s="46">
        <v>100000</v>
      </c>
      <c r="E220" s="28">
        <v>35015</v>
      </c>
      <c r="F220" s="48">
        <v>4116</v>
      </c>
      <c r="G220" s="45"/>
    </row>
    <row r="221" spans="1:8" x14ac:dyDescent="0.25">
      <c r="A221" s="43">
        <v>42332</v>
      </c>
      <c r="B221" s="276" t="s">
        <v>610</v>
      </c>
      <c r="C221" s="282">
        <f t="shared" si="4"/>
        <v>2.0219999999999998</v>
      </c>
      <c r="D221" s="46">
        <v>2022</v>
      </c>
      <c r="E221" s="28">
        <v>35019</v>
      </c>
      <c r="F221" s="48">
        <v>4116</v>
      </c>
      <c r="G221" s="45"/>
    </row>
    <row r="222" spans="1:8" x14ac:dyDescent="0.25">
      <c r="A222" s="43">
        <v>42332</v>
      </c>
      <c r="B222" s="276" t="s">
        <v>611</v>
      </c>
      <c r="C222" s="282">
        <f t="shared" si="4"/>
        <v>6.431</v>
      </c>
      <c r="D222" s="46">
        <v>6431</v>
      </c>
      <c r="E222" s="28">
        <v>35019</v>
      </c>
      <c r="F222" s="48">
        <v>4116</v>
      </c>
      <c r="G222" s="45"/>
    </row>
    <row r="223" spans="1:8" x14ac:dyDescent="0.25">
      <c r="A223" s="43">
        <v>42332</v>
      </c>
      <c r="B223" s="276" t="s">
        <v>612</v>
      </c>
      <c r="C223" s="282">
        <f t="shared" si="4"/>
        <v>8.5719999999999992</v>
      </c>
      <c r="D223" s="46">
        <v>8572</v>
      </c>
      <c r="E223" s="28">
        <v>35019</v>
      </c>
      <c r="F223" s="48">
        <v>4116</v>
      </c>
      <c r="G223" s="45"/>
    </row>
    <row r="224" spans="1:8" x14ac:dyDescent="0.25">
      <c r="A224" s="43">
        <v>42333</v>
      </c>
      <c r="B224" s="276" t="s">
        <v>621</v>
      </c>
      <c r="C224" s="282">
        <f t="shared" si="4"/>
        <v>48</v>
      </c>
      <c r="D224" s="46">
        <v>48000</v>
      </c>
      <c r="E224" s="28">
        <v>35015</v>
      </c>
      <c r="F224" s="48">
        <v>4116</v>
      </c>
      <c r="G224" s="45"/>
    </row>
    <row r="225" spans="1:7" x14ac:dyDescent="0.25">
      <c r="A225" s="43">
        <v>42346</v>
      </c>
      <c r="B225" s="276" t="s">
        <v>622</v>
      </c>
      <c r="C225" s="282">
        <f t="shared" si="4"/>
        <v>40</v>
      </c>
      <c r="D225" s="46">
        <v>40000</v>
      </c>
      <c r="E225" s="28">
        <v>35015</v>
      </c>
      <c r="F225" s="48">
        <v>4116</v>
      </c>
      <c r="G225" s="45"/>
    </row>
    <row r="226" spans="1:7" x14ac:dyDescent="0.25">
      <c r="A226" s="43">
        <v>42346</v>
      </c>
      <c r="B226" s="276" t="s">
        <v>623</v>
      </c>
      <c r="C226" s="282">
        <f t="shared" si="4"/>
        <v>80</v>
      </c>
      <c r="D226" s="46">
        <v>80000</v>
      </c>
      <c r="E226" s="28">
        <v>35015</v>
      </c>
      <c r="F226" s="48">
        <v>4116</v>
      </c>
      <c r="G226" s="45"/>
    </row>
    <row r="227" spans="1:7" x14ac:dyDescent="0.25">
      <c r="A227" s="43"/>
      <c r="B227" s="276"/>
      <c r="C227" s="282"/>
      <c r="D227" s="46"/>
      <c r="E227" s="28"/>
      <c r="F227" s="48"/>
      <c r="G227" s="45"/>
    </row>
    <row r="228" spans="1:7" x14ac:dyDescent="0.25">
      <c r="A228" s="43"/>
      <c r="B228" s="273" t="s">
        <v>42</v>
      </c>
      <c r="C228" s="506">
        <f>+SUM(C229:C234)</f>
        <v>381.32499999999999</v>
      </c>
      <c r="D228" s="30">
        <f>+SUM(D229:D234)</f>
        <v>381325</v>
      </c>
      <c r="E228" s="28"/>
      <c r="F228" s="48"/>
      <c r="G228" s="45">
        <f>+C228*1000-D228</f>
        <v>0</v>
      </c>
    </row>
    <row r="229" spans="1:7" x14ac:dyDescent="0.25">
      <c r="A229" s="43">
        <v>42142</v>
      </c>
      <c r="B229" s="276" t="s">
        <v>43</v>
      </c>
      <c r="C229" s="282">
        <f t="shared" si="4"/>
        <v>86.159000000000006</v>
      </c>
      <c r="D229" s="46">
        <v>86159</v>
      </c>
      <c r="E229" s="28">
        <v>29008</v>
      </c>
      <c r="F229" s="48">
        <v>4116</v>
      </c>
      <c r="G229" s="45"/>
    </row>
    <row r="230" spans="1:7" x14ac:dyDescent="0.25">
      <c r="A230" s="43">
        <v>42157</v>
      </c>
      <c r="B230" s="276" t="s">
        <v>44</v>
      </c>
      <c r="C230" s="282">
        <f t="shared" si="4"/>
        <v>10.5</v>
      </c>
      <c r="D230" s="46">
        <v>10500</v>
      </c>
      <c r="E230" s="28">
        <v>29004</v>
      </c>
      <c r="F230" s="48">
        <v>4116</v>
      </c>
      <c r="G230" s="45"/>
    </row>
    <row r="231" spans="1:7" x14ac:dyDescent="0.25">
      <c r="A231" s="43">
        <v>42163</v>
      </c>
      <c r="B231" s="276" t="s">
        <v>43</v>
      </c>
      <c r="C231" s="282">
        <f t="shared" si="4"/>
        <v>84.284999999999997</v>
      </c>
      <c r="D231" s="46">
        <v>84285</v>
      </c>
      <c r="E231" s="28">
        <v>29008</v>
      </c>
      <c r="F231" s="48">
        <v>4116</v>
      </c>
      <c r="G231" s="45"/>
    </row>
    <row r="232" spans="1:7" x14ac:dyDescent="0.25">
      <c r="A232" s="43">
        <v>42278</v>
      </c>
      <c r="B232" s="276" t="s">
        <v>43</v>
      </c>
      <c r="C232" s="282">
        <f t="shared" si="4"/>
        <v>85.221999999999994</v>
      </c>
      <c r="D232" s="46">
        <v>85222</v>
      </c>
      <c r="E232" s="28">
        <v>29008</v>
      </c>
      <c r="F232" s="48">
        <v>4116</v>
      </c>
      <c r="G232" s="45"/>
    </row>
    <row r="233" spans="1:7" x14ac:dyDescent="0.25">
      <c r="A233" s="43">
        <v>42333</v>
      </c>
      <c r="B233" s="276" t="s">
        <v>44</v>
      </c>
      <c r="C233" s="282">
        <f t="shared" si="4"/>
        <v>29</v>
      </c>
      <c r="D233" s="46">
        <v>29000</v>
      </c>
      <c r="E233" s="28">
        <v>29004</v>
      </c>
      <c r="F233" s="48">
        <v>4116</v>
      </c>
      <c r="G233" s="45"/>
    </row>
    <row r="234" spans="1:7" x14ac:dyDescent="0.25">
      <c r="A234" s="43">
        <v>42340</v>
      </c>
      <c r="B234" s="276" t="s">
        <v>43</v>
      </c>
      <c r="C234" s="282">
        <f t="shared" si="4"/>
        <v>86.159000000000006</v>
      </c>
      <c r="D234" s="46">
        <v>86159</v>
      </c>
      <c r="E234" s="28">
        <v>29008</v>
      </c>
      <c r="F234" s="48">
        <v>4116</v>
      </c>
      <c r="G234" s="45"/>
    </row>
    <row r="235" spans="1:7" x14ac:dyDescent="0.25">
      <c r="A235" s="43"/>
      <c r="B235" s="276"/>
      <c r="C235" s="282"/>
      <c r="D235" s="46"/>
      <c r="E235" s="28"/>
      <c r="F235" s="48"/>
      <c r="G235" s="45"/>
    </row>
    <row r="236" spans="1:7" x14ac:dyDescent="0.25">
      <c r="A236" s="43"/>
      <c r="B236" s="273" t="s">
        <v>45</v>
      </c>
      <c r="C236" s="506">
        <f>+SUM(C237:C250)</f>
        <v>2853.1688699999991</v>
      </c>
      <c r="D236" s="30">
        <f>+SUM(D237:D250)</f>
        <v>2853168.8699999996</v>
      </c>
      <c r="E236" s="28"/>
      <c r="F236" s="48"/>
      <c r="G236" s="45">
        <f>+C236*1000-D236</f>
        <v>0</v>
      </c>
    </row>
    <row r="237" spans="1:7" x14ac:dyDescent="0.25">
      <c r="A237" s="43">
        <v>42057</v>
      </c>
      <c r="B237" s="276" t="s">
        <v>146</v>
      </c>
      <c r="C237" s="282">
        <f t="shared" si="4"/>
        <v>466.28609999999998</v>
      </c>
      <c r="D237" s="46">
        <v>466286.1</v>
      </c>
      <c r="E237" s="28">
        <v>15319</v>
      </c>
      <c r="F237" s="48">
        <v>4116</v>
      </c>
      <c r="G237" s="45"/>
    </row>
    <row r="238" spans="1:7" x14ac:dyDescent="0.25">
      <c r="A238" s="43">
        <v>42193</v>
      </c>
      <c r="B238" s="276" t="s">
        <v>279</v>
      </c>
      <c r="C238" s="282">
        <f t="shared" si="4"/>
        <v>77.653800000000004</v>
      </c>
      <c r="D238" s="46">
        <v>77653.8</v>
      </c>
      <c r="E238" s="28">
        <v>15319</v>
      </c>
      <c r="F238" s="48">
        <v>4116</v>
      </c>
      <c r="G238" s="45"/>
    </row>
    <row r="239" spans="1:7" x14ac:dyDescent="0.25">
      <c r="A239" s="43">
        <v>42272</v>
      </c>
      <c r="B239" s="276" t="s">
        <v>516</v>
      </c>
      <c r="C239" s="282">
        <f t="shared" si="4"/>
        <v>931.58199999999999</v>
      </c>
      <c r="D239" s="46">
        <v>931582</v>
      </c>
      <c r="E239" s="28">
        <v>15065</v>
      </c>
      <c r="F239" s="48">
        <v>4116</v>
      </c>
      <c r="G239" s="45"/>
    </row>
    <row r="240" spans="1:7" x14ac:dyDescent="0.25">
      <c r="A240" s="43">
        <v>42347</v>
      </c>
      <c r="B240" s="276" t="s">
        <v>633</v>
      </c>
      <c r="C240" s="282">
        <f t="shared" si="4"/>
        <v>656.17618999999991</v>
      </c>
      <c r="D240" s="46">
        <v>656176.18999999994</v>
      </c>
      <c r="E240" s="28">
        <v>15319</v>
      </c>
      <c r="F240" s="48">
        <v>4116</v>
      </c>
      <c r="G240" s="45"/>
    </row>
    <row r="241" spans="1:8" x14ac:dyDescent="0.25">
      <c r="A241" s="43">
        <v>42347</v>
      </c>
      <c r="B241" s="276" t="s">
        <v>634</v>
      </c>
      <c r="C241" s="282">
        <f t="shared" si="4"/>
        <v>281.79867999999999</v>
      </c>
      <c r="D241" s="46">
        <v>281798.68</v>
      </c>
      <c r="E241" s="28">
        <v>15319</v>
      </c>
      <c r="F241" s="48">
        <v>4116</v>
      </c>
      <c r="G241" s="45"/>
    </row>
    <row r="242" spans="1:8" x14ac:dyDescent="0.25">
      <c r="A242" s="43">
        <v>42347</v>
      </c>
      <c r="B242" s="276" t="s">
        <v>646</v>
      </c>
      <c r="C242" s="282">
        <f t="shared" si="4"/>
        <v>45.917290000000001</v>
      </c>
      <c r="D242" s="46">
        <v>45917.29</v>
      </c>
      <c r="E242" s="28">
        <v>15319</v>
      </c>
      <c r="F242" s="48">
        <v>4116</v>
      </c>
      <c r="G242" s="45"/>
    </row>
    <row r="243" spans="1:8" x14ac:dyDescent="0.25">
      <c r="A243" s="43">
        <v>42349</v>
      </c>
      <c r="B243" s="276" t="s">
        <v>647</v>
      </c>
      <c r="C243" s="282">
        <f t="shared" si="4"/>
        <v>131.89410000000001</v>
      </c>
      <c r="D243" s="46">
        <v>131894.1</v>
      </c>
      <c r="E243" s="28">
        <v>15319</v>
      </c>
      <c r="F243" s="48">
        <v>4116</v>
      </c>
      <c r="G243" s="45"/>
    </row>
    <row r="244" spans="1:8" x14ac:dyDescent="0.25">
      <c r="A244" s="43">
        <v>42354</v>
      </c>
      <c r="B244" s="276" t="s">
        <v>648</v>
      </c>
      <c r="C244" s="282">
        <f t="shared" si="4"/>
        <v>55.871099999999998</v>
      </c>
      <c r="D244" s="46">
        <v>55871.1</v>
      </c>
      <c r="E244" s="28">
        <v>15319</v>
      </c>
      <c r="F244" s="48">
        <v>4116</v>
      </c>
      <c r="G244" s="45"/>
    </row>
    <row r="245" spans="1:8" x14ac:dyDescent="0.25">
      <c r="A245" s="43">
        <v>42354</v>
      </c>
      <c r="B245" s="276" t="s">
        <v>649</v>
      </c>
      <c r="C245" s="282">
        <f t="shared" si="4"/>
        <v>36.701629999999994</v>
      </c>
      <c r="D245" s="46">
        <v>36701.629999999997</v>
      </c>
      <c r="E245" s="28">
        <v>15319</v>
      </c>
      <c r="F245" s="48">
        <v>4116</v>
      </c>
      <c r="G245" s="45"/>
    </row>
    <row r="246" spans="1:8" x14ac:dyDescent="0.25">
      <c r="A246" s="272">
        <v>42354</v>
      </c>
      <c r="B246" s="276" t="s">
        <v>650</v>
      </c>
      <c r="C246" s="282">
        <f t="shared" si="4"/>
        <v>119.77633999999999</v>
      </c>
      <c r="D246" s="46">
        <v>119776.34</v>
      </c>
      <c r="E246" s="28">
        <v>15319</v>
      </c>
      <c r="F246" s="48">
        <v>4116</v>
      </c>
      <c r="G246" s="45"/>
    </row>
    <row r="247" spans="1:8" x14ac:dyDescent="0.25">
      <c r="A247" s="272">
        <v>42354</v>
      </c>
      <c r="B247" s="276" t="s">
        <v>651</v>
      </c>
      <c r="C247" s="282">
        <f t="shared" si="4"/>
        <v>2.0578400000000001</v>
      </c>
      <c r="D247" s="46">
        <v>2057.84</v>
      </c>
      <c r="E247" s="28">
        <v>15319</v>
      </c>
      <c r="F247" s="48">
        <v>4116</v>
      </c>
      <c r="G247" s="45"/>
    </row>
    <row r="248" spans="1:8" x14ac:dyDescent="0.25">
      <c r="A248" s="272">
        <v>42354</v>
      </c>
      <c r="B248" s="276" t="s">
        <v>664</v>
      </c>
      <c r="C248" s="282">
        <f t="shared" si="4"/>
        <v>10.285</v>
      </c>
      <c r="D248" s="46">
        <v>10285</v>
      </c>
      <c r="E248" s="28">
        <v>15319</v>
      </c>
      <c r="F248" s="48">
        <v>4116</v>
      </c>
      <c r="G248" s="45"/>
    </row>
    <row r="249" spans="1:8" x14ac:dyDescent="0.25">
      <c r="A249" s="43">
        <v>42354</v>
      </c>
      <c r="B249" s="276" t="s">
        <v>652</v>
      </c>
      <c r="C249" s="282">
        <f t="shared" si="4"/>
        <v>37.168800000000005</v>
      </c>
      <c r="D249" s="46">
        <v>37168.800000000003</v>
      </c>
      <c r="E249" s="28">
        <v>15325</v>
      </c>
      <c r="F249" s="48">
        <v>4116</v>
      </c>
      <c r="G249" s="45"/>
    </row>
    <row r="250" spans="1:8" x14ac:dyDescent="0.25">
      <c r="A250" s="43"/>
      <c r="B250" s="276"/>
      <c r="C250" s="282"/>
      <c r="D250" s="350"/>
      <c r="E250" s="28"/>
      <c r="F250" s="48"/>
      <c r="G250" s="45"/>
    </row>
    <row r="251" spans="1:8" x14ac:dyDescent="0.25">
      <c r="A251" s="43"/>
      <c r="B251" s="273" t="s">
        <v>48</v>
      </c>
      <c r="C251" s="493">
        <f>SUM(C252:C298)</f>
        <v>109066.45784</v>
      </c>
      <c r="D251" s="26">
        <f>SUM(D252:D298)</f>
        <v>109066457.84</v>
      </c>
      <c r="E251" s="28"/>
      <c r="F251" s="22"/>
      <c r="G251" s="45">
        <f>+C251*1000-D251</f>
        <v>0</v>
      </c>
    </row>
    <row r="252" spans="1:8" x14ac:dyDescent="0.25">
      <c r="A252" s="43">
        <v>42046</v>
      </c>
      <c r="B252" s="276" t="s">
        <v>104</v>
      </c>
      <c r="C252" s="282">
        <f t="shared" ref="C252:C303" si="5">+D252/1000</f>
        <v>345.49685999999997</v>
      </c>
      <c r="D252" s="350">
        <v>345496.86</v>
      </c>
      <c r="E252" s="28">
        <v>33030</v>
      </c>
      <c r="F252" s="48" t="s">
        <v>49</v>
      </c>
      <c r="G252" s="45"/>
    </row>
    <row r="253" spans="1:8" x14ac:dyDescent="0.25">
      <c r="A253" s="43">
        <v>42096</v>
      </c>
      <c r="B253" s="276" t="s">
        <v>140</v>
      </c>
      <c r="C253" s="282">
        <f t="shared" si="5"/>
        <v>90.980059999999995</v>
      </c>
      <c r="D253" s="350">
        <v>90980.06</v>
      </c>
      <c r="E253" s="28">
        <v>33030</v>
      </c>
      <c r="F253" s="48" t="s">
        <v>49</v>
      </c>
      <c r="G253" s="45"/>
    </row>
    <row r="254" spans="1:8" x14ac:dyDescent="0.25">
      <c r="A254" s="43">
        <v>42118</v>
      </c>
      <c r="B254" s="276" t="s">
        <v>334</v>
      </c>
      <c r="C254" s="282">
        <f t="shared" si="5"/>
        <v>51882</v>
      </c>
      <c r="D254" s="350">
        <f>60346560-8464560</f>
        <v>51882000</v>
      </c>
      <c r="E254" s="28">
        <v>13305</v>
      </c>
      <c r="F254" s="48">
        <v>4122</v>
      </c>
      <c r="G254" s="384"/>
      <c r="H254" s="384"/>
    </row>
    <row r="255" spans="1:8" x14ac:dyDescent="0.25">
      <c r="A255" s="43">
        <v>42122</v>
      </c>
      <c r="B255" s="276" t="s">
        <v>150</v>
      </c>
      <c r="C255" s="282">
        <f t="shared" si="5"/>
        <v>341.41080999999997</v>
      </c>
      <c r="D255" s="350">
        <v>341410.81</v>
      </c>
      <c r="E255" s="28">
        <v>33030</v>
      </c>
      <c r="F255" s="48">
        <v>4122</v>
      </c>
      <c r="G255" s="45"/>
    </row>
    <row r="256" spans="1:8" x14ac:dyDescent="0.25">
      <c r="A256" s="43">
        <v>42138</v>
      </c>
      <c r="B256" s="276" t="s">
        <v>181</v>
      </c>
      <c r="C256" s="282">
        <f t="shared" si="5"/>
        <v>41.08</v>
      </c>
      <c r="D256" s="350">
        <v>41080</v>
      </c>
      <c r="E256" s="28">
        <v>14011</v>
      </c>
      <c r="F256" s="48">
        <v>4122</v>
      </c>
      <c r="G256" s="45"/>
    </row>
    <row r="257" spans="1:7" x14ac:dyDescent="0.25">
      <c r="A257" s="43">
        <v>42145</v>
      </c>
      <c r="B257" s="276" t="s">
        <v>200</v>
      </c>
      <c r="C257" s="282">
        <f t="shared" si="5"/>
        <v>8.3297999999999988</v>
      </c>
      <c r="D257" s="350">
        <f>7080.33+1249.47</f>
        <v>8329.7999999999993</v>
      </c>
      <c r="E257" s="28">
        <v>33030</v>
      </c>
      <c r="F257" s="48">
        <v>4122</v>
      </c>
      <c r="G257" s="45"/>
    </row>
    <row r="258" spans="1:7" x14ac:dyDescent="0.25">
      <c r="A258" s="43">
        <v>42145</v>
      </c>
      <c r="B258" s="276" t="s">
        <v>415</v>
      </c>
      <c r="C258" s="282">
        <f t="shared" si="5"/>
        <v>1476.0851599999999</v>
      </c>
      <c r="D258" s="350">
        <f>1254672.38+221412.78</f>
        <v>1476085.16</v>
      </c>
      <c r="E258" s="28">
        <v>33030</v>
      </c>
      <c r="F258" s="48">
        <v>4122</v>
      </c>
      <c r="G258" s="45"/>
    </row>
    <row r="259" spans="1:7" x14ac:dyDescent="0.25">
      <c r="A259" s="43">
        <v>42145</v>
      </c>
      <c r="B259" s="276" t="s">
        <v>202</v>
      </c>
      <c r="C259" s="282">
        <f t="shared" si="5"/>
        <v>452.84151999999995</v>
      </c>
      <c r="D259" s="350">
        <f>384915.29+67926.23</f>
        <v>452841.51999999996</v>
      </c>
      <c r="E259" s="28">
        <v>33030</v>
      </c>
      <c r="F259" s="48">
        <v>4122</v>
      </c>
      <c r="G259" s="45"/>
    </row>
    <row r="260" spans="1:7" x14ac:dyDescent="0.25">
      <c r="A260" s="43">
        <v>42152</v>
      </c>
      <c r="B260" s="276" t="s">
        <v>181</v>
      </c>
      <c r="C260" s="282">
        <f t="shared" si="5"/>
        <v>29.64</v>
      </c>
      <c r="D260" s="350">
        <v>29640</v>
      </c>
      <c r="E260" s="28">
        <v>14011</v>
      </c>
      <c r="F260" s="48">
        <v>4122</v>
      </c>
      <c r="G260" s="45"/>
    </row>
    <row r="261" spans="1:7" x14ac:dyDescent="0.25">
      <c r="A261" s="43">
        <v>42160</v>
      </c>
      <c r="B261" s="276" t="s">
        <v>239</v>
      </c>
      <c r="C261" s="282">
        <f t="shared" si="5"/>
        <v>100</v>
      </c>
      <c r="D261" s="350">
        <v>100000</v>
      </c>
      <c r="E261" s="28">
        <v>539</v>
      </c>
      <c r="F261" s="48">
        <v>4122</v>
      </c>
      <c r="G261" s="45"/>
    </row>
    <row r="262" spans="1:7" x14ac:dyDescent="0.25">
      <c r="A262" s="43">
        <v>42160</v>
      </c>
      <c r="B262" s="276" t="s">
        <v>240</v>
      </c>
      <c r="C262" s="282">
        <f t="shared" si="5"/>
        <v>98</v>
      </c>
      <c r="D262" s="350">
        <v>98000</v>
      </c>
      <c r="E262" s="28">
        <v>539</v>
      </c>
      <c r="F262" s="48">
        <v>4122</v>
      </c>
      <c r="G262" s="45"/>
    </row>
    <row r="263" spans="1:7" x14ac:dyDescent="0.25">
      <c r="A263" s="43">
        <v>42173</v>
      </c>
      <c r="B263" s="276" t="s">
        <v>236</v>
      </c>
      <c r="C263" s="282">
        <f t="shared" si="5"/>
        <v>100</v>
      </c>
      <c r="D263" s="350">
        <v>100000</v>
      </c>
      <c r="E263" s="28">
        <v>539</v>
      </c>
      <c r="F263" s="48">
        <v>4122</v>
      </c>
      <c r="G263" s="45"/>
    </row>
    <row r="264" spans="1:7" x14ac:dyDescent="0.25">
      <c r="A264" s="43">
        <v>42178</v>
      </c>
      <c r="B264" s="276" t="s">
        <v>243</v>
      </c>
      <c r="C264" s="282">
        <f t="shared" si="5"/>
        <v>81.797320000000013</v>
      </c>
      <c r="D264" s="350">
        <f>69527.72+12269.6</f>
        <v>81797.320000000007</v>
      </c>
      <c r="E264" s="28">
        <v>33030</v>
      </c>
      <c r="F264" s="48">
        <v>4122</v>
      </c>
      <c r="G264" s="45"/>
    </row>
    <row r="265" spans="1:7" x14ac:dyDescent="0.25">
      <c r="A265" s="43">
        <v>42181</v>
      </c>
      <c r="B265" s="276" t="s">
        <v>250</v>
      </c>
      <c r="C265" s="282">
        <f t="shared" si="5"/>
        <v>200</v>
      </c>
      <c r="D265" s="350">
        <v>200000</v>
      </c>
      <c r="E265" s="28">
        <v>539</v>
      </c>
      <c r="F265" s="48">
        <v>4122</v>
      </c>
      <c r="G265" s="45"/>
    </row>
    <row r="266" spans="1:7" x14ac:dyDescent="0.25">
      <c r="A266" s="43">
        <v>42181</v>
      </c>
      <c r="B266" s="276" t="s">
        <v>252</v>
      </c>
      <c r="C266" s="282">
        <f t="shared" si="5"/>
        <v>701.62407999999994</v>
      </c>
      <c r="D266" s="350">
        <v>701624.08</v>
      </c>
      <c r="E266" s="28">
        <v>33030</v>
      </c>
      <c r="F266" s="48">
        <v>4122</v>
      </c>
      <c r="G266" s="45"/>
    </row>
    <row r="267" spans="1:7" x14ac:dyDescent="0.25">
      <c r="A267" s="43">
        <v>42181</v>
      </c>
      <c r="B267" s="276" t="s">
        <v>251</v>
      </c>
      <c r="C267" s="282">
        <f t="shared" si="5"/>
        <v>93.395690000000002</v>
      </c>
      <c r="D267" s="350">
        <v>93395.69</v>
      </c>
      <c r="E267" s="28">
        <v>33030</v>
      </c>
      <c r="F267" s="48">
        <v>4122</v>
      </c>
      <c r="G267" s="45"/>
    </row>
    <row r="268" spans="1:7" x14ac:dyDescent="0.25">
      <c r="A268" s="43">
        <v>42181</v>
      </c>
      <c r="B268" s="276" t="s">
        <v>253</v>
      </c>
      <c r="C268" s="282">
        <f t="shared" si="5"/>
        <v>137.19474</v>
      </c>
      <c r="D268" s="350">
        <v>137194.74</v>
      </c>
      <c r="E268" s="28">
        <v>33030</v>
      </c>
      <c r="F268" s="48">
        <v>4122</v>
      </c>
      <c r="G268" s="45"/>
    </row>
    <row r="269" spans="1:7" x14ac:dyDescent="0.25">
      <c r="A269" s="43">
        <v>42184</v>
      </c>
      <c r="B269" s="276" t="s">
        <v>254</v>
      </c>
      <c r="C269" s="282">
        <f t="shared" si="5"/>
        <v>276.28805999999997</v>
      </c>
      <c r="D269" s="350">
        <v>276288.06</v>
      </c>
      <c r="E269" s="28">
        <v>33030</v>
      </c>
      <c r="F269" s="48">
        <v>4122</v>
      </c>
      <c r="G269" s="45"/>
    </row>
    <row r="270" spans="1:7" x14ac:dyDescent="0.25">
      <c r="A270" s="43">
        <v>42184</v>
      </c>
      <c r="B270" s="276" t="s">
        <v>150</v>
      </c>
      <c r="C270" s="282">
        <f t="shared" si="5"/>
        <v>371.08757000000003</v>
      </c>
      <c r="D270" s="350">
        <v>371087.57</v>
      </c>
      <c r="E270" s="28">
        <v>33030</v>
      </c>
      <c r="F270" s="48">
        <v>4122</v>
      </c>
      <c r="G270" s="45"/>
    </row>
    <row r="271" spans="1:7" x14ac:dyDescent="0.25">
      <c r="A271" s="43">
        <v>42184</v>
      </c>
      <c r="B271" s="276" t="s">
        <v>256</v>
      </c>
      <c r="C271" s="282">
        <f t="shared" si="5"/>
        <v>120</v>
      </c>
      <c r="D271" s="350">
        <v>120000</v>
      </c>
      <c r="E271" s="28">
        <v>311</v>
      </c>
      <c r="F271" s="48">
        <v>4122</v>
      </c>
      <c r="G271" s="45"/>
    </row>
    <row r="272" spans="1:7" x14ac:dyDescent="0.25">
      <c r="A272" s="43">
        <v>42184</v>
      </c>
      <c r="B272" s="276" t="s">
        <v>255</v>
      </c>
      <c r="C272" s="282">
        <f t="shared" si="5"/>
        <v>60</v>
      </c>
      <c r="D272" s="350">
        <v>60000</v>
      </c>
      <c r="E272" s="28">
        <v>311</v>
      </c>
      <c r="F272" s="48">
        <v>4122</v>
      </c>
      <c r="G272" s="45"/>
    </row>
    <row r="273" spans="1:8" x14ac:dyDescent="0.25">
      <c r="A273" s="43">
        <v>42187</v>
      </c>
      <c r="B273" s="276" t="s">
        <v>281</v>
      </c>
      <c r="C273" s="282">
        <f t="shared" si="5"/>
        <v>50</v>
      </c>
      <c r="D273" s="350">
        <v>50000</v>
      </c>
      <c r="E273" s="28">
        <v>311</v>
      </c>
      <c r="F273" s="48">
        <v>4122</v>
      </c>
      <c r="G273" s="45"/>
    </row>
    <row r="274" spans="1:8" x14ac:dyDescent="0.25">
      <c r="A274" s="43">
        <v>42187</v>
      </c>
      <c r="B274" s="276" t="s">
        <v>282</v>
      </c>
      <c r="C274" s="282">
        <f t="shared" si="5"/>
        <v>50</v>
      </c>
      <c r="D274" s="350">
        <v>50000</v>
      </c>
      <c r="E274" s="28">
        <v>311</v>
      </c>
      <c r="F274" s="48">
        <v>4122</v>
      </c>
      <c r="G274" s="45"/>
    </row>
    <row r="275" spans="1:8" x14ac:dyDescent="0.25">
      <c r="A275" s="43">
        <v>42192</v>
      </c>
      <c r="B275" s="276" t="s">
        <v>285</v>
      </c>
      <c r="C275" s="282">
        <f t="shared" si="5"/>
        <v>100</v>
      </c>
      <c r="D275" s="350">
        <v>100000</v>
      </c>
      <c r="E275" s="28">
        <v>331</v>
      </c>
      <c r="F275" s="48">
        <v>4122</v>
      </c>
      <c r="G275" s="45"/>
    </row>
    <row r="276" spans="1:8" x14ac:dyDescent="0.25">
      <c r="A276" s="43">
        <v>42192</v>
      </c>
      <c r="B276" s="276" t="s">
        <v>286</v>
      </c>
      <c r="C276" s="282">
        <f t="shared" si="5"/>
        <v>100</v>
      </c>
      <c r="D276" s="350">
        <v>100000</v>
      </c>
      <c r="E276" s="28">
        <v>331</v>
      </c>
      <c r="F276" s="48">
        <v>4122</v>
      </c>
      <c r="G276" s="45"/>
    </row>
    <row r="277" spans="1:8" x14ac:dyDescent="0.25">
      <c r="A277" s="43">
        <v>42192</v>
      </c>
      <c r="B277" s="276" t="s">
        <v>287</v>
      </c>
      <c r="C277" s="282">
        <f t="shared" si="5"/>
        <v>200</v>
      </c>
      <c r="D277" s="350">
        <v>200000</v>
      </c>
      <c r="E277" s="28">
        <v>331</v>
      </c>
      <c r="F277" s="48">
        <v>4122</v>
      </c>
      <c r="G277" s="45"/>
    </row>
    <row r="278" spans="1:8" x14ac:dyDescent="0.25">
      <c r="A278" s="43">
        <v>42192</v>
      </c>
      <c r="B278" s="276" t="s">
        <v>288</v>
      </c>
      <c r="C278" s="282">
        <f t="shared" si="5"/>
        <v>600</v>
      </c>
      <c r="D278" s="350">
        <v>600000</v>
      </c>
      <c r="E278" s="28">
        <v>331</v>
      </c>
      <c r="F278" s="48">
        <v>4122</v>
      </c>
      <c r="G278" s="45"/>
    </row>
    <row r="279" spans="1:8" x14ac:dyDescent="0.25">
      <c r="A279" s="43">
        <v>42192</v>
      </c>
      <c r="B279" s="276" t="s">
        <v>414</v>
      </c>
      <c r="C279" s="282">
        <f t="shared" si="5"/>
        <v>400</v>
      </c>
      <c r="D279" s="350">
        <v>400000</v>
      </c>
      <c r="E279" s="28">
        <v>331</v>
      </c>
      <c r="F279" s="48">
        <v>4122</v>
      </c>
      <c r="G279" s="45"/>
    </row>
    <row r="280" spans="1:8" x14ac:dyDescent="0.25">
      <c r="A280" s="43">
        <v>42192</v>
      </c>
      <c r="B280" s="276" t="s">
        <v>290</v>
      </c>
      <c r="C280" s="282">
        <f t="shared" si="5"/>
        <v>600</v>
      </c>
      <c r="D280" s="350">
        <v>600000</v>
      </c>
      <c r="E280" s="28">
        <v>331</v>
      </c>
      <c r="F280" s="48">
        <v>4122</v>
      </c>
      <c r="G280" s="45"/>
    </row>
    <row r="281" spans="1:8" x14ac:dyDescent="0.25">
      <c r="A281" s="43">
        <v>42192</v>
      </c>
      <c r="B281" s="276" t="s">
        <v>291</v>
      </c>
      <c r="C281" s="282">
        <f t="shared" si="5"/>
        <v>600</v>
      </c>
      <c r="D281" s="350">
        <v>600000</v>
      </c>
      <c r="E281" s="28">
        <v>331</v>
      </c>
      <c r="F281" s="48">
        <v>4122</v>
      </c>
      <c r="G281" s="45"/>
    </row>
    <row r="282" spans="1:8" x14ac:dyDescent="0.25">
      <c r="A282" s="43">
        <v>42192</v>
      </c>
      <c r="B282" s="276" t="s">
        <v>292</v>
      </c>
      <c r="C282" s="282">
        <f t="shared" si="5"/>
        <v>600</v>
      </c>
      <c r="D282" s="350">
        <v>600000</v>
      </c>
      <c r="E282" s="28">
        <v>331</v>
      </c>
      <c r="F282" s="48">
        <v>4122</v>
      </c>
      <c r="G282" s="45"/>
    </row>
    <row r="283" spans="1:8" x14ac:dyDescent="0.25">
      <c r="A283" s="43">
        <v>42192</v>
      </c>
      <c r="B283" s="276" t="s">
        <v>293</v>
      </c>
      <c r="C283" s="282">
        <f t="shared" si="5"/>
        <v>600</v>
      </c>
      <c r="D283" s="350">
        <v>600000</v>
      </c>
      <c r="E283" s="28">
        <v>331</v>
      </c>
      <c r="F283" s="48">
        <v>4122</v>
      </c>
      <c r="G283" s="45"/>
    </row>
    <row r="284" spans="1:8" x14ac:dyDescent="0.25">
      <c r="A284" s="43">
        <v>42213</v>
      </c>
      <c r="B284" s="276" t="s">
        <v>333</v>
      </c>
      <c r="C284" s="282">
        <f t="shared" si="5"/>
        <v>34588</v>
      </c>
      <c r="D284" s="350">
        <f>40231040-5643040</f>
        <v>34588000</v>
      </c>
      <c r="E284" s="28">
        <v>13305</v>
      </c>
      <c r="F284" s="48">
        <v>4122</v>
      </c>
      <c r="G284" s="384"/>
      <c r="H284" s="384"/>
    </row>
    <row r="285" spans="1:8" x14ac:dyDescent="0.25">
      <c r="A285" s="43">
        <v>42254</v>
      </c>
      <c r="B285" s="276" t="s">
        <v>432</v>
      </c>
      <c r="C285" s="282">
        <f t="shared" si="5"/>
        <v>15</v>
      </c>
      <c r="D285" s="350">
        <v>15000</v>
      </c>
      <c r="E285" s="28">
        <v>359</v>
      </c>
      <c r="F285" s="48">
        <v>4122</v>
      </c>
      <c r="G285" s="45"/>
    </row>
    <row r="286" spans="1:8" x14ac:dyDescent="0.25">
      <c r="A286" s="43">
        <v>42256</v>
      </c>
      <c r="B286" s="276" t="s">
        <v>420</v>
      </c>
      <c r="C286" s="282">
        <f t="shared" si="5"/>
        <v>60</v>
      </c>
      <c r="D286" s="350">
        <v>60000</v>
      </c>
      <c r="E286" s="28">
        <v>214</v>
      </c>
      <c r="F286" s="48">
        <v>4122</v>
      </c>
      <c r="G286" s="45"/>
    </row>
    <row r="287" spans="1:8" x14ac:dyDescent="0.25">
      <c r="A287" s="43">
        <v>42291</v>
      </c>
      <c r="B287" s="276" t="s">
        <v>532</v>
      </c>
      <c r="C287" s="282">
        <f t="shared" si="5"/>
        <v>37</v>
      </c>
      <c r="D287" s="350">
        <v>37000</v>
      </c>
      <c r="E287" s="28">
        <v>331</v>
      </c>
      <c r="F287" s="48">
        <v>4122</v>
      </c>
      <c r="G287" s="45"/>
    </row>
    <row r="288" spans="1:8" x14ac:dyDescent="0.25">
      <c r="A288" s="43">
        <v>42291</v>
      </c>
      <c r="B288" s="276" t="s">
        <v>533</v>
      </c>
      <c r="C288" s="282">
        <f t="shared" si="5"/>
        <v>61</v>
      </c>
      <c r="D288" s="350">
        <v>61000</v>
      </c>
      <c r="E288" s="28">
        <v>331</v>
      </c>
      <c r="F288" s="48">
        <v>4122</v>
      </c>
      <c r="G288" s="45"/>
    </row>
    <row r="289" spans="1:8" x14ac:dyDescent="0.25">
      <c r="A289" s="43">
        <v>42291</v>
      </c>
      <c r="B289" s="276" t="s">
        <v>534</v>
      </c>
      <c r="C289" s="282">
        <f t="shared" si="5"/>
        <v>40</v>
      </c>
      <c r="D289" s="350">
        <v>40000</v>
      </c>
      <c r="E289" s="28">
        <v>331</v>
      </c>
      <c r="F289" s="48">
        <v>4122</v>
      </c>
      <c r="G289" s="45"/>
    </row>
    <row r="290" spans="1:8" x14ac:dyDescent="0.25">
      <c r="A290" s="43">
        <v>42291</v>
      </c>
      <c r="B290" s="276" t="s">
        <v>535</v>
      </c>
      <c r="C290" s="282">
        <f t="shared" si="5"/>
        <v>30</v>
      </c>
      <c r="D290" s="350">
        <v>30000</v>
      </c>
      <c r="E290" s="28">
        <v>331</v>
      </c>
      <c r="F290" s="48">
        <v>4122</v>
      </c>
      <c r="G290" s="45"/>
    </row>
    <row r="291" spans="1:8" x14ac:dyDescent="0.25">
      <c r="A291" s="43">
        <v>42318</v>
      </c>
      <c r="B291" s="276" t="s">
        <v>599</v>
      </c>
      <c r="C291" s="282">
        <f t="shared" si="5"/>
        <v>75</v>
      </c>
      <c r="D291" s="350">
        <v>75000</v>
      </c>
      <c r="E291" s="28">
        <v>331</v>
      </c>
      <c r="F291" s="48">
        <v>4122</v>
      </c>
      <c r="G291" s="45"/>
    </row>
    <row r="292" spans="1:8" x14ac:dyDescent="0.25">
      <c r="A292" s="43">
        <v>42331</v>
      </c>
      <c r="B292" s="276" t="s">
        <v>333</v>
      </c>
      <c r="C292" s="282">
        <f t="shared" si="5"/>
        <v>11762.8</v>
      </c>
      <c r="D292" s="350">
        <f>11762800+1648000+271700-1919700</f>
        <v>11762800</v>
      </c>
      <c r="E292" s="28">
        <v>13305</v>
      </c>
      <c r="F292" s="48">
        <v>4122</v>
      </c>
      <c r="G292" s="384"/>
      <c r="H292" s="384"/>
    </row>
    <row r="293" spans="1:8" x14ac:dyDescent="0.25">
      <c r="A293" s="43">
        <v>42360</v>
      </c>
      <c r="B293" s="276" t="s">
        <v>663</v>
      </c>
      <c r="C293" s="282">
        <f t="shared" si="5"/>
        <v>242</v>
      </c>
      <c r="D293" s="350">
        <v>242000</v>
      </c>
      <c r="E293" s="28">
        <v>331</v>
      </c>
      <c r="F293" s="48">
        <v>4122</v>
      </c>
      <c r="G293" s="384"/>
      <c r="H293" s="384"/>
    </row>
    <row r="294" spans="1:8" x14ac:dyDescent="0.25">
      <c r="A294" s="43">
        <v>42360</v>
      </c>
      <c r="B294" s="276" t="s">
        <v>661</v>
      </c>
      <c r="C294" s="282">
        <f t="shared" si="5"/>
        <v>100</v>
      </c>
      <c r="D294" s="350">
        <v>100000</v>
      </c>
      <c r="E294" s="28">
        <v>331</v>
      </c>
      <c r="F294" s="48">
        <v>4122</v>
      </c>
      <c r="G294" s="384"/>
      <c r="H294" s="384"/>
    </row>
    <row r="295" spans="1:8" x14ac:dyDescent="0.25">
      <c r="A295" s="43">
        <v>42366</v>
      </c>
      <c r="B295" s="276" t="s">
        <v>662</v>
      </c>
      <c r="C295" s="282">
        <f t="shared" si="5"/>
        <v>1000</v>
      </c>
      <c r="D295" s="350">
        <v>1000000</v>
      </c>
      <c r="E295" s="28">
        <v>331</v>
      </c>
      <c r="F295" s="48">
        <v>4122</v>
      </c>
      <c r="G295" s="384"/>
      <c r="H295" s="384"/>
    </row>
    <row r="296" spans="1:8" x14ac:dyDescent="0.25">
      <c r="A296" s="43">
        <v>42356</v>
      </c>
      <c r="B296" s="276" t="s">
        <v>202</v>
      </c>
      <c r="C296" s="282">
        <f t="shared" si="5"/>
        <v>203.43917000000002</v>
      </c>
      <c r="D296" s="350">
        <f>172923.29+30515.88</f>
        <v>203439.17</v>
      </c>
      <c r="E296" s="28">
        <v>33030</v>
      </c>
      <c r="F296" s="48">
        <v>4122</v>
      </c>
      <c r="G296" s="384"/>
      <c r="H296" s="384"/>
    </row>
    <row r="297" spans="1:8" x14ac:dyDescent="0.25">
      <c r="A297" s="43">
        <v>42360</v>
      </c>
      <c r="B297" s="276" t="s">
        <v>654</v>
      </c>
      <c r="C297" s="282">
        <f t="shared" si="5"/>
        <v>-55.033000000000001</v>
      </c>
      <c r="D297" s="350">
        <v>-55033</v>
      </c>
      <c r="E297" s="28">
        <v>539</v>
      </c>
      <c r="F297" s="48">
        <v>4122</v>
      </c>
      <c r="G297" s="384"/>
      <c r="H297" s="384"/>
    </row>
    <row r="298" spans="1:8" x14ac:dyDescent="0.25">
      <c r="A298" s="43"/>
      <c r="B298" s="276"/>
      <c r="C298" s="282"/>
      <c r="D298" s="350"/>
      <c r="E298" s="28"/>
      <c r="F298" s="29"/>
      <c r="G298" s="45"/>
    </row>
    <row r="299" spans="1:8" x14ac:dyDescent="0.25">
      <c r="A299" s="43"/>
      <c r="B299" s="31" t="s">
        <v>50</v>
      </c>
      <c r="C299" s="493">
        <f>+SUM(C300:C303)</f>
        <v>3370.2083499999999</v>
      </c>
      <c r="D299" s="26">
        <f>+SUM(D300:D303)</f>
        <v>3370208.3499999996</v>
      </c>
      <c r="E299" s="28"/>
      <c r="F299" s="29"/>
      <c r="G299" s="45">
        <f>+C299*1000-D299</f>
        <v>0</v>
      </c>
    </row>
    <row r="300" spans="1:8" x14ac:dyDescent="0.25">
      <c r="A300" s="272">
        <v>42101</v>
      </c>
      <c r="B300" s="276" t="s">
        <v>138</v>
      </c>
      <c r="C300" s="282">
        <f t="shared" si="5"/>
        <v>131.06369000000001</v>
      </c>
      <c r="D300" s="350">
        <v>131063.69</v>
      </c>
      <c r="E300" s="22">
        <v>86005</v>
      </c>
      <c r="F300" s="48">
        <v>4123</v>
      </c>
      <c r="G300" s="45"/>
    </row>
    <row r="301" spans="1:8" x14ac:dyDescent="0.25">
      <c r="A301" s="287">
        <v>42131</v>
      </c>
      <c r="B301" s="276" t="s">
        <v>417</v>
      </c>
      <c r="C301" s="282">
        <f t="shared" si="5"/>
        <v>853.73328000000004</v>
      </c>
      <c r="D301" s="350">
        <v>853733.28</v>
      </c>
      <c r="E301" s="62">
        <v>86005</v>
      </c>
      <c r="F301" s="48">
        <v>4123</v>
      </c>
      <c r="G301" s="45"/>
    </row>
    <row r="302" spans="1:8" x14ac:dyDescent="0.25">
      <c r="A302" s="287">
        <v>42178</v>
      </c>
      <c r="B302" s="276" t="s">
        <v>245</v>
      </c>
      <c r="C302" s="282">
        <f t="shared" si="5"/>
        <v>823.85523999999998</v>
      </c>
      <c r="D302" s="350">
        <v>823855.24</v>
      </c>
      <c r="E302" s="62">
        <v>86005</v>
      </c>
      <c r="F302" s="48">
        <v>4123</v>
      </c>
      <c r="G302" s="45"/>
    </row>
    <row r="303" spans="1:8" x14ac:dyDescent="0.25">
      <c r="A303" s="43">
        <v>42324</v>
      </c>
      <c r="B303" s="276" t="s">
        <v>604</v>
      </c>
      <c r="C303" s="282">
        <f t="shared" si="5"/>
        <v>1561.5561399999999</v>
      </c>
      <c r="D303" s="350">
        <v>1561556.14</v>
      </c>
      <c r="E303" s="28">
        <v>86005</v>
      </c>
      <c r="F303" s="48">
        <v>4123</v>
      </c>
      <c r="G303" s="45"/>
    </row>
    <row r="304" spans="1:8" x14ac:dyDescent="0.25">
      <c r="A304" s="43"/>
      <c r="B304" s="44"/>
      <c r="C304" s="282"/>
      <c r="D304" s="351"/>
      <c r="E304" s="28"/>
      <c r="F304" s="48"/>
      <c r="G304" s="45"/>
    </row>
    <row r="305" spans="1:7" x14ac:dyDescent="0.25">
      <c r="A305" s="43"/>
      <c r="B305" s="293" t="s">
        <v>52</v>
      </c>
      <c r="C305" s="506">
        <f>+SUM(C306:C308)</f>
        <v>2377</v>
      </c>
      <c r="D305" s="30">
        <f>+SUM(D306:D308)</f>
        <v>2400018.1000000006</v>
      </c>
      <c r="E305" s="28"/>
      <c r="F305" s="48"/>
      <c r="G305" s="45"/>
    </row>
    <row r="306" spans="1:7" x14ac:dyDescent="0.25">
      <c r="A306" s="43">
        <v>42075</v>
      </c>
      <c r="B306" s="276" t="s">
        <v>124</v>
      </c>
      <c r="C306" s="282">
        <v>582</v>
      </c>
      <c r="D306" s="350">
        <v>581714.24</v>
      </c>
      <c r="E306" s="28"/>
      <c r="F306" s="48">
        <v>4152</v>
      </c>
      <c r="G306" s="45"/>
    </row>
    <row r="307" spans="1:7" x14ac:dyDescent="0.25">
      <c r="A307" s="43">
        <v>42174</v>
      </c>
      <c r="B307" s="276" t="s">
        <v>244</v>
      </c>
      <c r="C307" s="282">
        <v>1795</v>
      </c>
      <c r="D307" s="350">
        <v>1794728.87</v>
      </c>
      <c r="E307" s="28"/>
      <c r="F307" s="48">
        <v>4152</v>
      </c>
      <c r="G307" s="45"/>
    </row>
    <row r="308" spans="1:7" x14ac:dyDescent="0.25">
      <c r="A308" s="43">
        <v>42233</v>
      </c>
      <c r="B308" s="276" t="s">
        <v>402</v>
      </c>
      <c r="C308" s="282">
        <v>0</v>
      </c>
      <c r="D308" s="350">
        <v>23574.99</v>
      </c>
      <c r="E308" s="28"/>
      <c r="F308" s="48">
        <v>4152</v>
      </c>
      <c r="G308" s="45"/>
    </row>
    <row r="309" spans="1:7" x14ac:dyDescent="0.25">
      <c r="A309" s="43"/>
      <c r="B309" s="276"/>
      <c r="C309" s="282"/>
      <c r="D309" s="350"/>
      <c r="E309" s="28"/>
      <c r="F309" s="48"/>
      <c r="G309" s="45"/>
    </row>
    <row r="310" spans="1:7" x14ac:dyDescent="0.25">
      <c r="A310" s="43"/>
      <c r="B310" s="294" t="s">
        <v>53</v>
      </c>
      <c r="C310" s="493">
        <f>+C7+C21+C31+C34+C67+C168+C176+C182+C186+C207+C228+C236+C251+C299+C305</f>
        <v>227304.62220000001</v>
      </c>
      <c r="D310" s="26">
        <f>+D7+D21+D31+D34+D67+D168+D176+D182+D186+D207+D228+D236+D251+D299+D305</f>
        <v>227327640.29999998</v>
      </c>
      <c r="E310" s="71"/>
      <c r="F310" s="22"/>
      <c r="G310" s="45"/>
    </row>
    <row r="311" spans="1:7" ht="16.5" thickBot="1" x14ac:dyDescent="0.3">
      <c r="A311" s="296"/>
      <c r="B311" s="297"/>
      <c r="C311" s="558"/>
      <c r="D311" s="74"/>
      <c r="E311" s="76"/>
      <c r="F311" s="77"/>
      <c r="G311" s="45"/>
    </row>
    <row r="312" spans="1:7" x14ac:dyDescent="0.25">
      <c r="A312" s="300"/>
      <c r="B312" s="79"/>
      <c r="C312" s="483"/>
      <c r="D312" s="7"/>
      <c r="E312" s="80"/>
      <c r="F312" s="80"/>
      <c r="G312" s="45"/>
    </row>
    <row r="313" spans="1:7" ht="16.5" thickBot="1" x14ac:dyDescent="0.3">
      <c r="A313" s="300"/>
      <c r="B313" s="79"/>
      <c r="C313" s="483"/>
      <c r="D313" s="7"/>
      <c r="E313" s="80"/>
      <c r="F313" s="80"/>
      <c r="G313" s="45"/>
    </row>
    <row r="314" spans="1:7" x14ac:dyDescent="0.25">
      <c r="A314" s="690" t="s">
        <v>141</v>
      </c>
      <c r="B314" s="5"/>
      <c r="C314" s="479"/>
      <c r="D314" s="4"/>
      <c r="E314" s="81"/>
      <c r="F314" s="81"/>
      <c r="G314" s="45"/>
    </row>
    <row r="315" spans="1:7" ht="16.5" thickBot="1" x14ac:dyDescent="0.3">
      <c r="A315" s="691"/>
      <c r="B315" s="10" t="s">
        <v>54</v>
      </c>
      <c r="C315" s="484" t="s">
        <v>3</v>
      </c>
      <c r="D315" s="9" t="s">
        <v>4</v>
      </c>
      <c r="E315" s="82" t="s">
        <v>5</v>
      </c>
      <c r="F315" s="82" t="s">
        <v>6</v>
      </c>
      <c r="G315" s="45"/>
    </row>
    <row r="316" spans="1:7" x14ac:dyDescent="0.25">
      <c r="A316" s="43"/>
      <c r="B316" s="273" t="s">
        <v>14</v>
      </c>
      <c r="C316" s="524">
        <f>+SUM(C317:C342)</f>
        <v>2090.5968000000003</v>
      </c>
      <c r="D316" s="39">
        <f>+SUM(D317:D342)</f>
        <v>2090596.7999999998</v>
      </c>
      <c r="E316" s="48"/>
      <c r="F316" s="48"/>
      <c r="G316" s="45">
        <f>+C316*1000-D316</f>
        <v>0</v>
      </c>
    </row>
    <row r="317" spans="1:7" x14ac:dyDescent="0.25">
      <c r="A317" s="43">
        <v>42069</v>
      </c>
      <c r="B317" s="44" t="s">
        <v>114</v>
      </c>
      <c r="C317" s="282">
        <f>+D317/1000</f>
        <v>141.55572000000001</v>
      </c>
      <c r="D317" s="20">
        <v>141555.72</v>
      </c>
      <c r="E317" s="48">
        <v>90877</v>
      </c>
      <c r="F317" s="48">
        <v>4213</v>
      </c>
      <c r="G317" s="45"/>
    </row>
    <row r="318" spans="1:7" x14ac:dyDescent="0.25">
      <c r="A318" s="43">
        <v>42114</v>
      </c>
      <c r="B318" s="44" t="s">
        <v>156</v>
      </c>
      <c r="C318" s="282">
        <f t="shared" ref="C318:C381" si="6">+D318/1000</f>
        <v>47.117789999999999</v>
      </c>
      <c r="D318" s="20">
        <v>47117.79</v>
      </c>
      <c r="E318" s="48">
        <v>90877</v>
      </c>
      <c r="F318" s="48">
        <v>4213</v>
      </c>
      <c r="G318" s="45"/>
    </row>
    <row r="319" spans="1:7" x14ac:dyDescent="0.25">
      <c r="A319" s="43">
        <v>42142</v>
      </c>
      <c r="B319" s="44" t="s">
        <v>169</v>
      </c>
      <c r="C319" s="282">
        <f t="shared" si="6"/>
        <v>21.145889999999998</v>
      </c>
      <c r="D319" s="20">
        <v>21145.89</v>
      </c>
      <c r="E319" s="48">
        <v>90877</v>
      </c>
      <c r="F319" s="48">
        <v>4213</v>
      </c>
      <c r="G319" s="45"/>
    </row>
    <row r="320" spans="1:7" x14ac:dyDescent="0.25">
      <c r="A320" s="43">
        <v>42150</v>
      </c>
      <c r="B320" s="44" t="s">
        <v>218</v>
      </c>
      <c r="C320" s="282">
        <f t="shared" si="6"/>
        <v>32.193080000000002</v>
      </c>
      <c r="D320" s="20">
        <v>32193.08</v>
      </c>
      <c r="E320" s="48">
        <v>90877</v>
      </c>
      <c r="F320" s="48">
        <v>4213</v>
      </c>
      <c r="G320" s="45"/>
    </row>
    <row r="321" spans="1:7" x14ac:dyDescent="0.25">
      <c r="A321" s="43">
        <v>42150</v>
      </c>
      <c r="B321" s="44" t="s">
        <v>219</v>
      </c>
      <c r="C321" s="282">
        <f t="shared" si="6"/>
        <v>21.296060000000001</v>
      </c>
      <c r="D321" s="20">
        <v>21296.06</v>
      </c>
      <c r="E321" s="48">
        <v>90877</v>
      </c>
      <c r="F321" s="48">
        <v>4213</v>
      </c>
      <c r="G321" s="45"/>
    </row>
    <row r="322" spans="1:7" x14ac:dyDescent="0.25">
      <c r="A322" s="43">
        <v>42167</v>
      </c>
      <c r="B322" s="44" t="s">
        <v>232</v>
      </c>
      <c r="C322" s="282">
        <f t="shared" si="6"/>
        <v>28.64677</v>
      </c>
      <c r="D322" s="20">
        <v>28646.77</v>
      </c>
      <c r="E322" s="48">
        <v>90877</v>
      </c>
      <c r="F322" s="48">
        <v>4213</v>
      </c>
      <c r="G322" s="45"/>
    </row>
    <row r="323" spans="1:7" x14ac:dyDescent="0.25">
      <c r="A323" s="43">
        <v>42199</v>
      </c>
      <c r="B323" s="44" t="s">
        <v>280</v>
      </c>
      <c r="C323" s="282">
        <f t="shared" si="6"/>
        <v>120.05096</v>
      </c>
      <c r="D323" s="20">
        <v>120050.96</v>
      </c>
      <c r="E323" s="48">
        <v>90877</v>
      </c>
      <c r="F323" s="48">
        <v>4213</v>
      </c>
      <c r="G323" s="45"/>
    </row>
    <row r="324" spans="1:7" x14ac:dyDescent="0.25">
      <c r="A324" s="43">
        <v>42195</v>
      </c>
      <c r="B324" s="44" t="s">
        <v>294</v>
      </c>
      <c r="C324" s="282">
        <f t="shared" si="6"/>
        <v>20.106369999999998</v>
      </c>
      <c r="D324" s="20">
        <v>20106.37</v>
      </c>
      <c r="E324" s="48">
        <v>90877</v>
      </c>
      <c r="F324" s="48">
        <v>4213</v>
      </c>
      <c r="G324" s="45"/>
    </row>
    <row r="325" spans="1:7" x14ac:dyDescent="0.25">
      <c r="A325" s="43">
        <v>42205</v>
      </c>
      <c r="B325" s="44" t="s">
        <v>303</v>
      </c>
      <c r="C325" s="282">
        <f t="shared" si="6"/>
        <v>19.5185</v>
      </c>
      <c r="D325" s="20">
        <v>19518.5</v>
      </c>
      <c r="E325" s="48">
        <v>90877</v>
      </c>
      <c r="F325" s="48">
        <v>4213</v>
      </c>
      <c r="G325" s="45"/>
    </row>
    <row r="326" spans="1:7" x14ac:dyDescent="0.25">
      <c r="A326" s="43">
        <v>42209</v>
      </c>
      <c r="B326" s="44" t="s">
        <v>330</v>
      </c>
      <c r="C326" s="282">
        <f t="shared" si="6"/>
        <v>20.354620000000001</v>
      </c>
      <c r="D326" s="20">
        <v>20354.62</v>
      </c>
      <c r="E326" s="48">
        <v>90877</v>
      </c>
      <c r="F326" s="48">
        <v>4213</v>
      </c>
      <c r="G326" s="45"/>
    </row>
    <row r="327" spans="1:7" x14ac:dyDescent="0.25">
      <c r="A327" s="43">
        <v>42220</v>
      </c>
      <c r="B327" s="44" t="s">
        <v>343</v>
      </c>
      <c r="C327" s="282">
        <f t="shared" si="6"/>
        <v>72.44328999999999</v>
      </c>
      <c r="D327" s="20">
        <v>72443.289999999994</v>
      </c>
      <c r="E327" s="48">
        <v>90877</v>
      </c>
      <c r="F327" s="48">
        <v>4213</v>
      </c>
      <c r="G327" s="45"/>
    </row>
    <row r="328" spans="1:7" x14ac:dyDescent="0.25">
      <c r="A328" s="43">
        <v>42222</v>
      </c>
      <c r="B328" s="44" t="s">
        <v>368</v>
      </c>
      <c r="C328" s="282">
        <f t="shared" si="6"/>
        <v>214.12067000000002</v>
      </c>
      <c r="D328" s="20">
        <v>214120.67</v>
      </c>
      <c r="E328" s="48">
        <v>90877</v>
      </c>
      <c r="F328" s="48">
        <v>4213</v>
      </c>
      <c r="G328" s="45"/>
    </row>
    <row r="329" spans="1:7" x14ac:dyDescent="0.25">
      <c r="A329" s="43">
        <v>42226</v>
      </c>
      <c r="B329" s="44" t="s">
        <v>218</v>
      </c>
      <c r="C329" s="282">
        <f t="shared" si="6"/>
        <v>7.7073599999999995</v>
      </c>
      <c r="D329" s="20">
        <v>7707.36</v>
      </c>
      <c r="E329" s="48">
        <v>90877</v>
      </c>
      <c r="F329" s="48">
        <v>4213</v>
      </c>
      <c r="G329" s="45"/>
    </row>
    <row r="330" spans="1:7" x14ac:dyDescent="0.25">
      <c r="A330" s="43">
        <v>42251</v>
      </c>
      <c r="B330" s="44" t="s">
        <v>330</v>
      </c>
      <c r="C330" s="282">
        <f t="shared" si="6"/>
        <v>0.30249999999999999</v>
      </c>
      <c r="D330" s="20">
        <v>302.5</v>
      </c>
      <c r="E330" s="48">
        <v>90877</v>
      </c>
      <c r="F330" s="48">
        <v>4213</v>
      </c>
      <c r="G330" s="45"/>
    </row>
    <row r="331" spans="1:7" x14ac:dyDescent="0.25">
      <c r="A331" s="43">
        <v>42283</v>
      </c>
      <c r="B331" s="44" t="s">
        <v>232</v>
      </c>
      <c r="C331" s="282">
        <f t="shared" si="6"/>
        <v>0.30249999999999999</v>
      </c>
      <c r="D331" s="20">
        <v>302.5</v>
      </c>
      <c r="E331" s="48">
        <v>90877</v>
      </c>
      <c r="F331" s="48">
        <v>4213</v>
      </c>
      <c r="G331" s="45"/>
    </row>
    <row r="332" spans="1:7" x14ac:dyDescent="0.25">
      <c r="A332" s="43">
        <v>42283</v>
      </c>
      <c r="B332" s="44" t="s">
        <v>536</v>
      </c>
      <c r="C332" s="282">
        <f t="shared" si="6"/>
        <v>10.69867</v>
      </c>
      <c r="D332" s="20">
        <v>10698.67</v>
      </c>
      <c r="E332" s="48">
        <v>90877</v>
      </c>
      <c r="F332" s="48">
        <v>4213</v>
      </c>
      <c r="G332" s="45"/>
    </row>
    <row r="333" spans="1:7" x14ac:dyDescent="0.25">
      <c r="A333" s="43">
        <v>42334</v>
      </c>
      <c r="B333" s="44" t="s">
        <v>615</v>
      </c>
      <c r="C333" s="282">
        <f t="shared" si="6"/>
        <v>26.439349999999997</v>
      </c>
      <c r="D333" s="20">
        <v>26439.35</v>
      </c>
      <c r="E333" s="48">
        <v>90877</v>
      </c>
      <c r="F333" s="48">
        <v>4213</v>
      </c>
      <c r="G333" s="45"/>
    </row>
    <row r="334" spans="1:7" x14ac:dyDescent="0.25">
      <c r="A334" s="43">
        <v>42335</v>
      </c>
      <c r="B334" s="44" t="s">
        <v>616</v>
      </c>
      <c r="C334" s="282">
        <f t="shared" si="6"/>
        <v>113.10644000000001</v>
      </c>
      <c r="D334" s="20">
        <v>113106.44</v>
      </c>
      <c r="E334" s="48">
        <v>90877</v>
      </c>
      <c r="F334" s="48">
        <v>4213</v>
      </c>
      <c r="G334" s="45"/>
    </row>
    <row r="335" spans="1:7" x14ac:dyDescent="0.25">
      <c r="A335" s="43">
        <v>42349</v>
      </c>
      <c r="B335" s="44" t="s">
        <v>671</v>
      </c>
      <c r="C335" s="282">
        <f t="shared" si="6"/>
        <v>33.109760000000001</v>
      </c>
      <c r="D335" s="20">
        <v>33109.760000000002</v>
      </c>
      <c r="E335" s="48">
        <v>90877</v>
      </c>
      <c r="F335" s="48">
        <v>4213</v>
      </c>
      <c r="G335" s="45"/>
    </row>
    <row r="336" spans="1:7" x14ac:dyDescent="0.25">
      <c r="A336" s="43">
        <v>42354</v>
      </c>
      <c r="B336" s="44" t="s">
        <v>655</v>
      </c>
      <c r="C336" s="282">
        <f t="shared" si="6"/>
        <v>101.94318</v>
      </c>
      <c r="D336" s="20">
        <v>101943.18</v>
      </c>
      <c r="E336" s="48">
        <v>90877</v>
      </c>
      <c r="F336" s="48">
        <v>4213</v>
      </c>
      <c r="G336" s="45"/>
    </row>
    <row r="337" spans="1:7" x14ac:dyDescent="0.25">
      <c r="A337" s="43">
        <v>42354</v>
      </c>
      <c r="B337" s="44" t="s">
        <v>656</v>
      </c>
      <c r="C337" s="282">
        <f t="shared" si="6"/>
        <v>151.29542000000001</v>
      </c>
      <c r="D337" s="20">
        <v>151295.42000000001</v>
      </c>
      <c r="E337" s="48">
        <v>90877</v>
      </c>
      <c r="F337" s="48">
        <v>4213</v>
      </c>
      <c r="G337" s="45"/>
    </row>
    <row r="338" spans="1:7" x14ac:dyDescent="0.25">
      <c r="A338" s="43">
        <v>42354</v>
      </c>
      <c r="B338" s="44" t="s">
        <v>657</v>
      </c>
      <c r="C338" s="282">
        <f t="shared" si="6"/>
        <v>99.361320000000006</v>
      </c>
      <c r="D338" s="20">
        <v>99361.32</v>
      </c>
      <c r="E338" s="48">
        <v>90877</v>
      </c>
      <c r="F338" s="48">
        <v>4213</v>
      </c>
      <c r="G338" s="45"/>
    </row>
    <row r="339" spans="1:7" x14ac:dyDescent="0.25">
      <c r="A339" s="43">
        <v>42354</v>
      </c>
      <c r="B339" s="44" t="s">
        <v>667</v>
      </c>
      <c r="C339" s="282">
        <f t="shared" si="6"/>
        <v>61.886699999999998</v>
      </c>
      <c r="D339" s="20">
        <v>61886.7</v>
      </c>
      <c r="E339" s="48">
        <v>90877</v>
      </c>
      <c r="F339" s="48">
        <v>4213</v>
      </c>
      <c r="G339" s="45"/>
    </row>
    <row r="340" spans="1:7" x14ac:dyDescent="0.25">
      <c r="A340" s="43">
        <v>42354</v>
      </c>
      <c r="B340" s="44" t="s">
        <v>668</v>
      </c>
      <c r="C340" s="282">
        <f t="shared" si="6"/>
        <v>206.00523999999999</v>
      </c>
      <c r="D340" s="20">
        <v>206005.24</v>
      </c>
      <c r="E340" s="48">
        <v>90877</v>
      </c>
      <c r="F340" s="48">
        <v>4213</v>
      </c>
      <c r="G340" s="45"/>
    </row>
    <row r="341" spans="1:7" x14ac:dyDescent="0.25">
      <c r="A341" s="43">
        <v>42356</v>
      </c>
      <c r="B341" s="44" t="s">
        <v>669</v>
      </c>
      <c r="C341" s="282">
        <f t="shared" si="6"/>
        <v>375.35139000000004</v>
      </c>
      <c r="D341" s="20">
        <v>375351.39</v>
      </c>
      <c r="E341" s="48">
        <v>90877</v>
      </c>
      <c r="F341" s="48">
        <v>4213</v>
      </c>
      <c r="G341" s="45"/>
    </row>
    <row r="342" spans="1:7" x14ac:dyDescent="0.25">
      <c r="A342" s="43">
        <v>42356</v>
      </c>
      <c r="B342" s="44" t="s">
        <v>631</v>
      </c>
      <c r="C342" s="282">
        <f t="shared" si="6"/>
        <v>144.53725</v>
      </c>
      <c r="D342" s="20">
        <v>144537.25</v>
      </c>
      <c r="E342" s="48">
        <v>90877</v>
      </c>
      <c r="F342" s="48">
        <v>4213</v>
      </c>
      <c r="G342" s="45"/>
    </row>
    <row r="343" spans="1:7" x14ac:dyDescent="0.25">
      <c r="A343" s="43"/>
      <c r="B343" s="461"/>
      <c r="C343" s="282"/>
      <c r="D343" s="20"/>
      <c r="E343" s="48"/>
      <c r="F343" s="48"/>
      <c r="G343" s="45"/>
    </row>
    <row r="344" spans="1:7" x14ac:dyDescent="0.25">
      <c r="A344" s="43"/>
      <c r="B344" s="285" t="s">
        <v>33</v>
      </c>
      <c r="C344" s="524">
        <f>+C345</f>
        <v>100</v>
      </c>
      <c r="D344" s="39">
        <f>+D345</f>
        <v>100000</v>
      </c>
      <c r="E344" s="48"/>
      <c r="F344" s="48"/>
      <c r="G344" s="45">
        <f>+C344*1000-D344</f>
        <v>0</v>
      </c>
    </row>
    <row r="345" spans="1:7" x14ac:dyDescent="0.25">
      <c r="A345" s="43">
        <v>42244</v>
      </c>
      <c r="B345" s="44" t="s">
        <v>322</v>
      </c>
      <c r="C345" s="282">
        <f t="shared" si="6"/>
        <v>100</v>
      </c>
      <c r="D345" s="20">
        <v>100000</v>
      </c>
      <c r="E345" s="48">
        <v>34941</v>
      </c>
      <c r="F345" s="48">
        <v>4216</v>
      </c>
      <c r="G345" s="45"/>
    </row>
    <row r="346" spans="1:7" x14ac:dyDescent="0.25">
      <c r="A346" s="43"/>
      <c r="B346" s="44"/>
      <c r="C346" s="282"/>
      <c r="D346" s="39"/>
      <c r="E346" s="48"/>
      <c r="F346" s="48"/>
      <c r="G346" s="45"/>
    </row>
    <row r="347" spans="1:7" x14ac:dyDescent="0.25">
      <c r="A347" s="43"/>
      <c r="B347" s="273" t="s">
        <v>45</v>
      </c>
      <c r="C347" s="524">
        <f>+SUM(C348:C378)</f>
        <v>42687.792110000002</v>
      </c>
      <c r="D347" s="39">
        <f>+SUM(D348:D378)</f>
        <v>42687792.110000007</v>
      </c>
      <c r="E347" s="48"/>
      <c r="F347" s="48"/>
      <c r="G347" s="45">
        <f>+C347*1000-D347</f>
        <v>0</v>
      </c>
    </row>
    <row r="348" spans="1:7" x14ac:dyDescent="0.25">
      <c r="A348" s="43">
        <v>42114</v>
      </c>
      <c r="B348" s="44" t="s">
        <v>156</v>
      </c>
      <c r="C348" s="282">
        <f t="shared" si="6"/>
        <v>801.00243</v>
      </c>
      <c r="D348" s="20">
        <v>801002.43</v>
      </c>
      <c r="E348" s="48">
        <v>15827</v>
      </c>
      <c r="F348" s="48">
        <v>4216</v>
      </c>
      <c r="G348" s="45"/>
    </row>
    <row r="349" spans="1:7" x14ac:dyDescent="0.25">
      <c r="A349" s="43">
        <v>42139</v>
      </c>
      <c r="B349" s="44" t="s">
        <v>169</v>
      </c>
      <c r="C349" s="282">
        <f t="shared" si="6"/>
        <v>359.48018999999999</v>
      </c>
      <c r="D349" s="20">
        <v>359480.19</v>
      </c>
      <c r="E349" s="48">
        <v>15835</v>
      </c>
      <c r="F349" s="48">
        <v>4216</v>
      </c>
      <c r="G349" s="45"/>
    </row>
    <row r="350" spans="1:7" x14ac:dyDescent="0.25">
      <c r="A350" s="43">
        <v>42150</v>
      </c>
      <c r="B350" s="44" t="s">
        <v>218</v>
      </c>
      <c r="C350" s="282">
        <f t="shared" si="6"/>
        <v>547.28240000000005</v>
      </c>
      <c r="D350" s="20">
        <v>547282.4</v>
      </c>
      <c r="E350" s="48">
        <v>15835</v>
      </c>
      <c r="F350" s="48">
        <v>4216</v>
      </c>
      <c r="G350" s="439"/>
    </row>
    <row r="351" spans="1:7" x14ac:dyDescent="0.25">
      <c r="A351" s="43">
        <v>42150</v>
      </c>
      <c r="B351" s="44" t="s">
        <v>219</v>
      </c>
      <c r="C351" s="282">
        <f t="shared" si="6"/>
        <v>362.03313000000003</v>
      </c>
      <c r="D351" s="20">
        <v>362033.13</v>
      </c>
      <c r="E351" s="48">
        <v>15835</v>
      </c>
      <c r="F351" s="48">
        <v>4216</v>
      </c>
      <c r="G351" s="439"/>
    </row>
    <row r="352" spans="1:7" x14ac:dyDescent="0.25">
      <c r="A352" s="43">
        <v>42167</v>
      </c>
      <c r="B352" s="44" t="s">
        <v>232</v>
      </c>
      <c r="C352" s="282">
        <f t="shared" si="6"/>
        <v>486.99520000000001</v>
      </c>
      <c r="D352" s="20">
        <v>486995.20000000001</v>
      </c>
      <c r="E352" s="48">
        <v>15835</v>
      </c>
      <c r="F352" s="48">
        <v>4216</v>
      </c>
      <c r="G352" s="439"/>
    </row>
    <row r="353" spans="1:7" x14ac:dyDescent="0.25">
      <c r="A353" s="43">
        <v>42198</v>
      </c>
      <c r="B353" s="44" t="s">
        <v>280</v>
      </c>
      <c r="C353" s="282">
        <f t="shared" si="6"/>
        <v>2040.8663899999999</v>
      </c>
      <c r="D353" s="20">
        <v>2040866.39</v>
      </c>
      <c r="E353" s="48">
        <v>15835</v>
      </c>
      <c r="F353" s="48">
        <v>4216</v>
      </c>
      <c r="G353" s="439"/>
    </row>
    <row r="354" spans="1:7" x14ac:dyDescent="0.25">
      <c r="A354" s="43">
        <v>42194</v>
      </c>
      <c r="B354" s="44" t="s">
        <v>294</v>
      </c>
      <c r="C354" s="282">
        <f t="shared" si="6"/>
        <v>341.80831999999998</v>
      </c>
      <c r="D354" s="20">
        <v>341808.32</v>
      </c>
      <c r="E354" s="48">
        <v>15835</v>
      </c>
      <c r="F354" s="48">
        <v>4216</v>
      </c>
      <c r="G354" s="439"/>
    </row>
    <row r="355" spans="1:7" x14ac:dyDescent="0.25">
      <c r="A355" s="43">
        <v>42205</v>
      </c>
      <c r="B355" s="44" t="s">
        <v>303</v>
      </c>
      <c r="C355" s="282">
        <f t="shared" si="6"/>
        <v>331.81453000000005</v>
      </c>
      <c r="D355" s="20">
        <v>331814.53000000003</v>
      </c>
      <c r="E355" s="48">
        <v>15835</v>
      </c>
      <c r="F355" s="48">
        <v>4216</v>
      </c>
      <c r="G355" s="45"/>
    </row>
    <row r="356" spans="1:7" x14ac:dyDescent="0.25">
      <c r="A356" s="43">
        <v>42209</v>
      </c>
      <c r="B356" s="44" t="s">
        <v>329</v>
      </c>
      <c r="C356" s="282">
        <f t="shared" si="6"/>
        <v>346.02866999999998</v>
      </c>
      <c r="D356" s="20">
        <v>346028.67</v>
      </c>
      <c r="E356" s="48">
        <v>15835</v>
      </c>
      <c r="F356" s="48">
        <v>4216</v>
      </c>
      <c r="G356" s="45"/>
    </row>
    <row r="357" spans="1:7" x14ac:dyDescent="0.25">
      <c r="A357" s="43">
        <v>42220</v>
      </c>
      <c r="B357" s="44" t="s">
        <v>343</v>
      </c>
      <c r="C357" s="282">
        <f t="shared" si="6"/>
        <v>1231.53595</v>
      </c>
      <c r="D357" s="20">
        <v>1231535.95</v>
      </c>
      <c r="E357" s="48">
        <v>15835</v>
      </c>
      <c r="F357" s="48">
        <v>4216</v>
      </c>
      <c r="G357" s="45"/>
    </row>
    <row r="358" spans="1:7" x14ac:dyDescent="0.25">
      <c r="A358" s="43">
        <v>42222</v>
      </c>
      <c r="B358" s="44" t="s">
        <v>368</v>
      </c>
      <c r="C358" s="282">
        <f t="shared" si="6"/>
        <v>3640.0515499999997</v>
      </c>
      <c r="D358" s="20">
        <v>3640051.55</v>
      </c>
      <c r="E358" s="48">
        <v>15835</v>
      </c>
      <c r="F358" s="48">
        <v>4216</v>
      </c>
      <c r="G358" s="45"/>
    </row>
    <row r="359" spans="1:7" x14ac:dyDescent="0.25">
      <c r="A359" s="43">
        <v>42223</v>
      </c>
      <c r="B359" s="44" t="s">
        <v>218</v>
      </c>
      <c r="C359" s="282">
        <f t="shared" si="6"/>
        <v>131.02522999999999</v>
      </c>
      <c r="D359" s="20">
        <v>131025.23</v>
      </c>
      <c r="E359" s="48">
        <v>15835</v>
      </c>
      <c r="F359" s="48">
        <v>4216</v>
      </c>
      <c r="G359" s="45"/>
    </row>
    <row r="360" spans="1:7" x14ac:dyDescent="0.25">
      <c r="A360" s="43">
        <v>42251</v>
      </c>
      <c r="B360" s="44" t="s">
        <v>329</v>
      </c>
      <c r="C360" s="282">
        <f t="shared" si="6"/>
        <v>5.1425000000000001</v>
      </c>
      <c r="D360" s="20">
        <v>5142.5</v>
      </c>
      <c r="E360" s="48">
        <v>15835</v>
      </c>
      <c r="F360" s="48">
        <v>4216</v>
      </c>
      <c r="G360" s="45"/>
    </row>
    <row r="361" spans="1:7" x14ac:dyDescent="0.25">
      <c r="A361" s="43">
        <v>42279</v>
      </c>
      <c r="B361" s="44" t="s">
        <v>232</v>
      </c>
      <c r="C361" s="282">
        <f t="shared" si="6"/>
        <v>5.1425000000000001</v>
      </c>
      <c r="D361" s="20">
        <v>5142.5</v>
      </c>
      <c r="E361" s="48">
        <v>15835</v>
      </c>
      <c r="F361" s="48">
        <v>4216</v>
      </c>
      <c r="G361" s="45"/>
    </row>
    <row r="362" spans="1:7" x14ac:dyDescent="0.25">
      <c r="A362" s="43">
        <v>42279</v>
      </c>
      <c r="B362" s="44" t="s">
        <v>536</v>
      </c>
      <c r="C362" s="282">
        <f t="shared" si="6"/>
        <v>181.87739000000002</v>
      </c>
      <c r="D362" s="20">
        <v>181877.39</v>
      </c>
      <c r="E362" s="48">
        <v>15835</v>
      </c>
      <c r="F362" s="48">
        <v>4216</v>
      </c>
      <c r="G362" s="45"/>
    </row>
    <row r="363" spans="1:7" x14ac:dyDescent="0.25">
      <c r="A363" s="43">
        <v>42285</v>
      </c>
      <c r="B363" s="44" t="s">
        <v>537</v>
      </c>
      <c r="C363" s="282">
        <f t="shared" si="6"/>
        <v>381.30920000000003</v>
      </c>
      <c r="D363" s="20">
        <v>381309.2</v>
      </c>
      <c r="E363" s="48">
        <v>15828</v>
      </c>
      <c r="F363" s="48">
        <v>4216</v>
      </c>
      <c r="G363" s="45"/>
    </row>
    <row r="364" spans="1:7" x14ac:dyDescent="0.25">
      <c r="A364" s="43">
        <v>42285</v>
      </c>
      <c r="B364" s="44" t="s">
        <v>537</v>
      </c>
      <c r="C364" s="282">
        <f t="shared" si="6"/>
        <v>6482.2565700000005</v>
      </c>
      <c r="D364" s="20">
        <v>6482256.5700000003</v>
      </c>
      <c r="E364" s="48">
        <v>15829</v>
      </c>
      <c r="F364" s="48">
        <v>4216</v>
      </c>
      <c r="G364" s="45"/>
    </row>
    <row r="365" spans="1:7" x14ac:dyDescent="0.25">
      <c r="A365" s="43">
        <v>42334</v>
      </c>
      <c r="B365" s="44" t="s">
        <v>615</v>
      </c>
      <c r="C365" s="282">
        <f t="shared" si="6"/>
        <v>449.47395</v>
      </c>
      <c r="D365" s="20">
        <v>449473.95</v>
      </c>
      <c r="E365" s="48">
        <v>15827</v>
      </c>
      <c r="F365" s="48">
        <v>4216</v>
      </c>
      <c r="G365" s="45"/>
    </row>
    <row r="366" spans="1:7" x14ac:dyDescent="0.25">
      <c r="A366" s="43">
        <v>42335</v>
      </c>
      <c r="B366" s="44" t="s">
        <v>616</v>
      </c>
      <c r="C366" s="282">
        <f t="shared" si="6"/>
        <v>1922.80963</v>
      </c>
      <c r="D366" s="20">
        <v>1922809.63</v>
      </c>
      <c r="E366" s="48">
        <v>15827</v>
      </c>
      <c r="F366" s="48">
        <v>4216</v>
      </c>
      <c r="G366" s="45"/>
    </row>
    <row r="367" spans="1:7" x14ac:dyDescent="0.25">
      <c r="A367" s="43">
        <v>42349</v>
      </c>
      <c r="B367" s="44" t="s">
        <v>671</v>
      </c>
      <c r="C367" s="282">
        <f t="shared" si="6"/>
        <v>463.53671000000003</v>
      </c>
      <c r="D367" s="20">
        <v>463536.71</v>
      </c>
      <c r="E367" s="48">
        <v>15827</v>
      </c>
      <c r="F367" s="48">
        <v>4216</v>
      </c>
      <c r="G367" s="45"/>
    </row>
    <row r="368" spans="1:7" x14ac:dyDescent="0.25">
      <c r="A368" s="43">
        <v>42354</v>
      </c>
      <c r="B368" s="44" t="s">
        <v>655</v>
      </c>
      <c r="C368" s="282">
        <f t="shared" si="6"/>
        <v>1733.0340800000001</v>
      </c>
      <c r="D368" s="20">
        <v>1733034.08</v>
      </c>
      <c r="E368" s="48">
        <v>15835</v>
      </c>
      <c r="F368" s="48">
        <v>4216</v>
      </c>
      <c r="G368" s="45"/>
    </row>
    <row r="369" spans="1:7" x14ac:dyDescent="0.25">
      <c r="A369" s="43">
        <v>42354</v>
      </c>
      <c r="B369" s="44" t="s">
        <v>656</v>
      </c>
      <c r="C369" s="282">
        <f t="shared" si="6"/>
        <v>2572.0222400000002</v>
      </c>
      <c r="D369" s="20">
        <v>2572022.2400000002</v>
      </c>
      <c r="E369" s="48">
        <v>15835</v>
      </c>
      <c r="F369" s="48">
        <v>4216</v>
      </c>
      <c r="G369" s="45"/>
    </row>
    <row r="370" spans="1:7" x14ac:dyDescent="0.25">
      <c r="A370" s="43">
        <v>42354</v>
      </c>
      <c r="B370" s="44" t="s">
        <v>657</v>
      </c>
      <c r="C370" s="282">
        <f t="shared" si="6"/>
        <v>1689.1425800000002</v>
      </c>
      <c r="D370" s="20">
        <v>1689142.58</v>
      </c>
      <c r="E370" s="48">
        <v>15835</v>
      </c>
      <c r="F370" s="48">
        <v>4216</v>
      </c>
      <c r="G370" s="45"/>
    </row>
    <row r="371" spans="1:7" x14ac:dyDescent="0.25">
      <c r="A371" s="43">
        <v>42354</v>
      </c>
      <c r="B371" s="44" t="s">
        <v>537</v>
      </c>
      <c r="C371" s="282">
        <f t="shared" si="6"/>
        <v>81.832679999999996</v>
      </c>
      <c r="D371" s="20">
        <v>81832.679999999993</v>
      </c>
      <c r="E371" s="48">
        <v>15828</v>
      </c>
      <c r="F371" s="48">
        <v>4216</v>
      </c>
      <c r="G371" s="45"/>
    </row>
    <row r="372" spans="1:7" x14ac:dyDescent="0.25">
      <c r="A372" s="43">
        <v>42354</v>
      </c>
      <c r="B372" s="44" t="s">
        <v>537</v>
      </c>
      <c r="C372" s="282">
        <f t="shared" si="6"/>
        <v>1391.1556799999998</v>
      </c>
      <c r="D372" s="20">
        <v>1391155.68</v>
      </c>
      <c r="E372" s="48">
        <v>15829</v>
      </c>
      <c r="F372" s="48">
        <v>4216</v>
      </c>
      <c r="G372" s="45"/>
    </row>
    <row r="373" spans="1:7" x14ac:dyDescent="0.25">
      <c r="A373" s="43">
        <v>42354</v>
      </c>
      <c r="B373" s="44" t="s">
        <v>665</v>
      </c>
      <c r="C373" s="282">
        <f t="shared" si="6"/>
        <v>42.706600000000002</v>
      </c>
      <c r="D373" s="20">
        <v>42706.6</v>
      </c>
      <c r="E373" s="48">
        <v>15835</v>
      </c>
      <c r="F373" s="48">
        <v>4216</v>
      </c>
      <c r="G373" s="45"/>
    </row>
    <row r="374" spans="1:7" x14ac:dyDescent="0.25">
      <c r="A374" s="43">
        <v>42354</v>
      </c>
      <c r="B374" s="44" t="s">
        <v>666</v>
      </c>
      <c r="C374" s="282">
        <f t="shared" si="6"/>
        <v>1274.1558600000001</v>
      </c>
      <c r="D374" s="20">
        <v>1274155.8600000001</v>
      </c>
      <c r="E374" s="48">
        <v>15835</v>
      </c>
      <c r="F374" s="48">
        <v>4216</v>
      </c>
      <c r="G374" s="45"/>
    </row>
    <row r="375" spans="1:7" x14ac:dyDescent="0.25">
      <c r="A375" s="43">
        <v>42356</v>
      </c>
      <c r="B375" s="44" t="s">
        <v>631</v>
      </c>
      <c r="C375" s="282">
        <f t="shared" si="6"/>
        <v>2457.1332499999999</v>
      </c>
      <c r="D375" s="20">
        <v>2457133.25</v>
      </c>
      <c r="E375" s="48">
        <v>15835</v>
      </c>
      <c r="F375" s="48">
        <v>4216</v>
      </c>
      <c r="G375" s="45"/>
    </row>
    <row r="376" spans="1:7" x14ac:dyDescent="0.25">
      <c r="A376" s="43">
        <v>42354</v>
      </c>
      <c r="B376" s="44" t="s">
        <v>667</v>
      </c>
      <c r="C376" s="282">
        <f t="shared" si="6"/>
        <v>1052.0738999999999</v>
      </c>
      <c r="D376" s="20">
        <v>1052073.8999999999</v>
      </c>
      <c r="E376" s="48">
        <v>15835</v>
      </c>
      <c r="F376" s="48">
        <v>4216</v>
      </c>
      <c r="G376" s="45"/>
    </row>
    <row r="377" spans="1:7" x14ac:dyDescent="0.25">
      <c r="A377" s="43">
        <v>42354</v>
      </c>
      <c r="B377" s="44" t="s">
        <v>668</v>
      </c>
      <c r="C377" s="282">
        <f t="shared" si="6"/>
        <v>3502.0890899999999</v>
      </c>
      <c r="D377" s="20">
        <v>3502089.09</v>
      </c>
      <c r="E377" s="48">
        <v>15835</v>
      </c>
      <c r="F377" s="48">
        <v>4216</v>
      </c>
      <c r="G377" s="45"/>
    </row>
    <row r="378" spans="1:7" x14ac:dyDescent="0.25">
      <c r="A378" s="43">
        <v>42355</v>
      </c>
      <c r="B378" s="44" t="s">
        <v>670</v>
      </c>
      <c r="C378" s="282">
        <f t="shared" si="6"/>
        <v>6380.9737100000002</v>
      </c>
      <c r="D378" s="20">
        <v>6380973.71</v>
      </c>
      <c r="E378" s="48">
        <v>15835</v>
      </c>
      <c r="F378" s="48">
        <v>4216</v>
      </c>
      <c r="G378" s="45"/>
    </row>
    <row r="379" spans="1:7" x14ac:dyDescent="0.25">
      <c r="A379" s="43"/>
      <c r="B379" s="276"/>
      <c r="C379" s="282"/>
      <c r="D379" s="20"/>
      <c r="E379" s="48"/>
      <c r="F379" s="48"/>
      <c r="G379" s="45"/>
    </row>
    <row r="380" spans="1:7" x14ac:dyDescent="0.25">
      <c r="A380" s="43"/>
      <c r="B380" s="285" t="s">
        <v>91</v>
      </c>
      <c r="C380" s="524">
        <f>+SUM(C381:C385)</f>
        <v>35636.295599999998</v>
      </c>
      <c r="D380" s="39">
        <f>+SUM(D381:D385)</f>
        <v>35636295.599999994</v>
      </c>
      <c r="E380" s="48"/>
      <c r="F380" s="48"/>
      <c r="G380" s="45">
        <f>+C380*1000-D380</f>
        <v>0</v>
      </c>
    </row>
    <row r="381" spans="1:7" x14ac:dyDescent="0.25">
      <c r="A381" s="43">
        <v>42034</v>
      </c>
      <c r="B381" s="276" t="s">
        <v>103</v>
      </c>
      <c r="C381" s="282">
        <f t="shared" si="6"/>
        <v>4395.5924400000004</v>
      </c>
      <c r="D381" s="20">
        <v>4395592.4400000004</v>
      </c>
      <c r="E381" s="48">
        <v>17871</v>
      </c>
      <c r="F381" s="48">
        <v>4216</v>
      </c>
      <c r="G381" s="45"/>
    </row>
    <row r="382" spans="1:7" x14ac:dyDescent="0.25">
      <c r="A382" s="43">
        <v>42034</v>
      </c>
      <c r="B382" s="276" t="s">
        <v>103</v>
      </c>
      <c r="C382" s="282">
        <f t="shared" ref="C382:C408" si="7">+D382/1000</f>
        <v>775.69278000000008</v>
      </c>
      <c r="D382" s="20">
        <v>775692.78</v>
      </c>
      <c r="E382" s="48">
        <v>17870</v>
      </c>
      <c r="F382" s="48">
        <v>4216</v>
      </c>
      <c r="G382" s="45"/>
    </row>
    <row r="383" spans="1:7" x14ac:dyDescent="0.25">
      <c r="A383" s="43">
        <v>42151</v>
      </c>
      <c r="B383" s="276" t="s">
        <v>220</v>
      </c>
      <c r="C383" s="282">
        <f t="shared" si="7"/>
        <v>22777.845359999999</v>
      </c>
      <c r="D383" s="20">
        <v>22777845.359999999</v>
      </c>
      <c r="E383" s="48">
        <v>17871</v>
      </c>
      <c r="F383" s="48">
        <v>4216</v>
      </c>
      <c r="G383" s="45"/>
    </row>
    <row r="384" spans="1:7" x14ac:dyDescent="0.25">
      <c r="A384" s="43">
        <v>42250</v>
      </c>
      <c r="B384" s="276" t="s">
        <v>419</v>
      </c>
      <c r="C384" s="282">
        <f t="shared" si="7"/>
        <v>1153.07475</v>
      </c>
      <c r="D384" s="20">
        <v>1153074.75</v>
      </c>
      <c r="E384" s="48">
        <v>17870</v>
      </c>
      <c r="F384" s="48">
        <v>4216</v>
      </c>
      <c r="G384" s="45"/>
    </row>
    <row r="385" spans="1:7" x14ac:dyDescent="0.25">
      <c r="A385" s="43">
        <v>42250</v>
      </c>
      <c r="B385" s="276" t="s">
        <v>419</v>
      </c>
      <c r="C385" s="282">
        <f t="shared" si="7"/>
        <v>6534.0902699999997</v>
      </c>
      <c r="D385" s="20">
        <v>6534090.2699999996</v>
      </c>
      <c r="E385" s="48">
        <v>17871</v>
      </c>
      <c r="F385" s="48">
        <v>4216</v>
      </c>
      <c r="G385" s="45"/>
    </row>
    <row r="386" spans="1:7" x14ac:dyDescent="0.25">
      <c r="A386" s="43"/>
      <c r="B386" s="276"/>
      <c r="C386" s="282"/>
      <c r="D386" s="20"/>
      <c r="E386" s="48"/>
      <c r="F386" s="48"/>
      <c r="G386" s="45"/>
    </row>
    <row r="387" spans="1:7" x14ac:dyDescent="0.25">
      <c r="A387" s="43"/>
      <c r="B387" s="31" t="s">
        <v>149</v>
      </c>
      <c r="C387" s="524">
        <f>+C388</f>
        <v>450</v>
      </c>
      <c r="D387" s="39">
        <f>+D388</f>
        <v>450000</v>
      </c>
      <c r="E387" s="48"/>
      <c r="F387" s="48"/>
      <c r="G387" s="45">
        <f>+C387*1000-D387</f>
        <v>0</v>
      </c>
    </row>
    <row r="388" spans="1:7" x14ac:dyDescent="0.25">
      <c r="A388" s="43">
        <v>42121</v>
      </c>
      <c r="B388" s="276" t="s">
        <v>155</v>
      </c>
      <c r="C388" s="282">
        <f t="shared" si="7"/>
        <v>450</v>
      </c>
      <c r="D388" s="20">
        <v>450000</v>
      </c>
      <c r="E388" s="48">
        <v>35674</v>
      </c>
      <c r="F388" s="48">
        <v>4216</v>
      </c>
      <c r="G388" s="45"/>
    </row>
    <row r="389" spans="1:7" x14ac:dyDescent="0.25">
      <c r="A389" s="43"/>
      <c r="B389" s="273"/>
      <c r="C389" s="282"/>
      <c r="D389" s="39"/>
      <c r="E389" s="48"/>
      <c r="F389" s="48"/>
      <c r="G389" s="45"/>
    </row>
    <row r="390" spans="1:7" x14ac:dyDescent="0.25">
      <c r="A390" s="43"/>
      <c r="B390" s="273" t="s">
        <v>48</v>
      </c>
      <c r="C390" s="524">
        <f>SUM(C391:C391)</f>
        <v>218.95579999999998</v>
      </c>
      <c r="D390" s="39">
        <f>SUM(D391:D391)</f>
        <v>218955.8</v>
      </c>
      <c r="E390" s="48"/>
      <c r="F390" s="48"/>
      <c r="G390" s="45">
        <f>+C390*1000-D390</f>
        <v>0</v>
      </c>
    </row>
    <row r="391" spans="1:7" x14ac:dyDescent="0.25">
      <c r="A391" s="43">
        <v>42356</v>
      </c>
      <c r="B391" s="276" t="s">
        <v>202</v>
      </c>
      <c r="C391" s="282">
        <f t="shared" si="7"/>
        <v>218.95579999999998</v>
      </c>
      <c r="D391" s="20">
        <f>186112.43+32843.37</f>
        <v>218955.8</v>
      </c>
      <c r="E391" s="48">
        <v>33926</v>
      </c>
      <c r="F391" s="48">
        <v>4222</v>
      </c>
      <c r="G391" s="45"/>
    </row>
    <row r="392" spans="1:7" x14ac:dyDescent="0.25">
      <c r="A392" s="43"/>
      <c r="B392" s="276"/>
      <c r="C392" s="282">
        <f t="shared" si="7"/>
        <v>0</v>
      </c>
      <c r="D392" s="350"/>
      <c r="E392" s="22"/>
      <c r="F392" s="48"/>
      <c r="G392" s="45"/>
    </row>
    <row r="393" spans="1:7" x14ac:dyDescent="0.25">
      <c r="A393" s="43"/>
      <c r="B393" s="31" t="s">
        <v>50</v>
      </c>
      <c r="C393" s="506">
        <f>+SUM(C394:C409)</f>
        <v>190965.99459000002</v>
      </c>
      <c r="D393" s="30">
        <f>+SUM(D394:D409)</f>
        <v>190965994.59</v>
      </c>
      <c r="E393" s="48"/>
      <c r="F393" s="48"/>
      <c r="G393" s="45">
        <f>+C393*1000-D393</f>
        <v>0</v>
      </c>
    </row>
    <row r="394" spans="1:7" x14ac:dyDescent="0.25">
      <c r="A394" s="43">
        <v>42073</v>
      </c>
      <c r="B394" s="276" t="s">
        <v>112</v>
      </c>
      <c r="C394" s="282">
        <f t="shared" si="7"/>
        <v>24568.326000000001</v>
      </c>
      <c r="D394" s="20">
        <v>24568326</v>
      </c>
      <c r="E394" s="48">
        <v>86505</v>
      </c>
      <c r="F394" s="48">
        <v>4223</v>
      </c>
      <c r="G394" s="45"/>
    </row>
    <row r="395" spans="1:7" x14ac:dyDescent="0.25">
      <c r="A395" s="43">
        <v>42073</v>
      </c>
      <c r="B395" s="276" t="s">
        <v>112</v>
      </c>
      <c r="C395" s="282">
        <f t="shared" si="7"/>
        <v>2167.7934799999998</v>
      </c>
      <c r="D395" s="20">
        <v>2167793.48</v>
      </c>
      <c r="E395" s="48">
        <v>86501</v>
      </c>
      <c r="F395" s="48">
        <v>4223</v>
      </c>
      <c r="G395" s="45"/>
    </row>
    <row r="396" spans="1:7" x14ac:dyDescent="0.25">
      <c r="A396" s="43">
        <v>42087</v>
      </c>
      <c r="B396" s="44" t="s">
        <v>123</v>
      </c>
      <c r="C396" s="282">
        <f t="shared" si="7"/>
        <v>17507.565600000002</v>
      </c>
      <c r="D396" s="46">
        <v>17507565.600000001</v>
      </c>
      <c r="E396" s="22">
        <v>86505</v>
      </c>
      <c r="F396" s="48">
        <v>4223</v>
      </c>
      <c r="G396" s="45"/>
    </row>
    <row r="397" spans="1:7" x14ac:dyDescent="0.25">
      <c r="A397" s="43">
        <v>42101</v>
      </c>
      <c r="B397" s="44" t="s">
        <v>138</v>
      </c>
      <c r="C397" s="282">
        <f t="shared" si="7"/>
        <v>3893.92481</v>
      </c>
      <c r="D397" s="46">
        <v>3893924.81</v>
      </c>
      <c r="E397" s="22">
        <v>86505</v>
      </c>
      <c r="F397" s="48">
        <v>4223</v>
      </c>
      <c r="G397" s="45"/>
    </row>
    <row r="398" spans="1:7" x14ac:dyDescent="0.25">
      <c r="A398" s="43">
        <v>42122</v>
      </c>
      <c r="B398" s="44" t="s">
        <v>152</v>
      </c>
      <c r="C398" s="282">
        <f t="shared" si="7"/>
        <v>4191.1944100000001</v>
      </c>
      <c r="D398" s="46">
        <v>4191194.41</v>
      </c>
      <c r="E398" s="22">
        <v>86505</v>
      </c>
      <c r="F398" s="48">
        <v>4223</v>
      </c>
      <c r="G398" s="45"/>
    </row>
    <row r="399" spans="1:7" x14ac:dyDescent="0.25">
      <c r="A399" s="43">
        <v>42143</v>
      </c>
      <c r="B399" s="44" t="s">
        <v>171</v>
      </c>
      <c r="C399" s="282">
        <f t="shared" si="7"/>
        <v>18985.09273</v>
      </c>
      <c r="D399" s="20">
        <v>18985092.73</v>
      </c>
      <c r="E399" s="22">
        <v>86505</v>
      </c>
      <c r="F399" s="48">
        <v>4223</v>
      </c>
      <c r="G399" s="45"/>
    </row>
    <row r="400" spans="1:7" x14ac:dyDescent="0.25">
      <c r="A400" s="43">
        <v>42178</v>
      </c>
      <c r="B400" s="44" t="s">
        <v>245</v>
      </c>
      <c r="C400" s="282">
        <f t="shared" si="7"/>
        <v>10777.64892</v>
      </c>
      <c r="D400" s="20">
        <v>10777648.92</v>
      </c>
      <c r="E400" s="22">
        <v>86505</v>
      </c>
      <c r="F400" s="48">
        <v>4223</v>
      </c>
      <c r="G400" s="45"/>
    </row>
    <row r="401" spans="1:7" x14ac:dyDescent="0.25">
      <c r="A401" s="43">
        <v>42242</v>
      </c>
      <c r="B401" s="44" t="s">
        <v>393</v>
      </c>
      <c r="C401" s="282">
        <f t="shared" si="7"/>
        <v>9577.3184600000004</v>
      </c>
      <c r="D401" s="20">
        <v>9577318.4600000009</v>
      </c>
      <c r="E401" s="22">
        <v>86505</v>
      </c>
      <c r="F401" s="48">
        <v>4223</v>
      </c>
      <c r="G401" s="45"/>
    </row>
    <row r="402" spans="1:7" x14ac:dyDescent="0.25">
      <c r="A402" s="43">
        <v>42290</v>
      </c>
      <c r="B402" s="44" t="s">
        <v>539</v>
      </c>
      <c r="C402" s="282">
        <f t="shared" si="7"/>
        <v>8424.082980000001</v>
      </c>
      <c r="D402" s="20">
        <v>8424082.9800000004</v>
      </c>
      <c r="E402" s="22">
        <v>86505</v>
      </c>
      <c r="F402" s="48">
        <v>4223</v>
      </c>
      <c r="G402" s="45"/>
    </row>
    <row r="403" spans="1:7" x14ac:dyDescent="0.25">
      <c r="A403" s="43">
        <v>42312</v>
      </c>
      <c r="B403" s="44" t="s">
        <v>602</v>
      </c>
      <c r="C403" s="282">
        <f t="shared" si="7"/>
        <v>9406.7392</v>
      </c>
      <c r="D403" s="20">
        <v>9406739.1999999993</v>
      </c>
      <c r="E403" s="22">
        <v>86505</v>
      </c>
      <c r="F403" s="48">
        <v>4223</v>
      </c>
      <c r="G403" s="45"/>
    </row>
    <row r="404" spans="1:7" x14ac:dyDescent="0.25">
      <c r="A404" s="43">
        <v>42324</v>
      </c>
      <c r="B404" s="44" t="s">
        <v>603</v>
      </c>
      <c r="C404" s="282">
        <f t="shared" si="7"/>
        <v>9908.8551700000007</v>
      </c>
      <c r="D404" s="20">
        <v>9908855.1699999999</v>
      </c>
      <c r="E404" s="22">
        <v>86505</v>
      </c>
      <c r="F404" s="48">
        <v>4223</v>
      </c>
      <c r="G404" s="45"/>
    </row>
    <row r="405" spans="1:7" x14ac:dyDescent="0.25">
      <c r="A405" s="43">
        <v>42324</v>
      </c>
      <c r="B405" s="44" t="s">
        <v>604</v>
      </c>
      <c r="C405" s="282">
        <f t="shared" si="7"/>
        <v>6220.0527199999997</v>
      </c>
      <c r="D405" s="20">
        <v>6220052.7199999997</v>
      </c>
      <c r="E405" s="22">
        <v>86505</v>
      </c>
      <c r="F405" s="48">
        <v>4223</v>
      </c>
      <c r="G405" s="45"/>
    </row>
    <row r="406" spans="1:7" x14ac:dyDescent="0.25">
      <c r="A406" s="43">
        <v>42331</v>
      </c>
      <c r="B406" s="44" t="s">
        <v>609</v>
      </c>
      <c r="C406" s="282">
        <f t="shared" si="7"/>
        <v>51656.28239</v>
      </c>
      <c r="D406" s="20">
        <v>51656282.390000001</v>
      </c>
      <c r="E406" s="22">
        <v>86505</v>
      </c>
      <c r="F406" s="48">
        <v>4223</v>
      </c>
      <c r="G406" s="45"/>
    </row>
    <row r="407" spans="1:7" x14ac:dyDescent="0.25">
      <c r="A407" s="43">
        <v>42348</v>
      </c>
      <c r="B407" s="44" t="s">
        <v>632</v>
      </c>
      <c r="C407" s="282">
        <f t="shared" si="7"/>
        <v>6308.3000700000002</v>
      </c>
      <c r="D407" s="20">
        <v>6308300.0700000003</v>
      </c>
      <c r="E407" s="22">
        <v>86505</v>
      </c>
      <c r="F407" s="48">
        <v>4223</v>
      </c>
      <c r="G407" s="45"/>
    </row>
    <row r="408" spans="1:7" x14ac:dyDescent="0.25">
      <c r="A408" s="43">
        <v>42348</v>
      </c>
      <c r="B408" s="44" t="s">
        <v>635</v>
      </c>
      <c r="C408" s="282">
        <f t="shared" si="7"/>
        <v>7372.81765</v>
      </c>
      <c r="D408" s="20">
        <v>7372817.6500000004</v>
      </c>
      <c r="E408" s="22">
        <v>86505</v>
      </c>
      <c r="F408" s="48">
        <v>4223</v>
      </c>
      <c r="G408" s="45"/>
    </row>
    <row r="409" spans="1:7" x14ac:dyDescent="0.25">
      <c r="A409" s="43"/>
      <c r="B409" s="466"/>
      <c r="C409" s="282"/>
      <c r="D409" s="20"/>
      <c r="E409" s="22"/>
      <c r="F409" s="48"/>
      <c r="G409" s="45"/>
    </row>
    <row r="410" spans="1:7" x14ac:dyDescent="0.25">
      <c r="A410" s="43"/>
      <c r="B410" s="293" t="s">
        <v>52</v>
      </c>
      <c r="C410" s="524">
        <f>+C411</f>
        <v>877</v>
      </c>
      <c r="D410" s="39">
        <f>+D411</f>
        <v>876199.86</v>
      </c>
      <c r="E410" s="22"/>
      <c r="F410" s="48"/>
      <c r="G410" s="45"/>
    </row>
    <row r="411" spans="1:7" x14ac:dyDescent="0.25">
      <c r="A411" s="43">
        <v>42174</v>
      </c>
      <c r="B411" s="44" t="s">
        <v>244</v>
      </c>
      <c r="C411" s="282">
        <v>877</v>
      </c>
      <c r="D411" s="20">
        <v>876199.86</v>
      </c>
      <c r="E411" s="22"/>
      <c r="F411" s="48">
        <v>4232</v>
      </c>
      <c r="G411" s="45"/>
    </row>
    <row r="412" spans="1:7" x14ac:dyDescent="0.25">
      <c r="A412" s="43"/>
      <c r="B412" s="276"/>
      <c r="C412" s="282"/>
      <c r="D412" s="424"/>
      <c r="E412" s="48"/>
      <c r="F412" s="48"/>
    </row>
    <row r="413" spans="1:7" x14ac:dyDescent="0.25">
      <c r="A413" s="43"/>
      <c r="B413" s="294" t="s">
        <v>55</v>
      </c>
      <c r="C413" s="493">
        <f>+C410+C393+C390+C387+C380+C347+C344+C316</f>
        <v>273026.6349</v>
      </c>
      <c r="D413" s="26">
        <f>+D410+D393+D390+D387+D380+D347+D344+D316</f>
        <v>273025834.76000005</v>
      </c>
      <c r="E413" s="71"/>
      <c r="F413" s="28"/>
    </row>
    <row r="414" spans="1:7" ht="16.5" thickBot="1" x14ac:dyDescent="0.3">
      <c r="A414" s="296"/>
      <c r="B414" s="297"/>
      <c r="C414" s="558"/>
      <c r="D414" s="74"/>
      <c r="E414" s="76"/>
      <c r="F414" s="76"/>
    </row>
    <row r="416" spans="1:7" ht="16.5" thickBot="1" x14ac:dyDescent="0.3">
      <c r="A416" s="307"/>
      <c r="B416" s="91"/>
      <c r="C416" s="579"/>
      <c r="D416" s="90"/>
      <c r="E416" s="92"/>
      <c r="F416" s="92"/>
    </row>
    <row r="417" spans="1:10" x14ac:dyDescent="0.25">
      <c r="A417" s="309"/>
      <c r="B417" s="310"/>
      <c r="C417" s="585"/>
      <c r="D417" s="4"/>
      <c r="E417" s="95"/>
      <c r="F417" s="165"/>
      <c r="G417" s="306"/>
      <c r="H417" s="269"/>
    </row>
    <row r="418" spans="1:10" ht="16.5" thickBot="1" x14ac:dyDescent="0.3">
      <c r="A418" s="309"/>
      <c r="B418" s="10" t="s">
        <v>56</v>
      </c>
      <c r="C418" s="484"/>
      <c r="D418" s="9" t="s">
        <v>4</v>
      </c>
      <c r="E418" s="95"/>
      <c r="F418" s="165"/>
      <c r="G418" s="306"/>
      <c r="H418" s="269"/>
    </row>
    <row r="419" spans="1:10" x14ac:dyDescent="0.25">
      <c r="A419" s="309"/>
      <c r="B419" s="313"/>
      <c r="C419" s="590"/>
      <c r="D419" s="361"/>
      <c r="E419" s="95"/>
      <c r="F419" s="165"/>
      <c r="G419" s="306"/>
      <c r="H419" s="269"/>
    </row>
    <row r="420" spans="1:10" x14ac:dyDescent="0.25">
      <c r="A420" s="314"/>
      <c r="B420" s="122" t="s">
        <v>57</v>
      </c>
      <c r="C420" s="541">
        <f>+C310</f>
        <v>227304.62220000001</v>
      </c>
      <c r="D420" s="358">
        <f>+D310</f>
        <v>227327640.29999998</v>
      </c>
      <c r="E420" s="95"/>
      <c r="F420" s="165"/>
      <c r="G420" s="306"/>
      <c r="H420" s="269"/>
    </row>
    <row r="421" spans="1:10" x14ac:dyDescent="0.25">
      <c r="A421" s="314"/>
      <c r="B421" s="122" t="s">
        <v>58</v>
      </c>
      <c r="C421" s="595">
        <f>+C413</f>
        <v>273026.6349</v>
      </c>
      <c r="D421" s="99">
        <f>+D413</f>
        <v>273025834.76000005</v>
      </c>
      <c r="E421" s="95"/>
      <c r="F421" s="165"/>
      <c r="G421" s="306"/>
      <c r="H421" s="269"/>
    </row>
    <row r="422" spans="1:10" x14ac:dyDescent="0.25">
      <c r="A422" s="314"/>
      <c r="B422" s="122"/>
      <c r="C422" s="594"/>
      <c r="D422" s="358"/>
      <c r="E422" s="95"/>
      <c r="F422" s="165"/>
      <c r="G422" s="306"/>
      <c r="H422" s="269"/>
    </row>
    <row r="423" spans="1:10" x14ac:dyDescent="0.25">
      <c r="A423" s="314"/>
      <c r="B423" s="317" t="s">
        <v>59</v>
      </c>
      <c r="C423" s="493">
        <f>SUM(C420:C421)</f>
        <v>500331.25710000005</v>
      </c>
      <c r="D423" s="26">
        <f>SUM(D420:D421)</f>
        <v>500353475.06000006</v>
      </c>
      <c r="E423" s="95"/>
      <c r="F423" s="165"/>
      <c r="G423" s="45"/>
      <c r="H423" s="269"/>
    </row>
    <row r="424" spans="1:10" ht="16.5" thickBot="1" x14ac:dyDescent="0.3">
      <c r="A424" s="314"/>
      <c r="B424" s="318"/>
      <c r="C424" s="599"/>
      <c r="D424" s="103"/>
      <c r="E424" s="100"/>
      <c r="F424" s="80"/>
      <c r="G424" s="45"/>
      <c r="H424" s="269"/>
    </row>
    <row r="425" spans="1:10" x14ac:dyDescent="0.25">
      <c r="D425" s="362"/>
      <c r="E425" s="1"/>
      <c r="F425" s="2"/>
      <c r="H425" s="269"/>
    </row>
    <row r="426" spans="1:10" ht="16.5" thickBot="1" x14ac:dyDescent="0.3">
      <c r="B426" s="321"/>
      <c r="C426" s="606"/>
      <c r="D426" s="131"/>
      <c r="E426" s="87"/>
      <c r="F426" s="87"/>
      <c r="H426" s="269"/>
    </row>
    <row r="427" spans="1:10" ht="16.5" thickBot="1" x14ac:dyDescent="0.3">
      <c r="B427" s="651" t="s">
        <v>79</v>
      </c>
      <c r="C427" s="652"/>
      <c r="D427" s="653" t="s">
        <v>80</v>
      </c>
      <c r="E427" s="1"/>
      <c r="F427" s="1"/>
      <c r="G427" s="1"/>
      <c r="H427" s="1"/>
    </row>
    <row r="428" spans="1:10" s="329" customFormat="1" x14ac:dyDescent="0.25">
      <c r="A428" s="325"/>
      <c r="B428" s="649">
        <v>4111</v>
      </c>
      <c r="C428" s="661"/>
      <c r="D428" s="654"/>
      <c r="E428" s="1"/>
      <c r="F428" s="1"/>
      <c r="G428" s="1"/>
      <c r="H428" s="1"/>
      <c r="I428" s="45"/>
      <c r="J428" s="45"/>
    </row>
    <row r="429" spans="1:10" x14ac:dyDescent="0.25">
      <c r="B429" s="650">
        <v>4113</v>
      </c>
      <c r="C429" s="662">
        <v>121190.54</v>
      </c>
      <c r="D429" s="655">
        <v>121190.54</v>
      </c>
      <c r="E429" s="1"/>
      <c r="F429" s="1"/>
      <c r="G429" s="1"/>
      <c r="H429" s="1"/>
    </row>
    <row r="430" spans="1:10" x14ac:dyDescent="0.25">
      <c r="B430" s="650">
        <v>4116</v>
      </c>
      <c r="C430" s="662">
        <v>112369765.47</v>
      </c>
      <c r="D430" s="655">
        <v>112369765.47</v>
      </c>
      <c r="E430" s="1"/>
      <c r="F430" s="1"/>
      <c r="G430" s="1"/>
      <c r="H430" s="1"/>
    </row>
    <row r="431" spans="1:10" x14ac:dyDescent="0.25">
      <c r="B431" s="650">
        <v>4119</v>
      </c>
      <c r="C431" s="662"/>
      <c r="D431" s="655">
        <v>0</v>
      </c>
      <c r="E431" s="1"/>
      <c r="F431" s="1"/>
      <c r="G431" s="1"/>
      <c r="H431" s="1"/>
    </row>
    <row r="432" spans="1:10" x14ac:dyDescent="0.25">
      <c r="B432" s="650">
        <v>4122</v>
      </c>
      <c r="C432" s="662">
        <v>109066457.84</v>
      </c>
      <c r="D432" s="655">
        <v>109066457.84</v>
      </c>
      <c r="E432" s="1"/>
      <c r="F432" s="1"/>
      <c r="G432" s="1"/>
      <c r="H432" s="1"/>
    </row>
    <row r="433" spans="2:8" x14ac:dyDescent="0.25">
      <c r="B433" s="650">
        <v>4123</v>
      </c>
      <c r="C433" s="662">
        <v>3370208.35</v>
      </c>
      <c r="D433" s="655">
        <v>3370208.35</v>
      </c>
      <c r="E433" s="1"/>
      <c r="F433" s="1"/>
      <c r="G433" s="1"/>
      <c r="H433" s="1"/>
    </row>
    <row r="434" spans="2:8" x14ac:dyDescent="0.25">
      <c r="B434" s="650">
        <v>4151</v>
      </c>
      <c r="C434" s="662"/>
      <c r="D434" s="655"/>
      <c r="E434" s="1"/>
      <c r="F434" s="1"/>
      <c r="G434" s="1"/>
      <c r="H434" s="1"/>
    </row>
    <row r="435" spans="2:8" x14ac:dyDescent="0.25">
      <c r="B435" s="650">
        <v>4152</v>
      </c>
      <c r="C435" s="662">
        <v>2377000</v>
      </c>
      <c r="D435" s="655">
        <v>2400018.1</v>
      </c>
      <c r="E435" s="1"/>
      <c r="F435" s="1"/>
      <c r="G435" s="1"/>
      <c r="H435" s="1"/>
    </row>
    <row r="436" spans="2:8" x14ac:dyDescent="0.25">
      <c r="B436" s="650">
        <v>4213</v>
      </c>
      <c r="C436" s="662">
        <v>2090596.8</v>
      </c>
      <c r="D436" s="655">
        <v>2090596.8</v>
      </c>
      <c r="E436" s="1"/>
      <c r="F436" s="1"/>
      <c r="G436" s="1"/>
      <c r="H436" s="1"/>
    </row>
    <row r="437" spans="2:8" x14ac:dyDescent="0.25">
      <c r="B437" s="650">
        <v>4216</v>
      </c>
      <c r="C437" s="662">
        <v>78874087.709999993</v>
      </c>
      <c r="D437" s="655">
        <v>78874087.709999993</v>
      </c>
      <c r="E437" s="1"/>
      <c r="F437" s="1"/>
      <c r="G437" s="1"/>
      <c r="H437" s="1"/>
    </row>
    <row r="438" spans="2:8" x14ac:dyDescent="0.25">
      <c r="B438" s="650">
        <v>4222</v>
      </c>
      <c r="C438" s="662">
        <v>218955.8</v>
      </c>
      <c r="D438" s="655">
        <v>218955.8</v>
      </c>
      <c r="E438" s="1"/>
      <c r="F438" s="1"/>
      <c r="G438" s="1"/>
      <c r="H438" s="1"/>
    </row>
    <row r="439" spans="2:8" x14ac:dyDescent="0.25">
      <c r="B439" s="650">
        <v>4223</v>
      </c>
      <c r="C439" s="662">
        <v>190965994.59</v>
      </c>
      <c r="D439" s="655">
        <v>190965994.59</v>
      </c>
      <c r="E439" s="1"/>
      <c r="F439" s="1"/>
      <c r="G439" s="1"/>
      <c r="H439" s="1"/>
    </row>
    <row r="440" spans="2:8" x14ac:dyDescent="0.25">
      <c r="B440" s="650">
        <v>4232</v>
      </c>
      <c r="C440" s="662">
        <v>877000</v>
      </c>
      <c r="D440" s="655">
        <v>876199.86</v>
      </c>
      <c r="E440" s="1"/>
      <c r="F440" s="1"/>
      <c r="G440" s="1"/>
      <c r="H440" s="1"/>
    </row>
    <row r="441" spans="2:8" ht="16.5" thickBot="1" x14ac:dyDescent="0.3">
      <c r="B441" s="656"/>
      <c r="C441" s="657">
        <f t="shared" ref="C441:D441" si="8">+SUM(C428:C440)</f>
        <v>500331257.10000002</v>
      </c>
      <c r="D441" s="657">
        <f t="shared" si="8"/>
        <v>500353475.06000006</v>
      </c>
      <c r="E441" s="1"/>
      <c r="F441" s="1"/>
      <c r="G441" s="1"/>
      <c r="H441" s="1"/>
    </row>
    <row r="442" spans="2:8" ht="16.5" thickBot="1" x14ac:dyDescent="0.3">
      <c r="B442" s="658" t="s">
        <v>681</v>
      </c>
      <c r="C442" s="660">
        <f>+C423*1000-C441</f>
        <v>0</v>
      </c>
      <c r="D442" s="659">
        <f>+D423-D441</f>
        <v>0</v>
      </c>
      <c r="E442" s="1"/>
      <c r="F442" s="1"/>
      <c r="G442" s="1"/>
      <c r="H442" s="1"/>
    </row>
    <row r="444" spans="2:8" x14ac:dyDescent="0.25">
      <c r="B444" s="337"/>
      <c r="C444" s="629"/>
      <c r="D444" s="364"/>
      <c r="E444" s="364"/>
      <c r="F444" s="364"/>
      <c r="G444" s="338"/>
      <c r="H444" s="337"/>
    </row>
    <row r="445" spans="2:8" x14ac:dyDescent="0.25">
      <c r="B445" s="337"/>
      <c r="C445" s="629"/>
      <c r="D445" s="364"/>
      <c r="E445" s="364"/>
      <c r="F445" s="364"/>
      <c r="G445" s="337"/>
      <c r="H445" s="338"/>
    </row>
    <row r="446" spans="2:8" x14ac:dyDescent="0.25">
      <c r="B446" s="337"/>
      <c r="C446" s="629"/>
      <c r="D446" s="364"/>
      <c r="E446" s="364"/>
      <c r="F446" s="364"/>
      <c r="G446" s="338"/>
    </row>
    <row r="447" spans="2:8" x14ac:dyDescent="0.25">
      <c r="B447" s="337"/>
      <c r="C447" s="629"/>
      <c r="D447" s="364"/>
      <c r="E447" s="364"/>
      <c r="F447" s="364"/>
      <c r="G447" s="338"/>
    </row>
    <row r="448" spans="2:8" x14ac:dyDescent="0.25">
      <c r="B448" s="337"/>
      <c r="C448" s="629"/>
      <c r="D448" s="364"/>
      <c r="E448" s="364"/>
      <c r="F448" s="364"/>
      <c r="G448" s="338"/>
    </row>
    <row r="449" spans="2:8" x14ac:dyDescent="0.25">
      <c r="B449" s="337"/>
      <c r="C449" s="629"/>
      <c r="D449" s="364"/>
      <c r="E449" s="364"/>
      <c r="F449" s="364"/>
      <c r="G449" s="338"/>
      <c r="H449" s="337"/>
    </row>
    <row r="450" spans="2:8" x14ac:dyDescent="0.25">
      <c r="B450" s="337"/>
      <c r="C450" s="629"/>
      <c r="D450" s="364"/>
      <c r="E450" s="364"/>
      <c r="F450" s="364"/>
      <c r="G450" s="338"/>
      <c r="H450" s="337"/>
    </row>
    <row r="451" spans="2:8" x14ac:dyDescent="0.25">
      <c r="B451" s="337"/>
      <c r="C451" s="629"/>
      <c r="D451" s="364"/>
      <c r="E451" s="364"/>
      <c r="F451" s="364"/>
      <c r="G451" s="337"/>
      <c r="H451" s="337"/>
    </row>
    <row r="452" spans="2:8" x14ac:dyDescent="0.25">
      <c r="B452" s="337"/>
      <c r="C452" s="629"/>
      <c r="D452" s="364"/>
      <c r="E452" s="364"/>
      <c r="F452" s="364"/>
      <c r="G452" s="338"/>
      <c r="H452" s="337"/>
    </row>
    <row r="453" spans="2:8" x14ac:dyDescent="0.25">
      <c r="B453" s="337"/>
      <c r="C453" s="629"/>
      <c r="D453" s="364"/>
      <c r="E453" s="438"/>
      <c r="F453" s="364"/>
      <c r="G453" s="338"/>
      <c r="H453" s="337"/>
    </row>
    <row r="454" spans="2:8" x14ac:dyDescent="0.25">
      <c r="B454" s="337"/>
      <c r="C454" s="629"/>
      <c r="D454" s="364"/>
      <c r="E454" s="438"/>
      <c r="F454" s="364"/>
      <c r="G454" s="338"/>
      <c r="H454" s="337"/>
    </row>
    <row r="455" spans="2:8" x14ac:dyDescent="0.25">
      <c r="B455" s="337"/>
      <c r="C455" s="629"/>
      <c r="D455" s="365"/>
      <c r="E455" s="438"/>
      <c r="F455" s="364"/>
      <c r="G455" s="338"/>
      <c r="H455" s="337"/>
    </row>
    <row r="456" spans="2:8" x14ac:dyDescent="0.25">
      <c r="B456" s="337"/>
      <c r="C456" s="629"/>
      <c r="D456" s="365"/>
      <c r="E456" s="438"/>
      <c r="F456" s="364"/>
      <c r="G456" s="338"/>
      <c r="H456" s="337"/>
    </row>
    <row r="457" spans="2:8" x14ac:dyDescent="0.25">
      <c r="B457" s="337"/>
      <c r="C457" s="629"/>
      <c r="D457" s="365"/>
      <c r="E457" s="438"/>
      <c r="F457" s="364"/>
      <c r="G457" s="338"/>
      <c r="H457" s="337"/>
    </row>
    <row r="458" spans="2:8" x14ac:dyDescent="0.25">
      <c r="B458" s="337"/>
      <c r="C458" s="629"/>
      <c r="D458" s="365"/>
      <c r="E458" s="438"/>
      <c r="F458" s="364"/>
      <c r="G458" s="338"/>
      <c r="H458" s="337"/>
    </row>
    <row r="459" spans="2:8" x14ac:dyDescent="0.25">
      <c r="B459" s="337"/>
      <c r="C459" s="629"/>
      <c r="D459" s="365"/>
      <c r="E459" s="438"/>
      <c r="F459" s="364"/>
      <c r="G459" s="338"/>
      <c r="H459" s="337"/>
    </row>
    <row r="460" spans="2:8" x14ac:dyDescent="0.25">
      <c r="B460" s="337"/>
      <c r="C460" s="629"/>
      <c r="D460" s="365"/>
      <c r="E460" s="438"/>
      <c r="F460" s="365"/>
      <c r="G460" s="338"/>
      <c r="H460" s="337"/>
    </row>
    <row r="461" spans="2:8" x14ac:dyDescent="0.25">
      <c r="B461" s="337"/>
      <c r="C461" s="629"/>
      <c r="D461" s="365"/>
      <c r="E461" s="438"/>
      <c r="F461" s="364"/>
      <c r="G461" s="338"/>
      <c r="H461" s="337"/>
    </row>
    <row r="462" spans="2:8" x14ac:dyDescent="0.25">
      <c r="B462" s="337"/>
      <c r="C462" s="629"/>
      <c r="D462" s="365"/>
      <c r="E462" s="438"/>
      <c r="F462" s="364"/>
      <c r="G462" s="338"/>
      <c r="H462" s="337"/>
    </row>
    <row r="463" spans="2:8" x14ac:dyDescent="0.25">
      <c r="B463" s="337"/>
      <c r="C463" s="629"/>
      <c r="D463" s="365"/>
      <c r="E463" s="438"/>
      <c r="F463" s="364"/>
      <c r="G463" s="338"/>
      <c r="H463" s="337"/>
    </row>
    <row r="464" spans="2:8" x14ac:dyDescent="0.25">
      <c r="B464" s="337"/>
      <c r="C464" s="629"/>
      <c r="D464" s="365"/>
      <c r="E464" s="438"/>
      <c r="F464" s="365"/>
      <c r="G464" s="337"/>
      <c r="H464" s="337"/>
    </row>
    <row r="465" spans="2:8" x14ac:dyDescent="0.25">
      <c r="B465" s="337"/>
      <c r="C465" s="629"/>
      <c r="D465" s="365"/>
      <c r="E465" s="438"/>
      <c r="F465" s="364"/>
      <c r="G465" s="337"/>
      <c r="H465" s="337"/>
    </row>
    <row r="466" spans="2:8" x14ac:dyDescent="0.25">
      <c r="B466" s="337"/>
      <c r="C466" s="629"/>
      <c r="D466" s="365"/>
      <c r="E466" s="438"/>
      <c r="F466" s="364"/>
      <c r="G466" s="338"/>
      <c r="H466" s="337"/>
    </row>
    <row r="467" spans="2:8" x14ac:dyDescent="0.25">
      <c r="B467" s="337"/>
      <c r="C467" s="629"/>
      <c r="D467" s="365"/>
      <c r="E467" s="438"/>
      <c r="F467" s="364"/>
      <c r="G467" s="338"/>
      <c r="H467" s="337"/>
    </row>
    <row r="468" spans="2:8" x14ac:dyDescent="0.25">
      <c r="B468" s="337"/>
      <c r="C468" s="629"/>
      <c r="D468" s="365"/>
      <c r="E468" s="438"/>
      <c r="F468" s="365"/>
      <c r="G468" s="338"/>
      <c r="H468" s="337"/>
    </row>
    <row r="469" spans="2:8" x14ac:dyDescent="0.25">
      <c r="B469" s="337"/>
      <c r="C469" s="629"/>
      <c r="D469" s="365"/>
      <c r="E469" s="438"/>
      <c r="F469" s="365"/>
      <c r="G469" s="338"/>
      <c r="H469" s="337"/>
    </row>
    <row r="470" spans="2:8" x14ac:dyDescent="0.25">
      <c r="B470" s="337"/>
      <c r="C470" s="629"/>
      <c r="D470" s="365"/>
      <c r="E470" s="364"/>
      <c r="F470" s="364"/>
      <c r="G470" s="338"/>
      <c r="H470" s="337"/>
    </row>
    <row r="471" spans="2:8" x14ac:dyDescent="0.25">
      <c r="B471" s="337"/>
      <c r="C471" s="629"/>
      <c r="D471" s="365"/>
      <c r="E471" s="365"/>
      <c r="F471" s="365"/>
      <c r="G471" s="338"/>
      <c r="H471" s="337"/>
    </row>
    <row r="472" spans="2:8" x14ac:dyDescent="0.25">
      <c r="B472" s="337"/>
      <c r="C472" s="629"/>
      <c r="D472" s="365"/>
      <c r="E472" s="365"/>
      <c r="F472" s="365"/>
      <c r="G472" s="337"/>
      <c r="H472" s="337"/>
    </row>
    <row r="473" spans="2:8" x14ac:dyDescent="0.25">
      <c r="B473" s="337"/>
      <c r="C473" s="629"/>
      <c r="D473" s="365"/>
      <c r="E473" s="365"/>
      <c r="F473" s="365"/>
      <c r="G473" s="337"/>
      <c r="H473" s="337"/>
    </row>
    <row r="474" spans="2:8" x14ac:dyDescent="0.25">
      <c r="B474" s="337"/>
      <c r="C474" s="629"/>
      <c r="D474" s="365"/>
      <c r="E474" s="365"/>
      <c r="F474" s="365"/>
      <c r="G474" s="338"/>
      <c r="H474" s="337"/>
    </row>
    <row r="475" spans="2:8" x14ac:dyDescent="0.25">
      <c r="B475" s="337"/>
      <c r="C475" s="629"/>
      <c r="D475" s="365"/>
      <c r="E475" s="365"/>
      <c r="F475" s="365"/>
      <c r="G475" s="337"/>
      <c r="H475" s="337"/>
    </row>
    <row r="476" spans="2:8" x14ac:dyDescent="0.25">
      <c r="B476" s="337"/>
      <c r="C476" s="629"/>
      <c r="D476" s="365"/>
      <c r="E476" s="365"/>
      <c r="F476" s="365"/>
      <c r="G476" s="337"/>
      <c r="H476" s="337"/>
    </row>
    <row r="513" spans="1:8" x14ac:dyDescent="0.25">
      <c r="A513" s="339"/>
      <c r="B513" s="340"/>
      <c r="C513" s="638"/>
      <c r="D513" s="191"/>
      <c r="E513" s="192"/>
      <c r="F513" s="193"/>
      <c r="G513" s="341"/>
      <c r="H513" s="194"/>
    </row>
    <row r="514" spans="1:8" x14ac:dyDescent="0.25">
      <c r="A514" s="339"/>
      <c r="B514" s="340"/>
      <c r="C514" s="638"/>
      <c r="D514" s="191"/>
      <c r="E514" s="192"/>
      <c r="F514" s="193"/>
      <c r="G514" s="341"/>
      <c r="H514" s="194"/>
    </row>
    <row r="515" spans="1:8" x14ac:dyDescent="0.25">
      <c r="A515" s="339"/>
      <c r="B515" s="340"/>
      <c r="C515" s="638"/>
      <c r="D515" s="191"/>
      <c r="E515" s="192"/>
      <c r="F515" s="193"/>
      <c r="G515" s="341"/>
      <c r="H515" s="194"/>
    </row>
    <row r="516" spans="1:8" x14ac:dyDescent="0.25">
      <c r="A516" s="339"/>
      <c r="B516" s="340"/>
      <c r="C516" s="638"/>
      <c r="D516" s="191"/>
      <c r="E516" s="192"/>
      <c r="F516" s="193"/>
      <c r="G516" s="341"/>
      <c r="H516" s="194"/>
    </row>
    <row r="517" spans="1:8" x14ac:dyDescent="0.25">
      <c r="A517" s="339"/>
      <c r="B517" s="340"/>
      <c r="C517" s="638"/>
      <c r="D517" s="191"/>
      <c r="E517" s="192"/>
      <c r="F517" s="193"/>
      <c r="G517" s="341"/>
      <c r="H517" s="194"/>
    </row>
    <row r="518" spans="1:8" x14ac:dyDescent="0.25">
      <c r="A518" s="339"/>
      <c r="B518" s="340"/>
      <c r="C518" s="638"/>
      <c r="D518" s="191"/>
      <c r="E518" s="192"/>
      <c r="F518" s="193"/>
      <c r="G518" s="341"/>
      <c r="H518" s="194"/>
    </row>
    <row r="519" spans="1:8" x14ac:dyDescent="0.25">
      <c r="A519" s="339"/>
      <c r="B519" s="340"/>
      <c r="C519" s="638"/>
      <c r="D519" s="191"/>
      <c r="E519" s="192"/>
      <c r="F519" s="193"/>
      <c r="G519" s="341"/>
      <c r="H519" s="194"/>
    </row>
    <row r="520" spans="1:8" x14ac:dyDescent="0.25">
      <c r="A520" s="339"/>
      <c r="B520" s="340"/>
      <c r="C520" s="638"/>
      <c r="D520" s="191"/>
      <c r="E520" s="192"/>
      <c r="F520" s="193"/>
      <c r="G520" s="341"/>
      <c r="H520" s="194"/>
    </row>
    <row r="521" spans="1:8" x14ac:dyDescent="0.25">
      <c r="A521" s="339"/>
      <c r="B521" s="340"/>
      <c r="C521" s="638"/>
      <c r="D521" s="191"/>
      <c r="E521" s="192"/>
      <c r="F521" s="193"/>
      <c r="G521" s="341"/>
      <c r="H521" s="194"/>
    </row>
    <row r="522" spans="1:8" x14ac:dyDescent="0.25">
      <c r="A522" s="339"/>
      <c r="B522" s="340"/>
      <c r="C522" s="638"/>
      <c r="D522" s="191"/>
      <c r="E522" s="192"/>
      <c r="F522" s="193"/>
      <c r="G522" s="341"/>
      <c r="H522" s="194"/>
    </row>
    <row r="523" spans="1:8" x14ac:dyDescent="0.25">
      <c r="A523" s="339"/>
      <c r="B523" s="340"/>
      <c r="C523" s="638"/>
      <c r="D523" s="191"/>
      <c r="E523" s="192"/>
      <c r="F523" s="193"/>
      <c r="G523" s="341"/>
      <c r="H523" s="194"/>
    </row>
    <row r="524" spans="1:8" x14ac:dyDescent="0.25">
      <c r="A524" s="339"/>
      <c r="B524" s="340"/>
      <c r="C524" s="638"/>
      <c r="D524" s="191"/>
      <c r="E524" s="192"/>
      <c r="F524" s="193"/>
      <c r="G524" s="341"/>
      <c r="H524" s="194"/>
    </row>
    <row r="525" spans="1:8" x14ac:dyDescent="0.25">
      <c r="A525" s="339"/>
      <c r="B525" s="340"/>
      <c r="C525" s="638"/>
      <c r="D525" s="191"/>
      <c r="E525" s="192"/>
      <c r="F525" s="193"/>
      <c r="G525" s="341"/>
      <c r="H525" s="194"/>
    </row>
    <row r="526" spans="1:8" x14ac:dyDescent="0.25">
      <c r="A526" s="339"/>
      <c r="B526" s="340"/>
      <c r="C526" s="638"/>
      <c r="D526" s="191"/>
      <c r="E526" s="192"/>
      <c r="F526" s="193"/>
      <c r="G526" s="341"/>
      <c r="H526" s="194"/>
    </row>
    <row r="527" spans="1:8" x14ac:dyDescent="0.25">
      <c r="A527" s="339"/>
      <c r="B527" s="340"/>
      <c r="C527" s="638"/>
      <c r="D527" s="191"/>
      <c r="E527" s="192"/>
      <c r="F527" s="193"/>
      <c r="G527" s="341"/>
      <c r="H527" s="194"/>
    </row>
    <row r="528" spans="1:8" x14ac:dyDescent="0.25">
      <c r="A528" s="339"/>
      <c r="B528" s="340"/>
      <c r="C528" s="638"/>
      <c r="D528" s="191"/>
      <c r="E528" s="192"/>
      <c r="F528" s="193"/>
      <c r="G528" s="341"/>
      <c r="H528" s="194"/>
    </row>
    <row r="529" spans="1:8" x14ac:dyDescent="0.25">
      <c r="A529" s="339"/>
      <c r="B529" s="340"/>
      <c r="C529" s="638"/>
      <c r="D529" s="191"/>
      <c r="E529" s="192"/>
      <c r="F529" s="193"/>
      <c r="G529" s="341"/>
      <c r="H529" s="194"/>
    </row>
    <row r="530" spans="1:8" x14ac:dyDescent="0.25">
      <c r="A530" s="339"/>
      <c r="B530" s="340"/>
      <c r="C530" s="638"/>
      <c r="D530" s="191"/>
      <c r="E530" s="192"/>
      <c r="F530" s="193"/>
      <c r="G530" s="341"/>
      <c r="H530" s="194"/>
    </row>
    <row r="531" spans="1:8" x14ac:dyDescent="0.25">
      <c r="A531" s="339"/>
      <c r="B531" s="340"/>
      <c r="C531" s="638"/>
      <c r="D531" s="191"/>
      <c r="E531" s="192"/>
      <c r="F531" s="193"/>
      <c r="G531" s="341"/>
      <c r="H531" s="194"/>
    </row>
    <row r="532" spans="1:8" x14ac:dyDescent="0.25">
      <c r="A532" s="339"/>
      <c r="B532" s="340"/>
      <c r="C532" s="638"/>
      <c r="D532" s="191"/>
      <c r="E532" s="192"/>
      <c r="F532" s="193"/>
      <c r="G532" s="341"/>
      <c r="H532" s="194"/>
    </row>
    <row r="533" spans="1:8" x14ac:dyDescent="0.25">
      <c r="A533" s="339"/>
      <c r="B533" s="340"/>
      <c r="C533" s="638"/>
      <c r="D533" s="191"/>
      <c r="E533" s="192"/>
      <c r="F533" s="193"/>
      <c r="G533" s="341"/>
      <c r="H533" s="194"/>
    </row>
    <row r="534" spans="1:8" x14ac:dyDescent="0.25">
      <c r="A534" s="339"/>
      <c r="B534" s="340"/>
      <c r="C534" s="638"/>
      <c r="D534" s="191"/>
      <c r="E534" s="192"/>
      <c r="F534" s="193"/>
      <c r="G534" s="341"/>
      <c r="H534" s="194"/>
    </row>
    <row r="535" spans="1:8" x14ac:dyDescent="0.25">
      <c r="A535" s="339"/>
      <c r="B535" s="340"/>
      <c r="C535" s="638"/>
      <c r="D535" s="191"/>
      <c r="E535" s="192"/>
      <c r="F535" s="193"/>
      <c r="G535" s="341"/>
      <c r="H535" s="194"/>
    </row>
    <row r="536" spans="1:8" x14ac:dyDescent="0.25">
      <c r="A536" s="339"/>
      <c r="B536" s="340"/>
      <c r="C536" s="638"/>
      <c r="D536" s="191"/>
      <c r="E536" s="192"/>
      <c r="F536" s="193"/>
      <c r="G536" s="341"/>
      <c r="H536" s="194"/>
    </row>
    <row r="537" spans="1:8" x14ac:dyDescent="0.25">
      <c r="A537" s="339"/>
      <c r="B537" s="340"/>
      <c r="C537" s="638"/>
      <c r="D537" s="191"/>
      <c r="E537" s="192"/>
      <c r="F537" s="193"/>
      <c r="G537" s="341"/>
      <c r="H537" s="194"/>
    </row>
    <row r="538" spans="1:8" x14ac:dyDescent="0.25">
      <c r="A538" s="339"/>
      <c r="B538" s="340"/>
      <c r="C538" s="638"/>
      <c r="D538" s="191"/>
      <c r="E538" s="192"/>
      <c r="F538" s="193"/>
      <c r="G538" s="341"/>
      <c r="H538" s="194"/>
    </row>
    <row r="539" spans="1:8" x14ac:dyDescent="0.25">
      <c r="A539" s="339"/>
      <c r="B539" s="340"/>
      <c r="C539" s="638"/>
      <c r="D539" s="191"/>
      <c r="E539" s="192"/>
      <c r="F539" s="193"/>
      <c r="G539" s="341"/>
      <c r="H539" s="194"/>
    </row>
    <row r="540" spans="1:8" x14ac:dyDescent="0.25">
      <c r="A540" s="339"/>
      <c r="B540" s="340"/>
      <c r="C540" s="638"/>
      <c r="D540" s="191"/>
      <c r="E540" s="192"/>
      <c r="F540" s="193"/>
      <c r="G540" s="341"/>
      <c r="H540" s="194"/>
    </row>
    <row r="541" spans="1:8" x14ac:dyDescent="0.25">
      <c r="A541" s="339"/>
      <c r="B541" s="340"/>
      <c r="C541" s="638"/>
      <c r="D541" s="191"/>
      <c r="E541" s="192"/>
      <c r="F541" s="193"/>
      <c r="G541" s="341"/>
      <c r="H541" s="194"/>
    </row>
    <row r="542" spans="1:8" x14ac:dyDescent="0.25">
      <c r="A542" s="339"/>
      <c r="B542" s="340"/>
      <c r="C542" s="638"/>
      <c r="D542" s="191"/>
      <c r="E542" s="192"/>
      <c r="F542" s="193"/>
      <c r="G542" s="341"/>
      <c r="H542" s="194"/>
    </row>
    <row r="543" spans="1:8" x14ac:dyDescent="0.25">
      <c r="A543" s="339"/>
      <c r="B543" s="340"/>
      <c r="C543" s="638"/>
      <c r="D543" s="191"/>
      <c r="E543" s="192"/>
      <c r="F543" s="193"/>
      <c r="G543" s="341"/>
      <c r="H543" s="194"/>
    </row>
    <row r="544" spans="1:8" x14ac:dyDescent="0.25">
      <c r="A544" s="339"/>
      <c r="B544" s="340"/>
      <c r="C544" s="638"/>
      <c r="D544" s="191"/>
      <c r="E544" s="192"/>
      <c r="F544" s="193"/>
      <c r="G544" s="341"/>
      <c r="H544" s="194"/>
    </row>
    <row r="545" spans="1:8" x14ac:dyDescent="0.25">
      <c r="A545" s="339"/>
      <c r="B545" s="340"/>
      <c r="C545" s="638"/>
      <c r="D545" s="191"/>
      <c r="E545" s="192"/>
      <c r="F545" s="193"/>
      <c r="G545" s="341"/>
      <c r="H545" s="194"/>
    </row>
    <row r="546" spans="1:8" x14ac:dyDescent="0.25">
      <c r="A546" s="339"/>
      <c r="B546" s="340"/>
      <c r="C546" s="638"/>
      <c r="D546" s="191"/>
      <c r="E546" s="192"/>
      <c r="F546" s="193"/>
      <c r="G546" s="341"/>
      <c r="H546" s="194"/>
    </row>
    <row r="547" spans="1:8" x14ac:dyDescent="0.25">
      <c r="A547" s="339"/>
      <c r="B547" s="340"/>
      <c r="C547" s="638"/>
      <c r="D547" s="191"/>
      <c r="E547" s="192"/>
      <c r="F547" s="193"/>
      <c r="G547" s="341"/>
      <c r="H547" s="194"/>
    </row>
    <row r="548" spans="1:8" x14ac:dyDescent="0.25">
      <c r="A548" s="339"/>
      <c r="B548" s="340"/>
      <c r="C548" s="638"/>
      <c r="D548" s="191"/>
      <c r="E548" s="192"/>
      <c r="F548" s="193"/>
      <c r="G548" s="341"/>
      <c r="H548" s="194"/>
    </row>
    <row r="549" spans="1:8" x14ac:dyDescent="0.25">
      <c r="A549" s="339"/>
      <c r="B549" s="340"/>
      <c r="C549" s="638"/>
      <c r="D549" s="191"/>
      <c r="E549" s="192"/>
      <c r="F549" s="193"/>
      <c r="G549" s="341"/>
      <c r="H549" s="194"/>
    </row>
    <row r="550" spans="1:8" x14ac:dyDescent="0.25">
      <c r="A550" s="339"/>
      <c r="B550" s="340"/>
      <c r="C550" s="638"/>
      <c r="D550" s="191"/>
      <c r="E550" s="192"/>
      <c r="F550" s="193"/>
      <c r="G550" s="341"/>
      <c r="H550" s="194"/>
    </row>
    <row r="551" spans="1:8" x14ac:dyDescent="0.25">
      <c r="A551" s="339"/>
      <c r="B551" s="340"/>
      <c r="C551" s="638"/>
      <c r="D551" s="191"/>
      <c r="E551" s="192"/>
      <c r="F551" s="193"/>
      <c r="G551" s="341"/>
      <c r="H551" s="194"/>
    </row>
    <row r="552" spans="1:8" x14ac:dyDescent="0.25">
      <c r="A552" s="339"/>
      <c r="B552" s="340"/>
      <c r="C552" s="638"/>
      <c r="D552" s="191"/>
      <c r="E552" s="192"/>
      <c r="F552" s="193"/>
      <c r="G552" s="341"/>
      <c r="H552" s="194"/>
    </row>
    <row r="553" spans="1:8" x14ac:dyDescent="0.25">
      <c r="A553" s="339"/>
      <c r="B553" s="340"/>
      <c r="C553" s="638"/>
      <c r="D553" s="191"/>
      <c r="E553" s="192"/>
      <c r="F553" s="193"/>
      <c r="G553" s="341"/>
      <c r="H553" s="194"/>
    </row>
    <row r="554" spans="1:8" x14ac:dyDescent="0.25">
      <c r="A554" s="339"/>
      <c r="B554" s="340"/>
      <c r="C554" s="638"/>
      <c r="D554" s="191"/>
      <c r="E554" s="192"/>
      <c r="F554" s="193"/>
      <c r="G554" s="341"/>
      <c r="H554" s="194"/>
    </row>
    <row r="555" spans="1:8" x14ac:dyDescent="0.25">
      <c r="A555" s="339"/>
      <c r="B555" s="340"/>
      <c r="C555" s="638"/>
      <c r="D555" s="191"/>
      <c r="E555" s="192"/>
      <c r="F555" s="193"/>
      <c r="G555" s="341"/>
      <c r="H555" s="194"/>
    </row>
    <row r="556" spans="1:8" x14ac:dyDescent="0.25">
      <c r="A556" s="339"/>
      <c r="B556" s="340"/>
      <c r="C556" s="638"/>
      <c r="D556" s="191"/>
      <c r="E556" s="192"/>
      <c r="F556" s="193"/>
      <c r="G556" s="341"/>
      <c r="H556" s="194"/>
    </row>
    <row r="557" spans="1:8" x14ac:dyDescent="0.25">
      <c r="A557" s="339"/>
      <c r="B557" s="340"/>
      <c r="C557" s="638"/>
      <c r="D557" s="191"/>
      <c r="E557" s="192"/>
      <c r="F557" s="193"/>
      <c r="G557" s="341"/>
      <c r="H557" s="194"/>
    </row>
    <row r="558" spans="1:8" x14ac:dyDescent="0.25">
      <c r="A558" s="339"/>
      <c r="B558" s="340"/>
      <c r="C558" s="638"/>
      <c r="D558" s="191"/>
      <c r="E558" s="192"/>
      <c r="F558" s="193"/>
      <c r="G558" s="341"/>
      <c r="H558" s="194"/>
    </row>
    <row r="559" spans="1:8" x14ac:dyDescent="0.25">
      <c r="A559" s="339"/>
      <c r="B559" s="340"/>
      <c r="C559" s="638"/>
      <c r="D559" s="191"/>
      <c r="E559" s="192"/>
      <c r="F559" s="193"/>
      <c r="G559" s="341"/>
      <c r="H559" s="194"/>
    </row>
    <row r="560" spans="1:8" x14ac:dyDescent="0.25">
      <c r="A560" s="339"/>
      <c r="B560" s="340"/>
      <c r="C560" s="638"/>
      <c r="D560" s="191"/>
      <c r="E560" s="192"/>
      <c r="F560" s="193"/>
      <c r="G560" s="341"/>
      <c r="H560" s="194"/>
    </row>
    <row r="561" spans="1:8" x14ac:dyDescent="0.25">
      <c r="A561" s="339"/>
      <c r="B561" s="340"/>
      <c r="C561" s="638"/>
      <c r="D561" s="191"/>
      <c r="E561" s="192"/>
      <c r="F561" s="193"/>
      <c r="G561" s="341"/>
      <c r="H561" s="194"/>
    </row>
    <row r="562" spans="1:8" x14ac:dyDescent="0.25">
      <c r="A562" s="339"/>
      <c r="B562" s="340"/>
      <c r="C562" s="638"/>
      <c r="D562" s="191"/>
      <c r="E562" s="192"/>
      <c r="F562" s="193"/>
      <c r="G562" s="341"/>
      <c r="H562" s="194"/>
    </row>
    <row r="563" spans="1:8" x14ac:dyDescent="0.25">
      <c r="A563" s="339"/>
      <c r="B563" s="340"/>
      <c r="C563" s="638"/>
      <c r="D563" s="191"/>
      <c r="E563" s="192"/>
      <c r="F563" s="193"/>
      <c r="G563" s="341"/>
      <c r="H563" s="194"/>
    </row>
    <row r="564" spans="1:8" x14ac:dyDescent="0.25">
      <c r="A564" s="339"/>
      <c r="B564" s="340"/>
      <c r="C564" s="638"/>
      <c r="D564" s="191"/>
      <c r="E564" s="192"/>
      <c r="F564" s="193"/>
      <c r="G564" s="341"/>
      <c r="H564" s="194"/>
    </row>
    <row r="565" spans="1:8" x14ac:dyDescent="0.25">
      <c r="A565" s="339"/>
      <c r="B565" s="340"/>
      <c r="C565" s="638"/>
      <c r="D565" s="191"/>
      <c r="E565" s="192"/>
      <c r="F565" s="193"/>
      <c r="G565" s="341"/>
      <c r="H565" s="194"/>
    </row>
    <row r="566" spans="1:8" x14ac:dyDescent="0.25">
      <c r="A566" s="339"/>
      <c r="B566" s="340"/>
      <c r="C566" s="638"/>
      <c r="D566" s="191"/>
      <c r="E566" s="192"/>
      <c r="F566" s="193"/>
      <c r="G566" s="341"/>
      <c r="H566" s="194"/>
    </row>
    <row r="567" spans="1:8" x14ac:dyDescent="0.25">
      <c r="A567" s="339"/>
      <c r="B567" s="340"/>
      <c r="C567" s="638"/>
      <c r="D567" s="191"/>
      <c r="E567" s="192"/>
      <c r="F567" s="193"/>
      <c r="G567" s="341"/>
      <c r="H567" s="194"/>
    </row>
    <row r="568" spans="1:8" x14ac:dyDescent="0.25">
      <c r="A568" s="339"/>
      <c r="B568" s="340"/>
      <c r="C568" s="638"/>
      <c r="D568" s="191"/>
      <c r="E568" s="192"/>
      <c r="F568" s="193"/>
      <c r="G568" s="341"/>
      <c r="H568" s="194"/>
    </row>
    <row r="569" spans="1:8" x14ac:dyDescent="0.25">
      <c r="A569" s="339"/>
      <c r="B569" s="340"/>
      <c r="C569" s="638"/>
      <c r="D569" s="191"/>
      <c r="E569" s="192"/>
      <c r="F569" s="193"/>
      <c r="G569" s="341"/>
      <c r="H569" s="194"/>
    </row>
    <row r="570" spans="1:8" x14ac:dyDescent="0.25">
      <c r="A570" s="339"/>
      <c r="B570" s="340"/>
      <c r="C570" s="638"/>
      <c r="D570" s="191"/>
      <c r="E570" s="192"/>
      <c r="F570" s="193"/>
      <c r="G570" s="341"/>
      <c r="H570" s="194"/>
    </row>
    <row r="571" spans="1:8" x14ac:dyDescent="0.25">
      <c r="A571" s="339"/>
      <c r="B571" s="340"/>
      <c r="C571" s="638"/>
      <c r="D571" s="191"/>
      <c r="E571" s="192"/>
      <c r="F571" s="193"/>
      <c r="G571" s="341"/>
      <c r="H571" s="194"/>
    </row>
    <row r="572" spans="1:8" x14ac:dyDescent="0.25">
      <c r="A572" s="339"/>
      <c r="B572" s="340"/>
      <c r="C572" s="638"/>
      <c r="D572" s="191"/>
      <c r="E572" s="192"/>
      <c r="F572" s="193"/>
      <c r="G572" s="341"/>
      <c r="H572" s="194"/>
    </row>
    <row r="573" spans="1:8" x14ac:dyDescent="0.25">
      <c r="A573" s="339"/>
      <c r="B573" s="340"/>
      <c r="C573" s="638"/>
      <c r="D573" s="191"/>
      <c r="E573" s="192"/>
      <c r="F573" s="193"/>
      <c r="G573" s="341"/>
      <c r="H573" s="194"/>
    </row>
    <row r="574" spans="1:8" x14ac:dyDescent="0.25">
      <c r="A574" s="339"/>
      <c r="B574" s="340"/>
      <c r="C574" s="638"/>
      <c r="D574" s="191"/>
      <c r="E574" s="192"/>
      <c r="F574" s="193"/>
      <c r="G574" s="341"/>
      <c r="H574" s="194"/>
    </row>
    <row r="575" spans="1:8" x14ac:dyDescent="0.25">
      <c r="A575" s="339"/>
      <c r="B575" s="340"/>
      <c r="C575" s="638"/>
      <c r="D575" s="191"/>
      <c r="E575" s="192"/>
      <c r="F575" s="193"/>
      <c r="G575" s="341"/>
      <c r="H575" s="194"/>
    </row>
    <row r="576" spans="1:8" x14ac:dyDescent="0.25">
      <c r="A576" s="339"/>
      <c r="B576" s="340"/>
      <c r="C576" s="638"/>
      <c r="D576" s="191"/>
      <c r="E576" s="192"/>
      <c r="F576" s="193"/>
      <c r="G576" s="341"/>
      <c r="H576" s="194"/>
    </row>
    <row r="577" spans="1:8" x14ac:dyDescent="0.25">
      <c r="A577" s="339"/>
      <c r="B577" s="340"/>
      <c r="C577" s="638"/>
      <c r="D577" s="191"/>
      <c r="E577" s="192"/>
      <c r="F577" s="193"/>
      <c r="G577" s="341"/>
      <c r="H577" s="194"/>
    </row>
    <row r="578" spans="1:8" x14ac:dyDescent="0.25">
      <c r="A578" s="339"/>
      <c r="B578" s="340"/>
      <c r="C578" s="638"/>
      <c r="D578" s="191"/>
      <c r="E578" s="192"/>
      <c r="F578" s="193"/>
      <c r="G578" s="341"/>
      <c r="H578" s="194"/>
    </row>
    <row r="579" spans="1:8" x14ac:dyDescent="0.25">
      <c r="A579" s="339"/>
      <c r="B579" s="340"/>
      <c r="C579" s="638"/>
      <c r="D579" s="191"/>
      <c r="E579" s="192"/>
      <c r="F579" s="193"/>
      <c r="G579" s="341"/>
      <c r="H579" s="194"/>
    </row>
    <row r="580" spans="1:8" x14ac:dyDescent="0.25">
      <c r="A580" s="339"/>
      <c r="B580" s="340"/>
      <c r="C580" s="638"/>
      <c r="D580" s="191"/>
      <c r="E580" s="192"/>
      <c r="F580" s="193"/>
      <c r="G580" s="341"/>
      <c r="H580" s="194"/>
    </row>
    <row r="581" spans="1:8" x14ac:dyDescent="0.25">
      <c r="A581" s="339"/>
      <c r="B581" s="340"/>
      <c r="C581" s="638"/>
      <c r="D581" s="191"/>
      <c r="E581" s="192"/>
      <c r="F581" s="193"/>
      <c r="G581" s="341"/>
      <c r="H581" s="194"/>
    </row>
    <row r="582" spans="1:8" x14ac:dyDescent="0.25">
      <c r="A582" s="339"/>
      <c r="B582" s="340"/>
      <c r="C582" s="638"/>
      <c r="D582" s="191"/>
      <c r="E582" s="192"/>
      <c r="F582" s="193"/>
      <c r="G582" s="341"/>
      <c r="H582" s="194"/>
    </row>
    <row r="583" spans="1:8" x14ac:dyDescent="0.25">
      <c r="A583" s="339"/>
      <c r="B583" s="340"/>
      <c r="C583" s="638"/>
      <c r="D583" s="191"/>
      <c r="E583" s="192"/>
      <c r="F583" s="193"/>
      <c r="G583" s="341"/>
      <c r="H583" s="194"/>
    </row>
    <row r="584" spans="1:8" x14ac:dyDescent="0.25">
      <c r="A584" s="339"/>
      <c r="B584" s="340"/>
      <c r="C584" s="638"/>
      <c r="D584" s="191"/>
      <c r="E584" s="192"/>
      <c r="F584" s="193"/>
      <c r="G584" s="341"/>
      <c r="H584" s="194"/>
    </row>
    <row r="585" spans="1:8" x14ac:dyDescent="0.25">
      <c r="A585" s="339"/>
      <c r="B585" s="340"/>
      <c r="C585" s="638"/>
      <c r="D585" s="191"/>
      <c r="E585" s="192"/>
      <c r="F585" s="193"/>
      <c r="G585" s="341"/>
      <c r="H585" s="194"/>
    </row>
    <row r="586" spans="1:8" x14ac:dyDescent="0.25">
      <c r="A586" s="339"/>
      <c r="B586" s="340"/>
      <c r="C586" s="638"/>
      <c r="D586" s="191"/>
      <c r="E586" s="192"/>
      <c r="F586" s="193"/>
      <c r="G586" s="341"/>
      <c r="H586" s="194"/>
    </row>
    <row r="587" spans="1:8" x14ac:dyDescent="0.25">
      <c r="A587" s="339"/>
      <c r="B587" s="340"/>
      <c r="C587" s="638"/>
      <c r="D587" s="191"/>
      <c r="E587" s="192"/>
      <c r="F587" s="193"/>
      <c r="G587" s="341"/>
      <c r="H587" s="194"/>
    </row>
    <row r="588" spans="1:8" x14ac:dyDescent="0.25">
      <c r="A588" s="339"/>
      <c r="B588" s="340"/>
      <c r="C588" s="638"/>
      <c r="D588" s="191"/>
      <c r="E588" s="192"/>
      <c r="F588" s="193"/>
      <c r="G588" s="341"/>
      <c r="H588" s="194"/>
    </row>
    <row r="589" spans="1:8" x14ac:dyDescent="0.25">
      <c r="A589" s="339"/>
      <c r="B589" s="340"/>
      <c r="C589" s="638"/>
      <c r="D589" s="191"/>
      <c r="E589" s="192"/>
      <c r="F589" s="193"/>
      <c r="G589" s="341"/>
      <c r="H589" s="194"/>
    </row>
    <row r="590" spans="1:8" x14ac:dyDescent="0.25">
      <c r="A590" s="339"/>
      <c r="B590" s="340"/>
      <c r="C590" s="638"/>
      <c r="D590" s="191"/>
      <c r="E590" s="192"/>
      <c r="F590" s="193"/>
      <c r="G590" s="341"/>
      <c r="H590" s="194"/>
    </row>
    <row r="591" spans="1:8" x14ac:dyDescent="0.25">
      <c r="A591" s="339"/>
      <c r="B591" s="340"/>
      <c r="C591" s="638"/>
      <c r="D591" s="191"/>
      <c r="E591" s="192"/>
      <c r="F591" s="193"/>
      <c r="G591" s="341"/>
      <c r="H591" s="194"/>
    </row>
    <row r="592" spans="1:8" x14ac:dyDescent="0.25">
      <c r="A592" s="339"/>
      <c r="B592" s="340"/>
      <c r="C592" s="638"/>
      <c r="D592" s="191"/>
      <c r="E592" s="192"/>
      <c r="F592" s="193"/>
      <c r="G592" s="341"/>
      <c r="H592" s="194"/>
    </row>
    <row r="593" spans="1:8" x14ac:dyDescent="0.25">
      <c r="A593" s="339"/>
      <c r="B593" s="340"/>
      <c r="C593" s="638"/>
      <c r="D593" s="191"/>
      <c r="E593" s="192"/>
      <c r="F593" s="193"/>
      <c r="G593" s="341"/>
      <c r="H593" s="194"/>
    </row>
    <row r="594" spans="1:8" x14ac:dyDescent="0.25">
      <c r="A594" s="339"/>
      <c r="B594" s="340"/>
      <c r="C594" s="638"/>
      <c r="D594" s="191"/>
      <c r="E594" s="192"/>
      <c r="F594" s="193"/>
      <c r="G594" s="341"/>
      <c r="H594" s="194"/>
    </row>
    <row r="595" spans="1:8" x14ac:dyDescent="0.25">
      <c r="A595" s="339"/>
      <c r="B595" s="340"/>
      <c r="C595" s="638"/>
      <c r="D595" s="191"/>
      <c r="E595" s="192"/>
      <c r="F595" s="193"/>
      <c r="G595" s="341"/>
      <c r="H595" s="194"/>
    </row>
    <row r="596" spans="1:8" x14ac:dyDescent="0.25">
      <c r="A596" s="339"/>
      <c r="B596" s="340"/>
      <c r="C596" s="638"/>
      <c r="D596" s="191"/>
      <c r="E596" s="192"/>
      <c r="F596" s="193"/>
      <c r="G596" s="341"/>
      <c r="H596" s="194"/>
    </row>
    <row r="597" spans="1:8" x14ac:dyDescent="0.25">
      <c r="A597" s="339"/>
      <c r="B597" s="340"/>
      <c r="C597" s="638"/>
      <c r="D597" s="191"/>
      <c r="E597" s="192"/>
      <c r="F597" s="193"/>
      <c r="G597" s="341"/>
      <c r="H597" s="194"/>
    </row>
    <row r="598" spans="1:8" x14ac:dyDescent="0.25">
      <c r="A598" s="339"/>
      <c r="B598" s="340"/>
      <c r="C598" s="638"/>
      <c r="D598" s="191"/>
      <c r="E598" s="192"/>
      <c r="F598" s="193"/>
      <c r="G598" s="341"/>
      <c r="H598" s="194"/>
    </row>
    <row r="599" spans="1:8" x14ac:dyDescent="0.25">
      <c r="A599" s="339"/>
      <c r="B599" s="340"/>
      <c r="C599" s="638"/>
      <c r="D599" s="191"/>
      <c r="E599" s="192"/>
      <c r="F599" s="193"/>
      <c r="G599" s="341"/>
      <c r="H599" s="194"/>
    </row>
    <row r="600" spans="1:8" x14ac:dyDescent="0.25">
      <c r="A600" s="339"/>
      <c r="B600" s="340"/>
      <c r="C600" s="638"/>
      <c r="D600" s="191"/>
      <c r="E600" s="192"/>
      <c r="F600" s="193"/>
      <c r="G600" s="341"/>
      <c r="H600" s="194"/>
    </row>
    <row r="601" spans="1:8" x14ac:dyDescent="0.25">
      <c r="A601" s="339"/>
      <c r="B601" s="340"/>
      <c r="C601" s="638"/>
      <c r="D601" s="191"/>
      <c r="E601" s="192"/>
      <c r="F601" s="193"/>
      <c r="G601" s="341"/>
      <c r="H601" s="194"/>
    </row>
    <row r="602" spans="1:8" x14ac:dyDescent="0.25">
      <c r="A602" s="339"/>
      <c r="B602" s="340"/>
      <c r="C602" s="638"/>
      <c r="D602" s="191"/>
      <c r="E602" s="192"/>
      <c r="F602" s="193"/>
      <c r="G602" s="341"/>
      <c r="H602" s="194"/>
    </row>
    <row r="603" spans="1:8" x14ac:dyDescent="0.25">
      <c r="A603" s="339"/>
      <c r="B603" s="340"/>
      <c r="C603" s="638"/>
      <c r="D603" s="191"/>
      <c r="E603" s="192"/>
      <c r="F603" s="193"/>
      <c r="G603" s="341"/>
      <c r="H603" s="194"/>
    </row>
    <row r="604" spans="1:8" x14ac:dyDescent="0.25">
      <c r="A604" s="339"/>
      <c r="B604" s="340"/>
      <c r="C604" s="638"/>
      <c r="D604" s="191"/>
      <c r="E604" s="192"/>
      <c r="F604" s="193"/>
      <c r="G604" s="341"/>
      <c r="H604" s="194"/>
    </row>
    <row r="605" spans="1:8" x14ac:dyDescent="0.25">
      <c r="A605" s="339"/>
      <c r="B605" s="340"/>
      <c r="C605" s="638"/>
      <c r="D605" s="191"/>
      <c r="E605" s="192"/>
      <c r="F605" s="193"/>
      <c r="G605" s="341"/>
      <c r="H605" s="194"/>
    </row>
    <row r="606" spans="1:8" x14ac:dyDescent="0.25">
      <c r="A606" s="339"/>
      <c r="B606" s="340"/>
      <c r="C606" s="638"/>
      <c r="D606" s="191"/>
      <c r="E606" s="192"/>
      <c r="F606" s="193"/>
      <c r="G606" s="341"/>
      <c r="H606" s="194"/>
    </row>
    <row r="607" spans="1:8" x14ac:dyDescent="0.25">
      <c r="A607" s="339"/>
      <c r="B607" s="340"/>
      <c r="C607" s="638"/>
      <c r="D607" s="191"/>
      <c r="E607" s="192"/>
      <c r="F607" s="193"/>
      <c r="G607" s="341"/>
      <c r="H607" s="194"/>
    </row>
    <row r="608" spans="1:8" x14ac:dyDescent="0.25">
      <c r="A608" s="339"/>
      <c r="B608" s="340"/>
      <c r="C608" s="638"/>
      <c r="D608" s="191"/>
      <c r="E608" s="192"/>
      <c r="F608" s="193"/>
      <c r="G608" s="341"/>
      <c r="H608" s="194"/>
    </row>
    <row r="609" spans="1:8" x14ac:dyDescent="0.25">
      <c r="A609" s="339"/>
      <c r="B609" s="340"/>
      <c r="C609" s="638"/>
      <c r="D609" s="191"/>
      <c r="E609" s="192"/>
      <c r="F609" s="193"/>
      <c r="G609" s="341"/>
      <c r="H609" s="194"/>
    </row>
    <row r="610" spans="1:8" x14ac:dyDescent="0.25">
      <c r="A610" s="339"/>
      <c r="B610" s="340"/>
      <c r="C610" s="638"/>
      <c r="D610" s="191"/>
      <c r="E610" s="192"/>
      <c r="F610" s="193"/>
      <c r="G610" s="341"/>
      <c r="H610" s="194"/>
    </row>
    <row r="611" spans="1:8" x14ac:dyDescent="0.25">
      <c r="A611" s="339"/>
      <c r="B611" s="340"/>
      <c r="C611" s="638"/>
      <c r="D611" s="191"/>
      <c r="E611" s="192"/>
      <c r="F611" s="193"/>
      <c r="G611" s="341"/>
      <c r="H611" s="194"/>
    </row>
    <row r="612" spans="1:8" x14ac:dyDescent="0.25">
      <c r="A612" s="339"/>
      <c r="B612" s="340"/>
      <c r="C612" s="638"/>
      <c r="D612" s="191"/>
      <c r="E612" s="192"/>
      <c r="F612" s="193"/>
      <c r="G612" s="341"/>
      <c r="H612" s="194"/>
    </row>
    <row r="613" spans="1:8" x14ac:dyDescent="0.25">
      <c r="A613" s="339"/>
      <c r="B613" s="340"/>
      <c r="C613" s="638"/>
      <c r="D613" s="191"/>
      <c r="E613" s="192"/>
      <c r="F613" s="193"/>
      <c r="G613" s="341"/>
      <c r="H613" s="194"/>
    </row>
    <row r="614" spans="1:8" x14ac:dyDescent="0.25">
      <c r="A614" s="339"/>
      <c r="B614" s="340"/>
      <c r="C614" s="638"/>
      <c r="D614" s="191"/>
      <c r="E614" s="192"/>
      <c r="F614" s="193"/>
      <c r="G614" s="341"/>
      <c r="H614" s="194"/>
    </row>
    <row r="615" spans="1:8" x14ac:dyDescent="0.25">
      <c r="A615" s="339"/>
      <c r="B615" s="340"/>
      <c r="C615" s="638"/>
      <c r="D615" s="191"/>
      <c r="E615" s="192"/>
      <c r="F615" s="193"/>
      <c r="G615" s="341"/>
      <c r="H615" s="194"/>
    </row>
    <row r="616" spans="1:8" x14ac:dyDescent="0.25">
      <c r="A616" s="339"/>
      <c r="B616" s="340"/>
      <c r="C616" s="638"/>
      <c r="D616" s="191"/>
      <c r="E616" s="192"/>
      <c r="F616" s="193"/>
      <c r="G616" s="341"/>
      <c r="H616" s="194"/>
    </row>
    <row r="617" spans="1:8" x14ac:dyDescent="0.25">
      <c r="A617" s="339"/>
      <c r="B617" s="340"/>
      <c r="C617" s="638"/>
      <c r="D617" s="191"/>
      <c r="E617" s="192"/>
      <c r="F617" s="193"/>
      <c r="G617" s="341"/>
      <c r="H617" s="194"/>
    </row>
    <row r="618" spans="1:8" x14ac:dyDescent="0.25">
      <c r="A618" s="339"/>
      <c r="B618" s="340"/>
      <c r="C618" s="638"/>
      <c r="D618" s="191"/>
      <c r="E618" s="192"/>
      <c r="F618" s="193"/>
      <c r="G618" s="341"/>
      <c r="H618" s="194"/>
    </row>
    <row r="619" spans="1:8" x14ac:dyDescent="0.25">
      <c r="A619" s="339"/>
      <c r="B619" s="340"/>
      <c r="C619" s="638"/>
      <c r="D619" s="191"/>
      <c r="E619" s="192"/>
      <c r="F619" s="193"/>
      <c r="G619" s="341"/>
      <c r="H619" s="194"/>
    </row>
    <row r="620" spans="1:8" x14ac:dyDescent="0.25">
      <c r="A620" s="339"/>
      <c r="B620" s="340"/>
      <c r="C620" s="638"/>
      <c r="D620" s="191"/>
      <c r="E620" s="192"/>
      <c r="F620" s="193"/>
      <c r="G620" s="341"/>
      <c r="H620" s="194"/>
    </row>
    <row r="621" spans="1:8" x14ac:dyDescent="0.25">
      <c r="A621" s="339"/>
      <c r="B621" s="340"/>
      <c r="C621" s="638"/>
      <c r="D621" s="191"/>
      <c r="E621" s="192"/>
      <c r="F621" s="193"/>
      <c r="G621" s="341"/>
      <c r="H621" s="194"/>
    </row>
    <row r="622" spans="1:8" x14ac:dyDescent="0.25">
      <c r="A622" s="339"/>
      <c r="B622" s="340"/>
      <c r="C622" s="638"/>
      <c r="D622" s="191"/>
      <c r="E622" s="192"/>
      <c r="F622" s="193"/>
      <c r="G622" s="341"/>
      <c r="H622" s="194"/>
    </row>
    <row r="623" spans="1:8" x14ac:dyDescent="0.25">
      <c r="A623" s="339"/>
      <c r="B623" s="340"/>
      <c r="C623" s="638"/>
      <c r="D623" s="191"/>
      <c r="E623" s="192"/>
      <c r="F623" s="193"/>
      <c r="G623" s="341"/>
      <c r="H623" s="194"/>
    </row>
    <row r="624" spans="1:8" x14ac:dyDescent="0.25">
      <c r="A624" s="339"/>
      <c r="B624" s="340"/>
      <c r="C624" s="638"/>
      <c r="D624" s="191"/>
      <c r="E624" s="192"/>
      <c r="F624" s="193"/>
      <c r="G624" s="341"/>
      <c r="H624" s="194"/>
    </row>
    <row r="625" spans="1:8" x14ac:dyDescent="0.25">
      <c r="A625" s="339"/>
      <c r="B625" s="340"/>
      <c r="C625" s="638"/>
      <c r="D625" s="191"/>
      <c r="E625" s="192"/>
      <c r="F625" s="193"/>
      <c r="G625" s="341"/>
      <c r="H625" s="194"/>
    </row>
    <row r="626" spans="1:8" x14ac:dyDescent="0.25">
      <c r="A626" s="339"/>
      <c r="B626" s="340"/>
      <c r="C626" s="638"/>
      <c r="D626" s="191"/>
      <c r="E626" s="192"/>
      <c r="F626" s="193"/>
      <c r="G626" s="341"/>
      <c r="H626" s="194"/>
    </row>
    <row r="627" spans="1:8" x14ac:dyDescent="0.25">
      <c r="A627" s="339"/>
      <c r="B627" s="340"/>
      <c r="C627" s="638"/>
      <c r="D627" s="191"/>
      <c r="E627" s="192"/>
      <c r="F627" s="193"/>
      <c r="G627" s="341"/>
      <c r="H627" s="194"/>
    </row>
    <row r="628" spans="1:8" x14ac:dyDescent="0.25">
      <c r="A628" s="339"/>
      <c r="B628" s="340"/>
      <c r="C628" s="638"/>
      <c r="D628" s="191"/>
      <c r="E628" s="192"/>
      <c r="F628" s="193"/>
      <c r="G628" s="341"/>
      <c r="H628" s="194"/>
    </row>
    <row r="629" spans="1:8" x14ac:dyDescent="0.25">
      <c r="A629" s="339"/>
      <c r="B629" s="340"/>
      <c r="C629" s="638"/>
      <c r="D629" s="191"/>
      <c r="E629" s="192"/>
      <c r="F629" s="193"/>
      <c r="G629" s="341"/>
      <c r="H629" s="194"/>
    </row>
    <row r="630" spans="1:8" x14ac:dyDescent="0.25">
      <c r="A630" s="339"/>
      <c r="B630" s="340"/>
      <c r="C630" s="638"/>
      <c r="D630" s="191"/>
      <c r="E630" s="192"/>
      <c r="F630" s="193"/>
      <c r="G630" s="341"/>
      <c r="H630" s="194"/>
    </row>
    <row r="631" spans="1:8" x14ac:dyDescent="0.25">
      <c r="A631" s="339"/>
      <c r="B631" s="340"/>
      <c r="C631" s="638"/>
      <c r="D631" s="191"/>
      <c r="E631" s="192"/>
      <c r="F631" s="193"/>
      <c r="G631" s="341"/>
      <c r="H631" s="194"/>
    </row>
    <row r="632" spans="1:8" x14ac:dyDescent="0.25">
      <c r="A632" s="339"/>
      <c r="B632" s="340"/>
      <c r="C632" s="638"/>
      <c r="D632" s="191"/>
      <c r="E632" s="192"/>
      <c r="F632" s="193"/>
      <c r="G632" s="341"/>
      <c r="H632" s="194"/>
    </row>
    <row r="633" spans="1:8" x14ac:dyDescent="0.25">
      <c r="A633" s="339"/>
      <c r="B633" s="340"/>
      <c r="C633" s="638"/>
      <c r="D633" s="191"/>
      <c r="E633" s="192"/>
      <c r="F633" s="193"/>
      <c r="G633" s="341"/>
      <c r="H633" s="194"/>
    </row>
    <row r="634" spans="1:8" x14ac:dyDescent="0.25">
      <c r="A634" s="339"/>
      <c r="B634" s="340"/>
      <c r="C634" s="638"/>
      <c r="D634" s="191"/>
      <c r="E634" s="192"/>
      <c r="F634" s="193"/>
      <c r="G634" s="341"/>
      <c r="H634" s="194"/>
    </row>
    <row r="635" spans="1:8" x14ac:dyDescent="0.25">
      <c r="A635" s="339"/>
      <c r="B635" s="340"/>
      <c r="C635" s="638"/>
      <c r="D635" s="191"/>
      <c r="E635" s="192"/>
      <c r="F635" s="193"/>
      <c r="G635" s="341"/>
      <c r="H635" s="194"/>
    </row>
    <row r="636" spans="1:8" x14ac:dyDescent="0.25">
      <c r="A636" s="339"/>
      <c r="B636" s="340"/>
      <c r="C636" s="638"/>
      <c r="D636" s="191"/>
      <c r="E636" s="192"/>
      <c r="F636" s="193"/>
      <c r="G636" s="341"/>
      <c r="H636" s="194"/>
    </row>
    <row r="637" spans="1:8" x14ac:dyDescent="0.25">
      <c r="A637" s="339"/>
      <c r="B637" s="340"/>
      <c r="C637" s="638"/>
      <c r="D637" s="191"/>
      <c r="E637" s="192"/>
      <c r="F637" s="193"/>
      <c r="G637" s="341"/>
      <c r="H637" s="194"/>
    </row>
    <row r="638" spans="1:8" x14ac:dyDescent="0.25">
      <c r="A638" s="339"/>
      <c r="B638" s="340"/>
      <c r="C638" s="638"/>
      <c r="D638" s="191"/>
      <c r="E638" s="192"/>
      <c r="F638" s="193"/>
      <c r="G638" s="341"/>
      <c r="H638" s="194"/>
    </row>
    <row r="639" spans="1:8" x14ac:dyDescent="0.25">
      <c r="A639" s="339"/>
      <c r="B639" s="340"/>
      <c r="C639" s="638"/>
      <c r="D639" s="191"/>
      <c r="E639" s="192"/>
      <c r="F639" s="193"/>
      <c r="G639" s="341"/>
      <c r="H639" s="194"/>
    </row>
    <row r="640" spans="1:8" x14ac:dyDescent="0.25">
      <c r="A640" s="339"/>
      <c r="B640" s="340"/>
      <c r="C640" s="638"/>
      <c r="D640" s="191"/>
      <c r="E640" s="192"/>
      <c r="F640" s="193"/>
      <c r="G640" s="341"/>
      <c r="H640" s="194"/>
    </row>
    <row r="641" spans="1:8" x14ac:dyDescent="0.25">
      <c r="A641" s="339"/>
      <c r="B641" s="340"/>
      <c r="C641" s="638"/>
      <c r="D641" s="191"/>
      <c r="E641" s="192"/>
      <c r="F641" s="193"/>
      <c r="G641" s="341"/>
      <c r="H641" s="194"/>
    </row>
    <row r="642" spans="1:8" x14ac:dyDescent="0.25">
      <c r="A642" s="339"/>
      <c r="B642" s="340"/>
      <c r="C642" s="638"/>
      <c r="D642" s="191"/>
      <c r="E642" s="192"/>
      <c r="F642" s="193"/>
      <c r="G642" s="341"/>
      <c r="H642" s="194"/>
    </row>
    <row r="643" spans="1:8" x14ac:dyDescent="0.25">
      <c r="A643" s="339"/>
      <c r="B643" s="340"/>
      <c r="C643" s="638"/>
      <c r="D643" s="191"/>
      <c r="E643" s="192"/>
      <c r="F643" s="193"/>
      <c r="G643" s="341"/>
      <c r="H643" s="194"/>
    </row>
    <row r="644" spans="1:8" x14ac:dyDescent="0.25">
      <c r="A644" s="339"/>
      <c r="B644" s="340"/>
      <c r="C644" s="638"/>
      <c r="D644" s="191"/>
      <c r="E644" s="192"/>
      <c r="F644" s="193"/>
      <c r="G644" s="341"/>
      <c r="H644" s="194"/>
    </row>
    <row r="645" spans="1:8" x14ac:dyDescent="0.25">
      <c r="A645" s="339"/>
      <c r="B645" s="340"/>
      <c r="C645" s="638"/>
      <c r="D645" s="191"/>
      <c r="E645" s="192"/>
      <c r="F645" s="193"/>
      <c r="G645" s="341"/>
      <c r="H645" s="194"/>
    </row>
    <row r="646" spans="1:8" x14ac:dyDescent="0.25">
      <c r="A646" s="339"/>
      <c r="B646" s="340"/>
      <c r="C646" s="638"/>
      <c r="D646" s="191"/>
      <c r="E646" s="192"/>
      <c r="F646" s="193"/>
      <c r="G646" s="341"/>
      <c r="H646" s="194"/>
    </row>
    <row r="647" spans="1:8" x14ac:dyDescent="0.25">
      <c r="A647" s="339"/>
      <c r="B647" s="340"/>
      <c r="C647" s="638"/>
      <c r="D647" s="191"/>
      <c r="E647" s="192"/>
      <c r="F647" s="193"/>
      <c r="G647" s="341"/>
      <c r="H647" s="194"/>
    </row>
    <row r="648" spans="1:8" x14ac:dyDescent="0.25">
      <c r="A648" s="339"/>
      <c r="B648" s="340"/>
      <c r="C648" s="638"/>
      <c r="D648" s="191"/>
      <c r="E648" s="192"/>
      <c r="F648" s="193"/>
      <c r="G648" s="341"/>
      <c r="H648" s="194"/>
    </row>
    <row r="649" spans="1:8" x14ac:dyDescent="0.25">
      <c r="A649" s="339"/>
      <c r="B649" s="340"/>
      <c r="C649" s="638"/>
      <c r="D649" s="191"/>
      <c r="E649" s="192"/>
      <c r="F649" s="193"/>
      <c r="G649" s="341"/>
      <c r="H649" s="194"/>
    </row>
    <row r="650" spans="1:8" x14ac:dyDescent="0.25">
      <c r="A650" s="339"/>
      <c r="B650" s="340"/>
      <c r="C650" s="638"/>
      <c r="D650" s="191"/>
      <c r="E650" s="192"/>
      <c r="F650" s="193"/>
      <c r="G650" s="341"/>
      <c r="H650" s="194"/>
    </row>
    <row r="651" spans="1:8" x14ac:dyDescent="0.25">
      <c r="A651" s="339"/>
      <c r="B651" s="340"/>
      <c r="C651" s="638"/>
      <c r="D651" s="191"/>
      <c r="E651" s="192"/>
      <c r="F651" s="193"/>
      <c r="G651" s="341"/>
      <c r="H651" s="194"/>
    </row>
    <row r="652" spans="1:8" x14ac:dyDescent="0.25">
      <c r="A652" s="339"/>
      <c r="B652" s="340"/>
      <c r="C652" s="638"/>
      <c r="D652" s="191"/>
      <c r="E652" s="192"/>
      <c r="F652" s="193"/>
      <c r="G652" s="341"/>
      <c r="H652" s="194"/>
    </row>
    <row r="653" spans="1:8" x14ac:dyDescent="0.25">
      <c r="A653" s="339"/>
      <c r="B653" s="340"/>
      <c r="C653" s="638"/>
      <c r="D653" s="191"/>
      <c r="E653" s="192"/>
      <c r="F653" s="193"/>
      <c r="G653" s="341"/>
      <c r="H653" s="194"/>
    </row>
    <row r="654" spans="1:8" x14ac:dyDescent="0.25">
      <c r="A654" s="339"/>
      <c r="B654" s="340"/>
      <c r="C654" s="638"/>
      <c r="D654" s="191"/>
      <c r="E654" s="192"/>
      <c r="F654" s="193"/>
      <c r="G654" s="341"/>
      <c r="H654" s="194"/>
    </row>
    <row r="655" spans="1:8" x14ac:dyDescent="0.25">
      <c r="A655" s="339"/>
      <c r="B655" s="340"/>
      <c r="C655" s="638"/>
      <c r="D655" s="191"/>
      <c r="E655" s="192"/>
      <c r="F655" s="193"/>
      <c r="G655" s="341"/>
      <c r="H655" s="194"/>
    </row>
    <row r="656" spans="1:8" x14ac:dyDescent="0.25">
      <c r="A656" s="339"/>
      <c r="B656" s="340"/>
      <c r="C656" s="638"/>
      <c r="D656" s="191"/>
      <c r="E656" s="192"/>
      <c r="F656" s="193"/>
      <c r="G656" s="341"/>
      <c r="H656" s="194"/>
    </row>
    <row r="657" spans="1:8" x14ac:dyDescent="0.25">
      <c r="A657" s="339"/>
      <c r="B657" s="340"/>
      <c r="C657" s="638"/>
      <c r="D657" s="191"/>
      <c r="E657" s="192"/>
      <c r="F657" s="193"/>
      <c r="G657" s="341"/>
      <c r="H657" s="194"/>
    </row>
    <row r="658" spans="1:8" x14ac:dyDescent="0.25">
      <c r="A658" s="339"/>
      <c r="B658" s="340"/>
      <c r="C658" s="638"/>
      <c r="D658" s="191"/>
      <c r="E658" s="192"/>
      <c r="F658" s="193"/>
      <c r="G658" s="341"/>
      <c r="H658" s="194"/>
    </row>
    <row r="659" spans="1:8" x14ac:dyDescent="0.25">
      <c r="A659" s="339"/>
      <c r="B659" s="340"/>
      <c r="C659" s="638"/>
      <c r="D659" s="191"/>
      <c r="E659" s="192"/>
      <c r="F659" s="193"/>
      <c r="G659" s="341"/>
      <c r="H659" s="194"/>
    </row>
    <row r="660" spans="1:8" x14ac:dyDescent="0.25">
      <c r="A660" s="339"/>
      <c r="B660" s="340"/>
      <c r="C660" s="638"/>
      <c r="D660" s="191"/>
      <c r="E660" s="192"/>
      <c r="F660" s="193"/>
      <c r="G660" s="341"/>
      <c r="H660" s="194"/>
    </row>
    <row r="661" spans="1:8" x14ac:dyDescent="0.25">
      <c r="A661" s="339"/>
      <c r="B661" s="340"/>
      <c r="C661" s="638"/>
      <c r="D661" s="191"/>
      <c r="E661" s="192"/>
      <c r="F661" s="193"/>
      <c r="G661" s="341"/>
      <c r="H661" s="194"/>
    </row>
    <row r="662" spans="1:8" x14ac:dyDescent="0.25">
      <c r="A662" s="339"/>
      <c r="B662" s="340"/>
      <c r="C662" s="638"/>
      <c r="D662" s="191"/>
      <c r="E662" s="192"/>
      <c r="F662" s="193"/>
      <c r="G662" s="341"/>
      <c r="H662" s="194"/>
    </row>
    <row r="663" spans="1:8" x14ac:dyDescent="0.25">
      <c r="A663" s="339"/>
      <c r="B663" s="340"/>
      <c r="C663" s="638"/>
      <c r="D663" s="191"/>
      <c r="E663" s="192"/>
      <c r="F663" s="193"/>
      <c r="G663" s="341"/>
      <c r="H663" s="194"/>
    </row>
    <row r="664" spans="1:8" x14ac:dyDescent="0.25">
      <c r="A664" s="339"/>
      <c r="B664" s="340"/>
      <c r="C664" s="638"/>
      <c r="D664" s="191"/>
      <c r="E664" s="192"/>
      <c r="F664" s="193"/>
      <c r="G664" s="341"/>
      <c r="H664" s="194"/>
    </row>
    <row r="665" spans="1:8" x14ac:dyDescent="0.25">
      <c r="A665" s="339"/>
      <c r="B665" s="340"/>
      <c r="C665" s="638"/>
      <c r="D665" s="191"/>
      <c r="E665" s="192"/>
      <c r="F665" s="193"/>
      <c r="G665" s="341"/>
      <c r="H665" s="194"/>
    </row>
    <row r="666" spans="1:8" x14ac:dyDescent="0.25">
      <c r="A666" s="339"/>
      <c r="B666" s="340"/>
      <c r="C666" s="638"/>
      <c r="D666" s="191"/>
      <c r="E666" s="192"/>
      <c r="F666" s="193"/>
      <c r="G666" s="341"/>
      <c r="H666" s="194"/>
    </row>
    <row r="667" spans="1:8" x14ac:dyDescent="0.25">
      <c r="A667" s="339"/>
      <c r="B667" s="340"/>
      <c r="C667" s="638"/>
      <c r="D667" s="191"/>
      <c r="E667" s="192"/>
      <c r="F667" s="193"/>
      <c r="G667" s="341"/>
      <c r="H667" s="194"/>
    </row>
    <row r="668" spans="1:8" x14ac:dyDescent="0.25">
      <c r="A668" s="339"/>
      <c r="B668" s="340"/>
      <c r="C668" s="638"/>
      <c r="D668" s="191"/>
      <c r="E668" s="192"/>
      <c r="F668" s="193"/>
      <c r="G668" s="341"/>
      <c r="H668" s="194"/>
    </row>
    <row r="669" spans="1:8" x14ac:dyDescent="0.25">
      <c r="A669" s="339"/>
      <c r="B669" s="340"/>
      <c r="C669" s="638"/>
      <c r="D669" s="191"/>
      <c r="E669" s="192"/>
      <c r="F669" s="193"/>
      <c r="G669" s="341"/>
      <c r="H669" s="194"/>
    </row>
    <row r="670" spans="1:8" x14ac:dyDescent="0.25">
      <c r="A670" s="339"/>
      <c r="B670" s="340"/>
      <c r="C670" s="638"/>
      <c r="D670" s="191"/>
      <c r="E670" s="192"/>
      <c r="F670" s="193"/>
      <c r="G670" s="341"/>
      <c r="H670" s="194"/>
    </row>
    <row r="671" spans="1:8" x14ac:dyDescent="0.25">
      <c r="A671" s="339"/>
      <c r="B671" s="340"/>
      <c r="C671" s="638"/>
      <c r="D671" s="191"/>
      <c r="E671" s="192"/>
      <c r="F671" s="193"/>
      <c r="G671" s="341"/>
      <c r="H671" s="194"/>
    </row>
    <row r="672" spans="1:8" x14ac:dyDescent="0.25">
      <c r="A672" s="339"/>
      <c r="B672" s="340"/>
      <c r="C672" s="638"/>
      <c r="D672" s="191"/>
      <c r="E672" s="192"/>
      <c r="F672" s="193"/>
      <c r="G672" s="341"/>
      <c r="H672" s="194"/>
    </row>
    <row r="673" spans="1:8" x14ac:dyDescent="0.25">
      <c r="A673" s="339"/>
      <c r="B673" s="340"/>
      <c r="C673" s="638"/>
      <c r="D673" s="191"/>
      <c r="E673" s="192"/>
      <c r="F673" s="193"/>
      <c r="G673" s="341"/>
      <c r="H673" s="194"/>
    </row>
    <row r="674" spans="1:8" x14ac:dyDescent="0.25">
      <c r="A674" s="339"/>
      <c r="B674" s="340"/>
      <c r="C674" s="638"/>
      <c r="D674" s="191"/>
      <c r="E674" s="192"/>
      <c r="F674" s="193"/>
      <c r="G674" s="341"/>
      <c r="H674" s="194"/>
    </row>
    <row r="675" spans="1:8" x14ac:dyDescent="0.25">
      <c r="A675" s="339"/>
      <c r="B675" s="340"/>
      <c r="C675" s="638"/>
      <c r="D675" s="191"/>
      <c r="E675" s="192"/>
      <c r="F675" s="193"/>
      <c r="G675" s="341"/>
      <c r="H675" s="194"/>
    </row>
    <row r="676" spans="1:8" x14ac:dyDescent="0.25">
      <c r="A676" s="339"/>
      <c r="B676" s="340"/>
      <c r="C676" s="638"/>
      <c r="D676" s="191"/>
      <c r="E676" s="192"/>
      <c r="F676" s="193"/>
      <c r="G676" s="341"/>
      <c r="H676" s="194"/>
    </row>
    <row r="677" spans="1:8" x14ac:dyDescent="0.25">
      <c r="A677" s="339"/>
      <c r="B677" s="340"/>
      <c r="C677" s="638"/>
      <c r="D677" s="191"/>
      <c r="E677" s="192"/>
      <c r="F677" s="193"/>
      <c r="G677" s="341"/>
      <c r="H677" s="194"/>
    </row>
    <row r="678" spans="1:8" x14ac:dyDescent="0.25">
      <c r="A678" s="339"/>
      <c r="B678" s="340"/>
      <c r="C678" s="638"/>
      <c r="D678" s="191"/>
      <c r="E678" s="192"/>
      <c r="F678" s="193"/>
      <c r="G678" s="341"/>
      <c r="H678" s="194"/>
    </row>
    <row r="679" spans="1:8" x14ac:dyDescent="0.25">
      <c r="A679" s="339"/>
      <c r="B679" s="340"/>
      <c r="C679" s="638"/>
      <c r="D679" s="191"/>
      <c r="E679" s="192"/>
      <c r="F679" s="193"/>
      <c r="G679" s="341"/>
      <c r="H679" s="194"/>
    </row>
    <row r="680" spans="1:8" x14ac:dyDescent="0.25">
      <c r="A680" s="339"/>
      <c r="B680" s="340"/>
      <c r="C680" s="638"/>
      <c r="D680" s="191"/>
      <c r="E680" s="192"/>
      <c r="F680" s="193"/>
      <c r="G680" s="341"/>
      <c r="H680" s="194"/>
    </row>
    <row r="681" spans="1:8" x14ac:dyDescent="0.25">
      <c r="A681" s="339"/>
      <c r="B681" s="340"/>
      <c r="C681" s="638"/>
      <c r="D681" s="191"/>
      <c r="E681" s="192"/>
      <c r="F681" s="193"/>
      <c r="G681" s="341"/>
      <c r="H681" s="194"/>
    </row>
    <row r="682" spans="1:8" x14ac:dyDescent="0.25">
      <c r="A682" s="339"/>
      <c r="B682" s="340"/>
      <c r="C682" s="638"/>
      <c r="D682" s="191"/>
      <c r="E682" s="192"/>
      <c r="F682" s="193"/>
      <c r="G682" s="341"/>
      <c r="H682" s="194"/>
    </row>
    <row r="683" spans="1:8" x14ac:dyDescent="0.25">
      <c r="A683" s="339"/>
      <c r="B683" s="340"/>
      <c r="C683" s="638"/>
      <c r="D683" s="191"/>
      <c r="E683" s="192"/>
      <c r="F683" s="193"/>
      <c r="G683" s="341"/>
      <c r="H683" s="194"/>
    </row>
    <row r="684" spans="1:8" x14ac:dyDescent="0.25">
      <c r="A684" s="339"/>
      <c r="B684" s="340"/>
      <c r="C684" s="638"/>
      <c r="D684" s="191"/>
      <c r="E684" s="192"/>
      <c r="F684" s="193"/>
      <c r="G684" s="341"/>
      <c r="H684" s="194"/>
    </row>
    <row r="685" spans="1:8" x14ac:dyDescent="0.25">
      <c r="A685" s="339"/>
      <c r="B685" s="340"/>
      <c r="C685" s="638"/>
      <c r="D685" s="191"/>
      <c r="E685" s="192"/>
      <c r="F685" s="193"/>
      <c r="G685" s="341"/>
      <c r="H685" s="194"/>
    </row>
    <row r="686" spans="1:8" x14ac:dyDescent="0.25">
      <c r="A686" s="339"/>
      <c r="B686" s="340"/>
      <c r="C686" s="638"/>
      <c r="D686" s="191"/>
      <c r="E686" s="192"/>
      <c r="F686" s="193"/>
      <c r="G686" s="341"/>
      <c r="H686" s="194"/>
    </row>
    <row r="687" spans="1:8" x14ac:dyDescent="0.25">
      <c r="A687" s="339"/>
      <c r="B687" s="340"/>
      <c r="C687" s="638"/>
      <c r="D687" s="191"/>
      <c r="E687" s="192"/>
      <c r="F687" s="193"/>
      <c r="G687" s="341"/>
      <c r="H687" s="194"/>
    </row>
    <row r="688" spans="1:8" x14ac:dyDescent="0.25">
      <c r="A688" s="339"/>
      <c r="B688" s="340"/>
      <c r="C688" s="638"/>
      <c r="D688" s="191"/>
      <c r="E688" s="192"/>
      <c r="F688" s="193"/>
      <c r="G688" s="341"/>
      <c r="H688" s="194"/>
    </row>
    <row r="689" spans="1:8" x14ac:dyDescent="0.25">
      <c r="A689" s="339"/>
      <c r="B689" s="340"/>
      <c r="C689" s="638"/>
      <c r="D689" s="191"/>
      <c r="E689" s="192"/>
      <c r="F689" s="193"/>
      <c r="G689" s="341"/>
      <c r="H689" s="194"/>
    </row>
    <row r="690" spans="1:8" x14ac:dyDescent="0.25">
      <c r="A690" s="339"/>
      <c r="B690" s="340"/>
      <c r="C690" s="638"/>
      <c r="D690" s="191"/>
      <c r="E690" s="192"/>
      <c r="F690" s="193"/>
      <c r="G690" s="341"/>
      <c r="H690" s="194"/>
    </row>
    <row r="691" spans="1:8" x14ac:dyDescent="0.25">
      <c r="A691" s="339"/>
      <c r="B691" s="340"/>
      <c r="C691" s="638"/>
      <c r="D691" s="191"/>
      <c r="E691" s="192"/>
      <c r="F691" s="193"/>
      <c r="G691" s="341"/>
      <c r="H691" s="194"/>
    </row>
    <row r="692" spans="1:8" x14ac:dyDescent="0.25">
      <c r="A692" s="339"/>
      <c r="B692" s="340"/>
      <c r="C692" s="638"/>
      <c r="D692" s="191"/>
      <c r="E692" s="192"/>
      <c r="F692" s="193"/>
      <c r="G692" s="341"/>
      <c r="H692" s="194"/>
    </row>
    <row r="693" spans="1:8" x14ac:dyDescent="0.25">
      <c r="A693" s="339"/>
      <c r="B693" s="340"/>
      <c r="C693" s="638"/>
      <c r="D693" s="191"/>
      <c r="E693" s="192"/>
      <c r="F693" s="193"/>
      <c r="G693" s="341"/>
      <c r="H693" s="194"/>
    </row>
    <row r="694" spans="1:8" x14ac:dyDescent="0.25">
      <c r="A694" s="339"/>
      <c r="B694" s="340"/>
      <c r="C694" s="638"/>
      <c r="D694" s="191"/>
      <c r="E694" s="192"/>
      <c r="F694" s="193"/>
      <c r="G694" s="341"/>
      <c r="H694" s="194"/>
    </row>
    <row r="695" spans="1:8" x14ac:dyDescent="0.25">
      <c r="A695" s="339"/>
      <c r="B695" s="340"/>
      <c r="C695" s="638"/>
      <c r="D695" s="191"/>
      <c r="E695" s="192"/>
      <c r="F695" s="193"/>
      <c r="G695" s="341"/>
      <c r="H695" s="194"/>
    </row>
    <row r="696" spans="1:8" x14ac:dyDescent="0.25">
      <c r="A696" s="339"/>
      <c r="B696" s="340"/>
      <c r="C696" s="638"/>
      <c r="D696" s="191"/>
      <c r="E696" s="192"/>
      <c r="F696" s="193"/>
      <c r="G696" s="341"/>
      <c r="H696" s="194"/>
    </row>
    <row r="697" spans="1:8" x14ac:dyDescent="0.25">
      <c r="A697" s="339"/>
      <c r="B697" s="340"/>
      <c r="C697" s="638"/>
      <c r="D697" s="191"/>
      <c r="E697" s="192"/>
      <c r="F697" s="193"/>
      <c r="G697" s="341"/>
      <c r="H697" s="194"/>
    </row>
    <row r="698" spans="1:8" x14ac:dyDescent="0.25">
      <c r="A698" s="339"/>
      <c r="B698" s="340"/>
      <c r="C698" s="638"/>
      <c r="D698" s="191"/>
      <c r="E698" s="192"/>
      <c r="F698" s="193"/>
      <c r="G698" s="341"/>
      <c r="H698" s="194"/>
    </row>
    <row r="699" spans="1:8" x14ac:dyDescent="0.25">
      <c r="A699" s="339"/>
      <c r="B699" s="340"/>
      <c r="C699" s="638"/>
      <c r="D699" s="191"/>
      <c r="E699" s="192"/>
      <c r="F699" s="193"/>
      <c r="G699" s="341"/>
      <c r="H699" s="194"/>
    </row>
    <row r="700" spans="1:8" x14ac:dyDescent="0.25">
      <c r="A700" s="339"/>
      <c r="B700" s="340"/>
      <c r="C700" s="638"/>
      <c r="D700" s="191"/>
      <c r="E700" s="192"/>
      <c r="F700" s="193"/>
      <c r="G700" s="341"/>
      <c r="H700" s="194"/>
    </row>
    <row r="701" spans="1:8" x14ac:dyDescent="0.25">
      <c r="A701" s="339"/>
      <c r="B701" s="340"/>
      <c r="C701" s="638"/>
      <c r="D701" s="191"/>
      <c r="E701" s="192"/>
      <c r="F701" s="193"/>
      <c r="G701" s="341"/>
      <c r="H701" s="194"/>
    </row>
    <row r="702" spans="1:8" x14ac:dyDescent="0.25">
      <c r="A702" s="339"/>
      <c r="B702" s="340"/>
      <c r="C702" s="638"/>
      <c r="D702" s="191"/>
      <c r="E702" s="192"/>
      <c r="F702" s="193"/>
      <c r="G702" s="341"/>
      <c r="H702" s="194"/>
    </row>
    <row r="703" spans="1:8" x14ac:dyDescent="0.25">
      <c r="A703" s="339"/>
      <c r="B703" s="340"/>
      <c r="C703" s="638"/>
      <c r="D703" s="191"/>
      <c r="E703" s="192"/>
      <c r="F703" s="193"/>
      <c r="G703" s="341"/>
      <c r="H703" s="194"/>
    </row>
    <row r="704" spans="1:8" x14ac:dyDescent="0.25">
      <c r="A704" s="339"/>
      <c r="B704" s="340"/>
      <c r="C704" s="638"/>
      <c r="D704" s="191"/>
      <c r="E704" s="192"/>
      <c r="F704" s="193"/>
      <c r="G704" s="341"/>
      <c r="H704" s="194"/>
    </row>
    <row r="705" spans="1:8" x14ac:dyDescent="0.25">
      <c r="A705" s="339"/>
      <c r="B705" s="340"/>
      <c r="C705" s="638"/>
      <c r="D705" s="191"/>
      <c r="E705" s="192"/>
      <c r="F705" s="193"/>
      <c r="G705" s="341"/>
      <c r="H705" s="194"/>
    </row>
    <row r="706" spans="1:8" x14ac:dyDescent="0.25">
      <c r="A706" s="339"/>
      <c r="B706" s="340"/>
      <c r="C706" s="638"/>
      <c r="D706" s="191"/>
      <c r="E706" s="192"/>
      <c r="F706" s="193"/>
      <c r="G706" s="341"/>
      <c r="H706" s="194"/>
    </row>
    <row r="707" spans="1:8" x14ac:dyDescent="0.25">
      <c r="A707" s="339"/>
      <c r="B707" s="340"/>
      <c r="C707" s="638"/>
      <c r="D707" s="191"/>
      <c r="E707" s="192"/>
      <c r="F707" s="193"/>
      <c r="G707" s="341"/>
      <c r="H707" s="194"/>
    </row>
    <row r="708" spans="1:8" x14ac:dyDescent="0.25">
      <c r="A708" s="339"/>
      <c r="B708" s="340"/>
      <c r="C708" s="638"/>
      <c r="D708" s="191"/>
      <c r="E708" s="192"/>
      <c r="F708" s="193"/>
      <c r="G708" s="341"/>
      <c r="H708" s="194"/>
    </row>
    <row r="709" spans="1:8" x14ac:dyDescent="0.25">
      <c r="A709" s="339"/>
      <c r="B709" s="340"/>
      <c r="C709" s="638"/>
      <c r="D709" s="191"/>
      <c r="E709" s="192"/>
      <c r="F709" s="193"/>
      <c r="G709" s="341"/>
      <c r="H709" s="194"/>
    </row>
    <row r="710" spans="1:8" x14ac:dyDescent="0.25">
      <c r="A710" s="339"/>
      <c r="B710" s="340"/>
      <c r="C710" s="638"/>
      <c r="D710" s="191"/>
      <c r="E710" s="192"/>
      <c r="F710" s="193"/>
      <c r="G710" s="341"/>
      <c r="H710" s="194"/>
    </row>
    <row r="711" spans="1:8" x14ac:dyDescent="0.25">
      <c r="A711" s="339"/>
      <c r="B711" s="340"/>
      <c r="C711" s="638"/>
      <c r="D711" s="191"/>
      <c r="E711" s="192"/>
      <c r="F711" s="193"/>
      <c r="G711" s="341"/>
      <c r="H711" s="194"/>
    </row>
    <row r="712" spans="1:8" x14ac:dyDescent="0.25">
      <c r="A712" s="339"/>
      <c r="B712" s="340"/>
      <c r="C712" s="638"/>
      <c r="D712" s="191"/>
      <c r="E712" s="192"/>
      <c r="F712" s="193"/>
      <c r="G712" s="341"/>
      <c r="H712" s="194"/>
    </row>
    <row r="713" spans="1:8" x14ac:dyDescent="0.25">
      <c r="A713" s="339"/>
      <c r="B713" s="340"/>
      <c r="C713" s="638"/>
      <c r="D713" s="191"/>
      <c r="E713" s="192"/>
      <c r="F713" s="193"/>
      <c r="G713" s="341"/>
      <c r="H713" s="194"/>
    </row>
    <row r="714" spans="1:8" x14ac:dyDescent="0.25">
      <c r="A714" s="339"/>
      <c r="B714" s="340"/>
      <c r="C714" s="638"/>
      <c r="D714" s="191"/>
      <c r="E714" s="192"/>
      <c r="F714" s="193"/>
      <c r="G714" s="341"/>
      <c r="H714" s="194"/>
    </row>
    <row r="715" spans="1:8" x14ac:dyDescent="0.25">
      <c r="A715" s="339"/>
      <c r="B715" s="340"/>
      <c r="C715" s="638"/>
      <c r="D715" s="191"/>
      <c r="E715" s="192"/>
      <c r="F715" s="193"/>
      <c r="G715" s="341"/>
      <c r="H715" s="194"/>
    </row>
    <row r="716" spans="1:8" x14ac:dyDescent="0.25">
      <c r="A716" s="339"/>
      <c r="B716" s="340"/>
      <c r="C716" s="638"/>
      <c r="D716" s="191"/>
      <c r="E716" s="192"/>
      <c r="F716" s="193"/>
      <c r="G716" s="341"/>
      <c r="H716" s="194"/>
    </row>
    <row r="717" spans="1:8" x14ac:dyDescent="0.25">
      <c r="A717" s="339"/>
      <c r="B717" s="340"/>
      <c r="C717" s="638"/>
      <c r="D717" s="191"/>
      <c r="E717" s="192"/>
      <c r="F717" s="193"/>
      <c r="G717" s="341"/>
      <c r="H717" s="194"/>
    </row>
    <row r="718" spans="1:8" x14ac:dyDescent="0.25">
      <c r="A718" s="339"/>
      <c r="B718" s="340"/>
      <c r="C718" s="638"/>
      <c r="D718" s="191"/>
      <c r="E718" s="192"/>
      <c r="F718" s="193"/>
      <c r="G718" s="341"/>
      <c r="H718" s="194"/>
    </row>
    <row r="719" spans="1:8" x14ac:dyDescent="0.25">
      <c r="A719" s="339"/>
      <c r="B719" s="340"/>
      <c r="C719" s="638"/>
      <c r="D719" s="191"/>
      <c r="E719" s="192"/>
      <c r="F719" s="193"/>
      <c r="G719" s="341"/>
      <c r="H719" s="194"/>
    </row>
    <row r="720" spans="1:8" x14ac:dyDescent="0.25">
      <c r="A720" s="339"/>
      <c r="B720" s="340"/>
      <c r="C720" s="638"/>
      <c r="D720" s="191"/>
      <c r="E720" s="192"/>
      <c r="F720" s="193"/>
      <c r="G720" s="341"/>
      <c r="H720" s="194"/>
    </row>
    <row r="721" spans="1:8" x14ac:dyDescent="0.25">
      <c r="A721" s="339"/>
      <c r="B721" s="340"/>
      <c r="C721" s="638"/>
      <c r="D721" s="191"/>
      <c r="E721" s="192"/>
      <c r="F721" s="193"/>
      <c r="G721" s="341"/>
      <c r="H721" s="194"/>
    </row>
    <row r="722" spans="1:8" x14ac:dyDescent="0.25">
      <c r="A722" s="339"/>
      <c r="B722" s="340"/>
      <c r="C722" s="638"/>
      <c r="D722" s="191"/>
      <c r="E722" s="192"/>
      <c r="F722" s="193"/>
      <c r="G722" s="341"/>
      <c r="H722" s="194"/>
    </row>
    <row r="723" spans="1:8" x14ac:dyDescent="0.25">
      <c r="A723" s="339"/>
      <c r="B723" s="340"/>
      <c r="C723" s="638"/>
      <c r="D723" s="191"/>
      <c r="E723" s="192"/>
      <c r="F723" s="193"/>
      <c r="G723" s="341"/>
      <c r="H723" s="194"/>
    </row>
    <row r="724" spans="1:8" x14ac:dyDescent="0.25">
      <c r="A724" s="339"/>
      <c r="B724" s="340"/>
      <c r="C724" s="638"/>
      <c r="D724" s="191"/>
      <c r="E724" s="192"/>
      <c r="F724" s="193"/>
      <c r="G724" s="341"/>
      <c r="H724" s="194"/>
    </row>
    <row r="725" spans="1:8" x14ac:dyDescent="0.25">
      <c r="A725" s="339"/>
      <c r="B725" s="340"/>
      <c r="C725" s="638"/>
      <c r="D725" s="191"/>
      <c r="E725" s="192"/>
      <c r="F725" s="193"/>
      <c r="G725" s="341"/>
      <c r="H725" s="194"/>
    </row>
    <row r="726" spans="1:8" x14ac:dyDescent="0.25">
      <c r="A726" s="339"/>
      <c r="B726" s="340"/>
      <c r="C726" s="638"/>
      <c r="D726" s="191"/>
      <c r="E726" s="192"/>
      <c r="F726" s="193"/>
      <c r="G726" s="341"/>
      <c r="H726" s="194"/>
    </row>
  </sheetData>
  <mergeCells count="4">
    <mergeCell ref="A1:F1"/>
    <mergeCell ref="A2:F2"/>
    <mergeCell ref="A5:A6"/>
    <mergeCell ref="A314:A315"/>
  </mergeCells>
  <conditionalFormatting sqref="A428">
    <cfRule type="cellIs" dxfId="73" priority="51" operator="equal">
      <formula>"x"</formula>
    </cfRule>
  </conditionalFormatting>
  <conditionalFormatting sqref="D169:D171 D35:D57 D33 D129:D146 D59:D66">
    <cfRule type="cellIs" dxfId="72" priority="50" operator="notEqual">
      <formula>#REF!</formula>
    </cfRule>
  </conditionalFormatting>
  <conditionalFormatting sqref="A428">
    <cfRule type="iconSet" priority="49">
      <iconSet iconSet="3Flags" showValue="0">
        <cfvo type="percent" val="0"/>
        <cfvo type="num" val="0"/>
        <cfvo type="num" val="1"/>
      </iconSet>
    </cfRule>
  </conditionalFormatting>
  <conditionalFormatting sqref="D182:D187 D189:D219 C182 C186 C207">
    <cfRule type="cellIs" dxfId="71" priority="48" operator="notEqual">
      <formula>#REF!</formula>
    </cfRule>
  </conditionalFormatting>
  <conditionalFormatting sqref="D175:D176 C176">
    <cfRule type="cellIs" dxfId="70" priority="47" operator="notEqual">
      <formula>#REF!</formula>
    </cfRule>
  </conditionalFormatting>
  <conditionalFormatting sqref="D178 D181:D182 D206 C168:D168 C182">
    <cfRule type="cellIs" dxfId="69" priority="46" operator="notEqual">
      <formula>#REF!</formula>
    </cfRule>
  </conditionalFormatting>
  <conditionalFormatting sqref="D199:D205">
    <cfRule type="cellIs" dxfId="68" priority="45" operator="notEqual">
      <formula>#REF!</formula>
    </cfRule>
  </conditionalFormatting>
  <conditionalFormatting sqref="D188">
    <cfRule type="cellIs" dxfId="67" priority="44" operator="notEqual">
      <formula>#REF!</formula>
    </cfRule>
  </conditionalFormatting>
  <conditionalFormatting sqref="D179:D180">
    <cfRule type="cellIs" dxfId="66" priority="43" operator="notEqual">
      <formula>#REF!</formula>
    </cfRule>
  </conditionalFormatting>
  <conditionalFormatting sqref="D179:D180">
    <cfRule type="cellIs" dxfId="65" priority="41" operator="notEqual">
      <formula>#REF!</formula>
    </cfRule>
  </conditionalFormatting>
  <conditionalFormatting sqref="D183:D186 C186">
    <cfRule type="cellIs" dxfId="64" priority="40" operator="notEqual">
      <formula>#REF!</formula>
    </cfRule>
  </conditionalFormatting>
  <conditionalFormatting sqref="D187">
    <cfRule type="cellIs" dxfId="63" priority="39" operator="notEqual">
      <formula>#REF!</formula>
    </cfRule>
  </conditionalFormatting>
  <conditionalFormatting sqref="D188">
    <cfRule type="cellIs" dxfId="62" priority="37" operator="notEqual">
      <formula>#REF!</formula>
    </cfRule>
  </conditionalFormatting>
  <conditionalFormatting sqref="D190">
    <cfRule type="cellIs" dxfId="61" priority="36" operator="notEqual">
      <formula>#REF!</formula>
    </cfRule>
  </conditionalFormatting>
  <conditionalFormatting sqref="D189">
    <cfRule type="cellIs" dxfId="60" priority="35" operator="notEqual">
      <formula>#REF!</formula>
    </cfRule>
  </conditionalFormatting>
  <conditionalFormatting sqref="D191:D192">
    <cfRule type="cellIs" dxfId="59" priority="34" operator="notEqual">
      <formula>#REF!</formula>
    </cfRule>
  </conditionalFormatting>
  <conditionalFormatting sqref="D190">
    <cfRule type="cellIs" dxfId="58" priority="33" operator="notEqual">
      <formula>#REF!</formula>
    </cfRule>
  </conditionalFormatting>
  <conditionalFormatting sqref="D58">
    <cfRule type="cellIs" dxfId="57" priority="32" operator="notEqual">
      <formula>#REF!</formula>
    </cfRule>
  </conditionalFormatting>
  <conditionalFormatting sqref="D179:D180">
    <cfRule type="cellIs" dxfId="56" priority="25" operator="notEqual">
      <formula>#REF!</formula>
    </cfRule>
  </conditionalFormatting>
  <conditionalFormatting sqref="D183:D185">
    <cfRule type="cellIs" dxfId="55" priority="24" operator="notEqual">
      <formula>#REF!</formula>
    </cfRule>
  </conditionalFormatting>
  <conditionalFormatting sqref="D187">
    <cfRule type="cellIs" dxfId="54" priority="23" operator="notEqual">
      <formula>#REF!</formula>
    </cfRule>
  </conditionalFormatting>
  <conditionalFormatting sqref="D198">
    <cfRule type="cellIs" dxfId="53" priority="21" operator="notEqual">
      <formula>#REF!</formula>
    </cfRule>
  </conditionalFormatting>
  <conditionalFormatting sqref="D188">
    <cfRule type="cellIs" dxfId="52" priority="20" operator="notEqual">
      <formula>#REF!</formula>
    </cfRule>
  </conditionalFormatting>
  <conditionalFormatting sqref="D190">
    <cfRule type="cellIs" dxfId="51" priority="19" operator="notEqual">
      <formula>#REF!</formula>
    </cfRule>
  </conditionalFormatting>
  <conditionalFormatting sqref="D189">
    <cfRule type="cellIs" dxfId="50" priority="18" operator="notEqual">
      <formula>#REF!</formula>
    </cfRule>
  </conditionalFormatting>
  <conditionalFormatting sqref="D213">
    <cfRule type="cellIs" dxfId="49" priority="17" operator="notEqual">
      <formula>#REF!</formula>
    </cfRule>
  </conditionalFormatting>
  <conditionalFormatting sqref="D188:D189 D191:D193">
    <cfRule type="cellIs" dxfId="48" priority="16" operator="notEqual">
      <formula>#REF!</formula>
    </cfRule>
  </conditionalFormatting>
  <conditionalFormatting sqref="D194:D196">
    <cfRule type="cellIs" dxfId="47" priority="15" operator="notEqual">
      <formula>#REF!</formula>
    </cfRule>
  </conditionalFormatting>
  <conditionalFormatting sqref="D197">
    <cfRule type="cellIs" dxfId="46" priority="14" operator="notEqual">
      <formula>#REF!</formula>
    </cfRule>
  </conditionalFormatting>
  <conditionalFormatting sqref="D190">
    <cfRule type="cellIs" dxfId="45" priority="13" operator="notEqual">
      <formula>#REF!</formula>
    </cfRule>
  </conditionalFormatting>
  <conditionalFormatting sqref="D198">
    <cfRule type="cellIs" dxfId="44" priority="12" operator="notEqual">
      <formula>#REF!</formula>
    </cfRule>
  </conditionalFormatting>
  <conditionalFormatting sqref="D172:D174">
    <cfRule type="cellIs" dxfId="43" priority="7" operator="notEqual">
      <formula>#REF!</formula>
    </cfRule>
  </conditionalFormatting>
  <conditionalFormatting sqref="D219">
    <cfRule type="cellIs" dxfId="42" priority="5" operator="notEqual">
      <formula>#REF!</formula>
    </cfRule>
  </conditionalFormatting>
  <conditionalFormatting sqref="D147:D161 D167">
    <cfRule type="cellIs" dxfId="41" priority="4" operator="notEqual">
      <formula>#REF!</formula>
    </cfRule>
  </conditionalFormatting>
  <conditionalFormatting sqref="D162:D166">
    <cfRule type="cellIs" dxfId="40" priority="3" operator="notEqual">
      <formula>#REF!</formula>
    </cfRule>
  </conditionalFormatting>
  <pageMargins left="0.70866141732283472" right="0.70866141732283472" top="0.78740157480314965" bottom="0.78740157480314965" header="0.31496062992125984" footer="0.31496062992125984"/>
  <pageSetup paperSize="9" scale="49" fitToHeight="4" orientation="portrait" r:id="rId1"/>
  <colBreaks count="1" manualBreakCount="1">
    <brk id="6" max="1048575" man="1"/>
  </colBreaks>
  <legacy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67"/>
  <sheetViews>
    <sheetView topLeftCell="A46" workbookViewId="0">
      <selection activeCell="I23" sqref="I23"/>
    </sheetView>
  </sheetViews>
  <sheetFormatPr defaultColWidth="8.85546875" defaultRowHeight="12.75" x14ac:dyDescent="0.2"/>
  <cols>
    <col min="1" max="1" width="11.5703125" style="469" customWidth="1"/>
    <col min="2" max="2" width="96.7109375" style="469" bestFit="1" customWidth="1"/>
    <col min="3" max="3" width="16.7109375" style="469" customWidth="1"/>
    <col min="4" max="4" width="17.7109375" style="469" customWidth="1"/>
    <col min="5" max="5" width="12.5703125" style="469" customWidth="1"/>
    <col min="6" max="6" width="17.5703125" style="469" customWidth="1"/>
    <col min="7" max="7" width="20.85546875" style="469" customWidth="1"/>
    <col min="8" max="8" width="21.85546875" style="469" customWidth="1"/>
    <col min="9" max="9" width="17.28515625" style="469" customWidth="1"/>
    <col min="10" max="10" width="16.28515625" style="469" customWidth="1"/>
    <col min="11" max="11" width="18.28515625" style="469" customWidth="1"/>
    <col min="12" max="16384" width="8.85546875" style="469"/>
  </cols>
  <sheetData>
    <row r="1" spans="1:11" ht="22.5" x14ac:dyDescent="0.3">
      <c r="A1" s="472" t="s">
        <v>0</v>
      </c>
      <c r="B1" s="472"/>
      <c r="C1" s="472"/>
      <c r="D1" s="472"/>
      <c r="E1" s="472"/>
      <c r="F1" s="472"/>
    </row>
    <row r="2" spans="1:11" ht="22.5" x14ac:dyDescent="0.3">
      <c r="A2" s="472" t="s">
        <v>673</v>
      </c>
      <c r="B2" s="472"/>
      <c r="C2" s="472"/>
      <c r="D2" s="472"/>
      <c r="E2" s="472"/>
      <c r="F2" s="472"/>
    </row>
    <row r="3" spans="1:11" ht="22.5" x14ac:dyDescent="0.3">
      <c r="A3" s="472"/>
      <c r="B3" s="473"/>
      <c r="C3" s="474"/>
      <c r="D3" s="475"/>
      <c r="E3" s="475"/>
      <c r="F3" s="475"/>
    </row>
    <row r="4" spans="1:11" ht="23.25" thickBot="1" x14ac:dyDescent="0.35">
      <c r="A4" s="472"/>
      <c r="B4" s="476"/>
      <c r="C4" s="475" t="s">
        <v>674</v>
      </c>
      <c r="D4" s="477"/>
      <c r="E4" s="475"/>
      <c r="F4" s="478"/>
    </row>
    <row r="5" spans="1:11" ht="16.5" thickBot="1" x14ac:dyDescent="0.3">
      <c r="A5" s="645" t="s">
        <v>193</v>
      </c>
      <c r="B5" s="479"/>
      <c r="C5" s="480"/>
      <c r="D5" s="481"/>
      <c r="E5" s="482"/>
      <c r="F5" s="482"/>
      <c r="G5" s="483"/>
    </row>
    <row r="6" spans="1:11" ht="16.5" thickBot="1" x14ac:dyDescent="0.3">
      <c r="A6" s="646"/>
      <c r="B6" s="484" t="s">
        <v>2</v>
      </c>
      <c r="C6" s="485" t="s">
        <v>3</v>
      </c>
      <c r="D6" s="486" t="s">
        <v>4</v>
      </c>
      <c r="E6" s="487" t="s">
        <v>5</v>
      </c>
      <c r="F6" s="487" t="s">
        <v>6</v>
      </c>
      <c r="I6" s="488" t="s">
        <v>358</v>
      </c>
      <c r="J6" s="489" t="s">
        <v>355</v>
      </c>
      <c r="K6" s="490" t="s">
        <v>359</v>
      </c>
    </row>
    <row r="7" spans="1:11" ht="15.75" x14ac:dyDescent="0.25">
      <c r="A7" s="491"/>
      <c r="B7" s="492" t="s">
        <v>8</v>
      </c>
      <c r="C7" s="493">
        <v>5902.2090000000007</v>
      </c>
      <c r="D7" s="493">
        <v>4791814</v>
      </c>
      <c r="E7" s="494"/>
      <c r="F7" s="495"/>
      <c r="G7" s="471"/>
      <c r="I7" s="496"/>
      <c r="J7" s="497"/>
      <c r="K7" s="498"/>
    </row>
    <row r="8" spans="1:11" ht="15.75" x14ac:dyDescent="0.25">
      <c r="A8" s="491"/>
      <c r="B8" s="499" t="s">
        <v>9</v>
      </c>
      <c r="C8" s="500">
        <v>111.04</v>
      </c>
      <c r="D8" s="500">
        <v>111040</v>
      </c>
      <c r="E8" s="501">
        <v>92241</v>
      </c>
      <c r="F8" s="495" t="s">
        <v>10</v>
      </c>
      <c r="G8" s="471"/>
      <c r="I8" s="496"/>
      <c r="J8" s="502">
        <v>111040</v>
      </c>
      <c r="K8" s="498"/>
    </row>
    <row r="9" spans="1:11" ht="15.75" x14ac:dyDescent="0.25">
      <c r="A9" s="491"/>
      <c r="B9" s="499" t="s">
        <v>11</v>
      </c>
      <c r="C9" s="500">
        <v>2001.1780000000001</v>
      </c>
      <c r="D9" s="500">
        <v>2001178</v>
      </c>
      <c r="E9" s="501">
        <v>92241</v>
      </c>
      <c r="F9" s="495" t="s">
        <v>10</v>
      </c>
      <c r="G9" s="503"/>
      <c r="I9" s="496"/>
      <c r="J9" s="502">
        <v>1742042</v>
      </c>
      <c r="K9" s="498"/>
    </row>
    <row r="10" spans="1:11" ht="15.75" x14ac:dyDescent="0.25">
      <c r="A10" s="491"/>
      <c r="B10" s="499" t="s">
        <v>12</v>
      </c>
      <c r="C10" s="500">
        <v>1575.905</v>
      </c>
      <c r="D10" s="500">
        <v>1122542</v>
      </c>
      <c r="E10" s="501">
        <v>92241</v>
      </c>
      <c r="F10" s="495" t="s">
        <v>10</v>
      </c>
      <c r="G10" s="471"/>
      <c r="H10" s="471">
        <v>453363</v>
      </c>
      <c r="I10" s="496"/>
      <c r="J10" s="502">
        <v>1122542</v>
      </c>
      <c r="K10" s="498"/>
    </row>
    <row r="11" spans="1:11" ht="15.75" x14ac:dyDescent="0.25">
      <c r="A11" s="491"/>
      <c r="B11" s="499" t="s">
        <v>13</v>
      </c>
      <c r="C11" s="500">
        <v>2214.0859999999998</v>
      </c>
      <c r="D11" s="500">
        <v>1557054</v>
      </c>
      <c r="E11" s="501">
        <v>92241</v>
      </c>
      <c r="F11" s="495" t="s">
        <v>10</v>
      </c>
      <c r="G11" s="471"/>
      <c r="H11" s="471">
        <v>657032</v>
      </c>
      <c r="I11" s="496"/>
      <c r="J11" s="502">
        <v>1557054</v>
      </c>
      <c r="K11" s="498"/>
    </row>
    <row r="12" spans="1:11" ht="15.75" x14ac:dyDescent="0.25">
      <c r="A12" s="504"/>
      <c r="B12" s="499"/>
      <c r="C12" s="505"/>
      <c r="D12" s="505"/>
      <c r="E12" s="501"/>
      <c r="F12" s="495"/>
      <c r="G12" s="471"/>
      <c r="I12" s="496"/>
      <c r="J12" s="497"/>
      <c r="K12" s="498"/>
    </row>
    <row r="13" spans="1:11" ht="15.75" x14ac:dyDescent="0.25">
      <c r="A13" s="504"/>
      <c r="B13" s="492" t="s">
        <v>14</v>
      </c>
      <c r="C13" s="506">
        <v>497.90172000000001</v>
      </c>
      <c r="D13" s="506">
        <v>497901.72</v>
      </c>
      <c r="E13" s="501"/>
      <c r="F13" s="495"/>
      <c r="G13" s="471"/>
      <c r="I13" s="496"/>
      <c r="J13" s="497"/>
      <c r="K13" s="498"/>
    </row>
    <row r="14" spans="1:11" ht="15.75" x14ac:dyDescent="0.25">
      <c r="A14" s="504">
        <v>42117</v>
      </c>
      <c r="B14" s="499" t="s">
        <v>146</v>
      </c>
      <c r="C14" s="505">
        <v>33.306150000000002</v>
      </c>
      <c r="D14" s="505">
        <v>33306.15</v>
      </c>
      <c r="E14" s="501">
        <v>90001</v>
      </c>
      <c r="F14" s="495">
        <v>4113</v>
      </c>
      <c r="G14" s="471"/>
      <c r="I14" s="496"/>
      <c r="J14" s="497"/>
      <c r="K14" s="498"/>
    </row>
    <row r="15" spans="1:11" ht="15.75" x14ac:dyDescent="0.25">
      <c r="A15" s="504">
        <v>42194</v>
      </c>
      <c r="B15" s="499" t="s">
        <v>279</v>
      </c>
      <c r="C15" s="505">
        <v>5.5467000000000004</v>
      </c>
      <c r="D15" s="505">
        <v>5546.7</v>
      </c>
      <c r="E15" s="501">
        <v>90001</v>
      </c>
      <c r="F15" s="495">
        <v>4113</v>
      </c>
      <c r="G15" s="471"/>
      <c r="I15" s="496"/>
      <c r="J15" s="497"/>
      <c r="K15" s="498"/>
    </row>
    <row r="16" spans="1:11" ht="15.75" x14ac:dyDescent="0.25">
      <c r="A16" s="504">
        <v>42348</v>
      </c>
      <c r="B16" s="499" t="s">
        <v>633</v>
      </c>
      <c r="C16" s="505">
        <v>38.598590000000002</v>
      </c>
      <c r="D16" s="505">
        <v>38598.589999999997</v>
      </c>
      <c r="E16" s="501">
        <v>90001</v>
      </c>
      <c r="F16" s="495">
        <v>4113</v>
      </c>
      <c r="G16" s="471"/>
      <c r="I16" s="496"/>
      <c r="J16" s="497"/>
      <c r="K16" s="498"/>
    </row>
    <row r="17" spans="1:11" ht="15.75" x14ac:dyDescent="0.25">
      <c r="A17" s="504">
        <v>42348</v>
      </c>
      <c r="B17" s="499" t="s">
        <v>634</v>
      </c>
      <c r="C17" s="505">
        <v>20.12847</v>
      </c>
      <c r="D17" s="505">
        <v>20128.47</v>
      </c>
      <c r="E17" s="501">
        <v>90001</v>
      </c>
      <c r="F17" s="495">
        <v>4113</v>
      </c>
      <c r="G17" s="471"/>
      <c r="I17" s="496"/>
      <c r="J17" s="497"/>
      <c r="K17" s="498"/>
    </row>
    <row r="18" spans="1:11" ht="15.75" x14ac:dyDescent="0.25">
      <c r="A18" s="504">
        <v>42348</v>
      </c>
      <c r="B18" s="499" t="s">
        <v>646</v>
      </c>
      <c r="C18" s="505">
        <v>2.4167100000000001</v>
      </c>
      <c r="D18" s="505">
        <v>2416.71</v>
      </c>
      <c r="E18" s="501">
        <v>90001</v>
      </c>
      <c r="F18" s="495">
        <v>4113</v>
      </c>
      <c r="G18" s="471"/>
      <c r="I18" s="496"/>
      <c r="J18" s="497"/>
      <c r="K18" s="498"/>
    </row>
    <row r="19" spans="1:11" ht="15.75" x14ac:dyDescent="0.25">
      <c r="A19" s="504">
        <v>42349</v>
      </c>
      <c r="B19" s="499" t="s">
        <v>647</v>
      </c>
      <c r="C19" s="505">
        <v>6.9417999999999997</v>
      </c>
      <c r="D19" s="505">
        <v>6941.8</v>
      </c>
      <c r="E19" s="501">
        <v>90001</v>
      </c>
      <c r="F19" s="495">
        <v>4113</v>
      </c>
      <c r="G19" s="471"/>
      <c r="I19" s="496"/>
      <c r="J19" s="497"/>
      <c r="K19" s="498"/>
    </row>
    <row r="20" spans="1:11" ht="15.75" x14ac:dyDescent="0.25">
      <c r="A20" s="491">
        <v>42354</v>
      </c>
      <c r="B20" s="499" t="s">
        <v>648</v>
      </c>
      <c r="C20" s="505">
        <v>3.1039500000000002</v>
      </c>
      <c r="D20" s="505">
        <v>3103.95</v>
      </c>
      <c r="E20" s="501">
        <v>90001</v>
      </c>
      <c r="F20" s="495">
        <v>4113</v>
      </c>
      <c r="G20" s="471"/>
      <c r="I20" s="496"/>
      <c r="J20" s="497"/>
      <c r="K20" s="498"/>
    </row>
    <row r="21" spans="1:11" ht="15.75" x14ac:dyDescent="0.25">
      <c r="A21" s="504">
        <v>42354</v>
      </c>
      <c r="B21" s="499" t="s">
        <v>649</v>
      </c>
      <c r="C21" s="505">
        <v>1.93167</v>
      </c>
      <c r="D21" s="505">
        <v>1931.67</v>
      </c>
      <c r="E21" s="501">
        <v>90001</v>
      </c>
      <c r="F21" s="495">
        <v>4113</v>
      </c>
      <c r="G21" s="471"/>
      <c r="I21" s="496"/>
      <c r="J21" s="497"/>
      <c r="K21" s="498"/>
    </row>
    <row r="22" spans="1:11" ht="15.75" x14ac:dyDescent="0.25">
      <c r="A22" s="504">
        <v>42354</v>
      </c>
      <c r="B22" s="499" t="s">
        <v>650</v>
      </c>
      <c r="C22" s="505">
        <v>6.3040599999999998</v>
      </c>
      <c r="D22" s="505">
        <v>6304.06</v>
      </c>
      <c r="E22" s="501">
        <v>90001</v>
      </c>
      <c r="F22" s="495">
        <v>4113</v>
      </c>
      <c r="G22" s="471"/>
      <c r="I22" s="496"/>
      <c r="J22" s="497"/>
      <c r="K22" s="498"/>
    </row>
    <row r="23" spans="1:11" ht="15.75" x14ac:dyDescent="0.25">
      <c r="A23" s="504">
        <v>42354</v>
      </c>
      <c r="B23" s="499" t="s">
        <v>651</v>
      </c>
      <c r="C23" s="505">
        <v>0.12103999999999999</v>
      </c>
      <c r="D23" s="505">
        <v>121.04</v>
      </c>
      <c r="E23" s="501">
        <v>90001</v>
      </c>
      <c r="F23" s="495">
        <v>4113</v>
      </c>
      <c r="G23" s="471"/>
      <c r="I23" s="496"/>
      <c r="J23" s="497"/>
      <c r="K23" s="498"/>
    </row>
    <row r="24" spans="1:11" ht="15.75" x14ac:dyDescent="0.25">
      <c r="A24" s="504">
        <v>42354</v>
      </c>
      <c r="B24" s="499" t="s">
        <v>664</v>
      </c>
      <c r="C24" s="505">
        <v>0.60499999999999998</v>
      </c>
      <c r="D24" s="505">
        <v>605</v>
      </c>
      <c r="E24" s="501">
        <v>90001</v>
      </c>
      <c r="F24" s="495">
        <v>4113</v>
      </c>
      <c r="G24" s="471"/>
      <c r="I24" s="496"/>
      <c r="J24" s="497"/>
      <c r="K24" s="498"/>
    </row>
    <row r="25" spans="1:11" ht="15.75" x14ac:dyDescent="0.25">
      <c r="A25" s="504">
        <v>42354</v>
      </c>
      <c r="B25" s="499" t="s">
        <v>652</v>
      </c>
      <c r="C25" s="505">
        <v>2.1863999999999999</v>
      </c>
      <c r="D25" s="505">
        <v>2186.4</v>
      </c>
      <c r="E25" s="501">
        <v>90001</v>
      </c>
      <c r="F25" s="495">
        <v>4113</v>
      </c>
      <c r="G25" s="471"/>
      <c r="I25" s="496"/>
      <c r="J25" s="497"/>
      <c r="K25" s="498"/>
    </row>
    <row r="26" spans="1:11" ht="15.75" x14ac:dyDescent="0.25">
      <c r="A26" s="504"/>
      <c r="B26" s="499" t="s">
        <v>446</v>
      </c>
      <c r="C26" s="507">
        <v>0.17544999999999999</v>
      </c>
      <c r="D26" s="500">
        <v>175.45</v>
      </c>
      <c r="E26" s="501">
        <v>90001</v>
      </c>
      <c r="F26" s="495">
        <v>4113</v>
      </c>
      <c r="G26" s="471"/>
      <c r="I26" s="496"/>
      <c r="J26" s="497">
        <v>175.45</v>
      </c>
      <c r="K26" s="498"/>
    </row>
    <row r="27" spans="1:11" ht="15.75" x14ac:dyDescent="0.25">
      <c r="A27" s="504"/>
      <c r="B27" s="499" t="s">
        <v>617</v>
      </c>
      <c r="C27" s="507">
        <v>250.50664</v>
      </c>
      <c r="D27" s="500">
        <v>250506.64</v>
      </c>
      <c r="E27" s="501">
        <v>90001</v>
      </c>
      <c r="F27" s="495">
        <v>4113</v>
      </c>
      <c r="G27" s="471"/>
      <c r="I27" s="496"/>
      <c r="J27" s="497">
        <v>250506.64</v>
      </c>
      <c r="K27" s="498"/>
    </row>
    <row r="28" spans="1:11" ht="15.75" x14ac:dyDescent="0.25">
      <c r="A28" s="504"/>
      <c r="B28" s="499" t="s">
        <v>445</v>
      </c>
      <c r="C28" s="507">
        <v>1.8742399999999999</v>
      </c>
      <c r="D28" s="500">
        <v>1874.24</v>
      </c>
      <c r="E28" s="501">
        <v>90001</v>
      </c>
      <c r="F28" s="495">
        <v>4113</v>
      </c>
      <c r="G28" s="471"/>
      <c r="I28" s="496"/>
      <c r="J28" s="497">
        <v>1874.24</v>
      </c>
      <c r="K28" s="498"/>
    </row>
    <row r="29" spans="1:11" ht="15.75" x14ac:dyDescent="0.25">
      <c r="A29" s="504"/>
      <c r="B29" s="499" t="s">
        <v>643</v>
      </c>
      <c r="C29" s="507">
        <v>31.965800000000002</v>
      </c>
      <c r="D29" s="500">
        <v>31965.8</v>
      </c>
      <c r="E29" s="501">
        <v>90001</v>
      </c>
      <c r="F29" s="495">
        <v>4113</v>
      </c>
      <c r="G29" s="471"/>
      <c r="I29" s="496"/>
      <c r="J29" s="497">
        <v>31965.8</v>
      </c>
      <c r="K29" s="498"/>
    </row>
    <row r="30" spans="1:11" ht="15.75" x14ac:dyDescent="0.25">
      <c r="A30" s="504"/>
      <c r="B30" s="499" t="s">
        <v>591</v>
      </c>
      <c r="C30" s="507">
        <v>92.189049999999995</v>
      </c>
      <c r="D30" s="500">
        <v>92189.05</v>
      </c>
      <c r="E30" s="501">
        <v>90001</v>
      </c>
      <c r="F30" s="495">
        <v>4113</v>
      </c>
      <c r="G30" s="471"/>
      <c r="I30" s="496"/>
      <c r="J30" s="497">
        <v>92189.05</v>
      </c>
      <c r="K30" s="498"/>
    </row>
    <row r="31" spans="1:11" ht="15.75" x14ac:dyDescent="0.25">
      <c r="A31" s="504"/>
      <c r="B31" s="499"/>
      <c r="C31" s="505"/>
      <c r="D31" s="505"/>
      <c r="E31" s="501"/>
      <c r="F31" s="495"/>
      <c r="G31" s="471"/>
      <c r="I31" s="496"/>
      <c r="J31" s="497"/>
      <c r="K31" s="498"/>
    </row>
    <row r="32" spans="1:11" ht="15.75" x14ac:dyDescent="0.25">
      <c r="A32" s="504"/>
      <c r="B32" s="492" t="s">
        <v>15</v>
      </c>
      <c r="C32" s="506">
        <v>96.305640000000011</v>
      </c>
      <c r="D32" s="506">
        <v>96305.639999999985</v>
      </c>
      <c r="E32" s="501"/>
      <c r="F32" s="495"/>
      <c r="G32" s="471"/>
      <c r="I32" s="496"/>
      <c r="J32" s="497"/>
      <c r="K32" s="498"/>
    </row>
    <row r="33" spans="1:14" ht="15.75" x14ac:dyDescent="0.25">
      <c r="A33" s="504"/>
      <c r="B33" s="499" t="s">
        <v>395</v>
      </c>
      <c r="C33" s="500">
        <v>4.5358200000000002</v>
      </c>
      <c r="D33" s="500">
        <v>4535.82</v>
      </c>
      <c r="E33" s="501">
        <v>89450</v>
      </c>
      <c r="F33" s="495">
        <v>4113</v>
      </c>
      <c r="G33" s="471"/>
      <c r="I33" s="496"/>
      <c r="J33" s="509">
        <v>4535.82</v>
      </c>
      <c r="K33" s="498"/>
    </row>
    <row r="34" spans="1:14" ht="15.75" x14ac:dyDescent="0.25">
      <c r="A34" s="504"/>
      <c r="B34" s="499" t="s">
        <v>394</v>
      </c>
      <c r="C34" s="500">
        <v>91.76982000000001</v>
      </c>
      <c r="D34" s="500">
        <v>91769.819999999992</v>
      </c>
      <c r="E34" s="501">
        <v>89023</v>
      </c>
      <c r="F34" s="495">
        <v>4113</v>
      </c>
      <c r="G34" s="503"/>
      <c r="I34" s="496"/>
      <c r="J34" s="497">
        <v>91769.82</v>
      </c>
      <c r="K34" s="498"/>
    </row>
    <row r="35" spans="1:14" ht="15.75" x14ac:dyDescent="0.25">
      <c r="A35" s="504"/>
      <c r="B35" s="510"/>
      <c r="C35" s="505"/>
      <c r="D35" s="511"/>
      <c r="E35" s="512"/>
      <c r="F35" s="501"/>
      <c r="G35" s="471"/>
      <c r="I35" s="496"/>
      <c r="J35" s="497"/>
      <c r="K35" s="498"/>
    </row>
    <row r="36" spans="1:14" ht="15.75" x14ac:dyDescent="0.25">
      <c r="A36" s="504"/>
      <c r="B36" s="492" t="s">
        <v>17</v>
      </c>
      <c r="C36" s="506">
        <v>25630.384999999998</v>
      </c>
      <c r="D36" s="506">
        <v>22524632</v>
      </c>
      <c r="E36" s="513"/>
      <c r="F36" s="514"/>
      <c r="G36" s="471">
        <v>1.0000000002037268E-3</v>
      </c>
      <c r="H36" s="471">
        <v>25641.659999999996</v>
      </c>
      <c r="I36" s="496"/>
      <c r="J36" s="515"/>
      <c r="K36" s="516"/>
      <c r="L36" s="471"/>
      <c r="M36" s="471"/>
      <c r="N36" s="471"/>
    </row>
    <row r="37" spans="1:14" ht="15.75" x14ac:dyDescent="0.25">
      <c r="A37" s="491">
        <v>42053</v>
      </c>
      <c r="B37" s="517" t="s">
        <v>37</v>
      </c>
      <c r="C37" s="518">
        <v>3744</v>
      </c>
      <c r="D37" s="505">
        <v>3744000</v>
      </c>
      <c r="E37" s="519">
        <v>13010</v>
      </c>
      <c r="F37" s="495">
        <v>4116</v>
      </c>
      <c r="G37" s="471"/>
      <c r="H37" s="471">
        <v>-11.274999999997817</v>
      </c>
      <c r="I37" s="496"/>
      <c r="J37" s="497"/>
      <c r="K37" s="498"/>
    </row>
    <row r="38" spans="1:14" ht="15.75" x14ac:dyDescent="0.25">
      <c r="A38" s="504">
        <v>42123</v>
      </c>
      <c r="B38" s="517" t="s">
        <v>37</v>
      </c>
      <c r="C38" s="505">
        <v>8</v>
      </c>
      <c r="D38" s="505">
        <v>8000</v>
      </c>
      <c r="E38" s="519">
        <v>13010</v>
      </c>
      <c r="F38" s="495">
        <v>4116</v>
      </c>
      <c r="G38" s="471"/>
      <c r="H38" s="471">
        <v>0</v>
      </c>
      <c r="I38" s="496"/>
      <c r="J38" s="497"/>
      <c r="K38" s="498"/>
    </row>
    <row r="39" spans="1:14" ht="15.75" x14ac:dyDescent="0.25">
      <c r="A39" s="504">
        <v>42152</v>
      </c>
      <c r="B39" s="517" t="s">
        <v>37</v>
      </c>
      <c r="C39" s="505">
        <v>12</v>
      </c>
      <c r="D39" s="505">
        <v>12000</v>
      </c>
      <c r="E39" s="519">
        <v>13010</v>
      </c>
      <c r="F39" s="495">
        <v>4116</v>
      </c>
      <c r="G39" s="471"/>
      <c r="H39" s="471">
        <v>0</v>
      </c>
      <c r="I39" s="496"/>
      <c r="J39" s="497"/>
      <c r="K39" s="498"/>
    </row>
    <row r="40" spans="1:14" ht="15.75" x14ac:dyDescent="0.25">
      <c r="A40" s="504">
        <v>42184</v>
      </c>
      <c r="B40" s="517" t="s">
        <v>37</v>
      </c>
      <c r="C40" s="505">
        <v>44</v>
      </c>
      <c r="D40" s="505">
        <v>44000</v>
      </c>
      <c r="E40" s="519">
        <v>13010</v>
      </c>
      <c r="F40" s="495">
        <v>4116</v>
      </c>
      <c r="G40" s="471"/>
      <c r="H40" s="471">
        <v>0</v>
      </c>
      <c r="I40" s="496"/>
      <c r="J40" s="515"/>
      <c r="K40" s="516"/>
      <c r="L40" s="471"/>
      <c r="M40" s="471"/>
      <c r="N40" s="471"/>
    </row>
    <row r="41" spans="1:14" ht="15.75" x14ac:dyDescent="0.25">
      <c r="A41" s="491">
        <v>42201</v>
      </c>
      <c r="B41" s="517" t="s">
        <v>37</v>
      </c>
      <c r="C41" s="505">
        <v>32</v>
      </c>
      <c r="D41" s="505">
        <v>32000</v>
      </c>
      <c r="E41" s="519">
        <v>13010</v>
      </c>
      <c r="F41" s="495">
        <v>4116</v>
      </c>
      <c r="G41" s="471"/>
      <c r="H41" s="471">
        <v>0</v>
      </c>
      <c r="I41" s="496"/>
      <c r="J41" s="497"/>
      <c r="K41" s="498"/>
    </row>
    <row r="42" spans="1:14" ht="15.75" x14ac:dyDescent="0.25">
      <c r="A42" s="491">
        <v>42283</v>
      </c>
      <c r="B42" s="517" t="s">
        <v>424</v>
      </c>
      <c r="C42" s="505">
        <v>-28</v>
      </c>
      <c r="D42" s="505">
        <v>-28000</v>
      </c>
      <c r="E42" s="519">
        <v>13010</v>
      </c>
      <c r="F42" s="495">
        <v>4116</v>
      </c>
      <c r="G42" s="471"/>
      <c r="H42" s="471">
        <v>0</v>
      </c>
      <c r="I42" s="496"/>
      <c r="J42" s="497"/>
      <c r="K42" s="498"/>
    </row>
    <row r="43" spans="1:14" ht="15.75" x14ac:dyDescent="0.25">
      <c r="A43" s="491">
        <v>42310</v>
      </c>
      <c r="B43" s="517" t="s">
        <v>37</v>
      </c>
      <c r="C43" s="505">
        <v>20</v>
      </c>
      <c r="D43" s="505">
        <v>20000</v>
      </c>
      <c r="E43" s="519">
        <v>13010</v>
      </c>
      <c r="F43" s="495">
        <v>4116</v>
      </c>
      <c r="G43" s="471"/>
      <c r="H43" s="471">
        <v>0</v>
      </c>
      <c r="I43" s="496"/>
      <c r="J43" s="497"/>
      <c r="K43" s="498"/>
    </row>
    <row r="44" spans="1:14" ht="15.75" x14ac:dyDescent="0.25">
      <c r="A44" s="491">
        <v>42319</v>
      </c>
      <c r="B44" s="517" t="s">
        <v>37</v>
      </c>
      <c r="C44" s="505">
        <v>16</v>
      </c>
      <c r="D44" s="505">
        <v>16000</v>
      </c>
      <c r="E44" s="519">
        <v>13010</v>
      </c>
      <c r="F44" s="495">
        <v>4116</v>
      </c>
      <c r="G44" s="471"/>
      <c r="H44" s="471">
        <v>0</v>
      </c>
      <c r="I44" s="496"/>
      <c r="J44" s="497"/>
      <c r="K44" s="498"/>
    </row>
    <row r="45" spans="1:14" ht="15.75" x14ac:dyDescent="0.25">
      <c r="A45" s="491"/>
      <c r="B45" s="517" t="s">
        <v>411</v>
      </c>
      <c r="C45" s="500">
        <v>21.2</v>
      </c>
      <c r="D45" s="500">
        <v>20904</v>
      </c>
      <c r="E45" s="519">
        <v>13013</v>
      </c>
      <c r="F45" s="495">
        <v>4116</v>
      </c>
      <c r="G45" s="503" t="s">
        <v>358</v>
      </c>
      <c r="H45" s="471">
        <v>296</v>
      </c>
      <c r="I45" s="496">
        <v>20904</v>
      </c>
      <c r="J45" s="497"/>
      <c r="K45" s="498"/>
    </row>
    <row r="46" spans="1:14" ht="15.75" x14ac:dyDescent="0.25">
      <c r="A46" s="491"/>
      <c r="B46" s="517" t="s">
        <v>568</v>
      </c>
      <c r="C46" s="500">
        <v>14</v>
      </c>
      <c r="D46" s="500">
        <v>14000</v>
      </c>
      <c r="E46" s="519">
        <v>13013</v>
      </c>
      <c r="F46" s="495">
        <v>4116</v>
      </c>
      <c r="G46" s="503" t="s">
        <v>358</v>
      </c>
      <c r="H46" s="471">
        <v>0</v>
      </c>
      <c r="I46" s="496">
        <v>14000</v>
      </c>
      <c r="J46" s="497"/>
      <c r="K46" s="498"/>
    </row>
    <row r="47" spans="1:14" ht="15.75" x14ac:dyDescent="0.25">
      <c r="A47" s="491"/>
      <c r="B47" s="517" t="s">
        <v>682</v>
      </c>
      <c r="C47" s="500">
        <v>278</v>
      </c>
      <c r="D47" s="500"/>
      <c r="E47" s="519">
        <v>13013</v>
      </c>
      <c r="F47" s="495">
        <v>4116</v>
      </c>
      <c r="G47" s="503"/>
      <c r="H47" s="471">
        <v>124252</v>
      </c>
      <c r="I47" s="496"/>
      <c r="J47" s="497"/>
      <c r="K47" s="498"/>
    </row>
    <row r="48" spans="1:14" ht="15.75" x14ac:dyDescent="0.25">
      <c r="A48" s="491"/>
      <c r="B48" s="517" t="s">
        <v>683</v>
      </c>
      <c r="C48" s="500">
        <v>28</v>
      </c>
      <c r="D48" s="500"/>
      <c r="E48" s="519">
        <v>13013</v>
      </c>
      <c r="F48" s="495">
        <v>4116</v>
      </c>
      <c r="G48" s="503"/>
      <c r="H48" s="471">
        <v>192398</v>
      </c>
      <c r="I48" s="496"/>
      <c r="J48" s="497"/>
      <c r="K48" s="498"/>
    </row>
    <row r="49" spans="1:14" ht="15.75" x14ac:dyDescent="0.25">
      <c r="A49" s="491"/>
      <c r="B49" s="517" t="s">
        <v>684</v>
      </c>
      <c r="C49" s="500">
        <v>24</v>
      </c>
      <c r="D49" s="500"/>
      <c r="E49" s="519">
        <v>13013</v>
      </c>
      <c r="F49" s="495">
        <v>4116</v>
      </c>
      <c r="G49" s="503"/>
      <c r="H49" s="471">
        <v>318000</v>
      </c>
      <c r="I49" s="496"/>
      <c r="J49" s="497"/>
      <c r="K49" s="498"/>
    </row>
    <row r="50" spans="1:14" ht="15.75" x14ac:dyDescent="0.25">
      <c r="A50" s="491"/>
      <c r="B50" s="517" t="s">
        <v>97</v>
      </c>
      <c r="C50" s="500">
        <v>301</v>
      </c>
      <c r="D50" s="500">
        <v>300369</v>
      </c>
      <c r="E50" s="519">
        <v>13101</v>
      </c>
      <c r="F50" s="495">
        <v>4116</v>
      </c>
      <c r="G50" s="503" t="s">
        <v>358</v>
      </c>
      <c r="H50" s="471">
        <v>264000</v>
      </c>
      <c r="I50" s="496">
        <v>300369</v>
      </c>
      <c r="J50" s="497"/>
      <c r="K50" s="498"/>
    </row>
    <row r="51" spans="1:14" ht="15.75" x14ac:dyDescent="0.25">
      <c r="A51" s="491"/>
      <c r="B51" s="517" t="s">
        <v>65</v>
      </c>
      <c r="C51" s="500">
        <v>89</v>
      </c>
      <c r="D51" s="500">
        <v>75701</v>
      </c>
      <c r="E51" s="519">
        <v>13101</v>
      </c>
      <c r="F51" s="495" t="s">
        <v>18</v>
      </c>
      <c r="G51" s="503" t="s">
        <v>358</v>
      </c>
      <c r="H51" s="471">
        <v>11453000</v>
      </c>
      <c r="I51" s="496">
        <v>75701</v>
      </c>
      <c r="J51" s="497"/>
      <c r="K51" s="498"/>
    </row>
    <row r="52" spans="1:14" ht="15.75" x14ac:dyDescent="0.25">
      <c r="A52" s="491"/>
      <c r="B52" s="517" t="s">
        <v>98</v>
      </c>
      <c r="C52" s="500">
        <v>484.274</v>
      </c>
      <c r="D52" s="500">
        <v>484274</v>
      </c>
      <c r="E52" s="520">
        <v>13101</v>
      </c>
      <c r="F52" s="521">
        <v>4116</v>
      </c>
      <c r="G52" s="503" t="s">
        <v>358</v>
      </c>
      <c r="H52" s="471">
        <v>183479</v>
      </c>
      <c r="I52" s="496">
        <v>484274</v>
      </c>
      <c r="J52" s="497"/>
      <c r="K52" s="498"/>
    </row>
    <row r="53" spans="1:14" ht="15.75" x14ac:dyDescent="0.25">
      <c r="A53" s="504"/>
      <c r="B53" s="517" t="s">
        <v>99</v>
      </c>
      <c r="C53" s="500">
        <v>22</v>
      </c>
      <c r="D53" s="500">
        <v>22000</v>
      </c>
      <c r="E53" s="520">
        <v>13101</v>
      </c>
      <c r="F53" s="521">
        <v>4116</v>
      </c>
      <c r="G53" s="503" t="s">
        <v>358</v>
      </c>
      <c r="H53" s="471">
        <v>5376000</v>
      </c>
      <c r="I53" s="496">
        <v>22000</v>
      </c>
      <c r="J53" s="515"/>
      <c r="K53" s="516"/>
      <c r="L53" s="471"/>
      <c r="M53" s="471"/>
      <c r="N53" s="471"/>
    </row>
    <row r="54" spans="1:14" ht="15.75" x14ac:dyDescent="0.25">
      <c r="A54" s="504"/>
      <c r="B54" s="517" t="s">
        <v>19</v>
      </c>
      <c r="C54" s="505">
        <v>124.252</v>
      </c>
      <c r="D54" s="500">
        <v>158123</v>
      </c>
      <c r="E54" s="519">
        <v>13234</v>
      </c>
      <c r="F54" s="495">
        <v>4116</v>
      </c>
      <c r="G54" s="503" t="s">
        <v>358</v>
      </c>
      <c r="H54" s="471">
        <v>171723</v>
      </c>
      <c r="I54" s="496">
        <v>158123</v>
      </c>
      <c r="J54" s="515"/>
      <c r="K54" s="516"/>
      <c r="L54" s="471"/>
      <c r="M54" s="471"/>
      <c r="N54" s="471"/>
    </row>
    <row r="55" spans="1:14" ht="15.75" x14ac:dyDescent="0.25">
      <c r="A55" s="504"/>
      <c r="B55" s="517" t="s">
        <v>20</v>
      </c>
      <c r="C55" s="500">
        <v>318</v>
      </c>
      <c r="D55" s="500">
        <v>290680</v>
      </c>
      <c r="E55" s="519">
        <v>13234</v>
      </c>
      <c r="F55" s="495">
        <v>4116</v>
      </c>
      <c r="G55" s="503" t="s">
        <v>358</v>
      </c>
      <c r="H55" s="471">
        <v>7420</v>
      </c>
      <c r="I55" s="496">
        <v>290680</v>
      </c>
      <c r="J55" s="515"/>
      <c r="K55" s="516"/>
      <c r="L55" s="471"/>
      <c r="M55" s="471"/>
      <c r="N55" s="471"/>
    </row>
    <row r="56" spans="1:14" ht="15.75" x14ac:dyDescent="0.25">
      <c r="A56" s="504"/>
      <c r="B56" s="517" t="s">
        <v>23</v>
      </c>
      <c r="C56" s="500">
        <v>176</v>
      </c>
      <c r="D56" s="500">
        <v>175663</v>
      </c>
      <c r="E56" s="519">
        <v>13234</v>
      </c>
      <c r="F56" s="495">
        <v>4116</v>
      </c>
      <c r="G56" s="503" t="s">
        <v>358</v>
      </c>
      <c r="H56" s="471">
        <v>144133</v>
      </c>
      <c r="I56" s="496">
        <v>175663</v>
      </c>
      <c r="J56" s="515"/>
      <c r="K56" s="516"/>
      <c r="L56" s="471"/>
      <c r="M56" s="471"/>
      <c r="N56" s="471"/>
    </row>
    <row r="57" spans="1:14" ht="15.75" x14ac:dyDescent="0.25">
      <c r="A57" s="504"/>
      <c r="B57" s="517" t="s">
        <v>22</v>
      </c>
      <c r="C57" s="500">
        <v>264</v>
      </c>
      <c r="D57" s="500">
        <v>260064</v>
      </c>
      <c r="E57" s="519">
        <v>13234</v>
      </c>
      <c r="F57" s="495">
        <v>4116</v>
      </c>
      <c r="G57" s="503" t="s">
        <v>358</v>
      </c>
      <c r="H57" s="471">
        <v>1705006</v>
      </c>
      <c r="I57" s="496">
        <v>260064</v>
      </c>
      <c r="J57" s="515"/>
      <c r="K57" s="516"/>
      <c r="L57" s="471"/>
      <c r="M57" s="471"/>
      <c r="N57" s="471"/>
    </row>
    <row r="58" spans="1:14" ht="15.75" x14ac:dyDescent="0.25">
      <c r="A58" s="504"/>
      <c r="B58" s="517" t="s">
        <v>67</v>
      </c>
      <c r="C58" s="500">
        <v>171.72300000000001</v>
      </c>
      <c r="D58" s="500">
        <v>171724</v>
      </c>
      <c r="E58" s="519">
        <v>13234</v>
      </c>
      <c r="F58" s="495">
        <v>4116</v>
      </c>
      <c r="G58" s="503" t="s">
        <v>358</v>
      </c>
      <c r="H58" s="471">
        <v>176000</v>
      </c>
      <c r="I58" s="496">
        <v>171724</v>
      </c>
      <c r="J58" s="515"/>
      <c r="K58" s="516"/>
      <c r="L58" s="471"/>
      <c r="M58" s="471"/>
      <c r="N58" s="471"/>
    </row>
    <row r="59" spans="1:14" ht="15.75" x14ac:dyDescent="0.25">
      <c r="A59" s="504"/>
      <c r="B59" s="517" t="s">
        <v>25</v>
      </c>
      <c r="C59" s="500">
        <v>1705.0039999999999</v>
      </c>
      <c r="D59" s="500">
        <v>1189532</v>
      </c>
      <c r="E59" s="519">
        <v>13234</v>
      </c>
      <c r="F59" s="495">
        <v>4116</v>
      </c>
      <c r="G59" s="503" t="s">
        <v>358</v>
      </c>
      <c r="H59" s="471"/>
      <c r="I59" s="496">
        <v>1189532</v>
      </c>
      <c r="J59" s="515"/>
      <c r="K59" s="516"/>
      <c r="L59" s="471"/>
      <c r="M59" s="471"/>
      <c r="N59" s="471"/>
    </row>
    <row r="60" spans="1:14" ht="15.75" x14ac:dyDescent="0.25">
      <c r="A60" s="504"/>
      <c r="B60" s="517" t="s">
        <v>26</v>
      </c>
      <c r="C60" s="500">
        <v>405.51</v>
      </c>
      <c r="D60" s="500">
        <v>405500</v>
      </c>
      <c r="E60" s="519">
        <v>13234</v>
      </c>
      <c r="F60" s="495">
        <v>4116</v>
      </c>
      <c r="G60" s="503" t="s">
        <v>358</v>
      </c>
      <c r="H60" s="471">
        <v>10</v>
      </c>
      <c r="I60" s="496">
        <v>405500</v>
      </c>
      <c r="J60" s="515"/>
      <c r="K60" s="516"/>
      <c r="L60" s="471"/>
      <c r="M60" s="471"/>
      <c r="N60" s="471"/>
    </row>
    <row r="61" spans="1:14" ht="15.75" x14ac:dyDescent="0.25">
      <c r="A61" s="491"/>
      <c r="B61" s="517" t="s">
        <v>28</v>
      </c>
      <c r="C61" s="500">
        <v>5376</v>
      </c>
      <c r="D61" s="500">
        <v>4418809</v>
      </c>
      <c r="E61" s="520">
        <v>13234</v>
      </c>
      <c r="F61" s="495">
        <v>4116</v>
      </c>
      <c r="G61" s="503" t="s">
        <v>358</v>
      </c>
      <c r="H61" s="471">
        <v>957191</v>
      </c>
      <c r="I61" s="496">
        <v>4418809</v>
      </c>
      <c r="J61" s="497"/>
      <c r="K61" s="498"/>
    </row>
    <row r="62" spans="1:14" ht="15.75" x14ac:dyDescent="0.25">
      <c r="A62" s="504"/>
      <c r="B62" s="517" t="s">
        <v>24</v>
      </c>
      <c r="C62" s="500">
        <v>11453</v>
      </c>
      <c r="D62" s="500">
        <v>10137859</v>
      </c>
      <c r="E62" s="519">
        <v>13234</v>
      </c>
      <c r="F62" s="495">
        <v>4116</v>
      </c>
      <c r="G62" s="503" t="s">
        <v>358</v>
      </c>
      <c r="H62" s="471">
        <v>1315141</v>
      </c>
      <c r="I62" s="496">
        <v>10137859</v>
      </c>
      <c r="J62" s="515"/>
      <c r="K62" s="516"/>
      <c r="L62" s="471"/>
      <c r="M62" s="471"/>
      <c r="N62" s="471"/>
    </row>
    <row r="63" spans="1:14" ht="15.75" x14ac:dyDescent="0.25">
      <c r="A63" s="491"/>
      <c r="B63" s="517" t="s">
        <v>66</v>
      </c>
      <c r="C63" s="500">
        <v>144.13300000000001</v>
      </c>
      <c r="D63" s="500">
        <v>144133</v>
      </c>
      <c r="E63" s="520">
        <v>13234</v>
      </c>
      <c r="F63" s="521">
        <v>4116</v>
      </c>
      <c r="G63" s="503" t="s">
        <v>358</v>
      </c>
      <c r="H63" s="471">
        <v>0</v>
      </c>
      <c r="I63" s="496">
        <v>144133</v>
      </c>
      <c r="J63" s="497"/>
      <c r="K63" s="498"/>
    </row>
    <row r="64" spans="1:14" ht="15.75" x14ac:dyDescent="0.25">
      <c r="A64" s="491"/>
      <c r="B64" s="517" t="s">
        <v>30</v>
      </c>
      <c r="C64" s="500">
        <v>183.47900000000001</v>
      </c>
      <c r="D64" s="500">
        <v>183479</v>
      </c>
      <c r="E64" s="520">
        <v>13234</v>
      </c>
      <c r="F64" s="521">
        <v>4116</v>
      </c>
      <c r="G64" s="503" t="s">
        <v>358</v>
      </c>
      <c r="H64" s="471">
        <v>0</v>
      </c>
      <c r="I64" s="496">
        <v>183479</v>
      </c>
      <c r="J64" s="497"/>
      <c r="K64" s="498"/>
    </row>
    <row r="65" spans="1:11" ht="15.75" x14ac:dyDescent="0.25">
      <c r="A65" s="491"/>
      <c r="B65" s="517" t="s">
        <v>31</v>
      </c>
      <c r="C65" s="500">
        <v>192.39</v>
      </c>
      <c r="D65" s="500">
        <v>216398</v>
      </c>
      <c r="E65" s="520">
        <v>13234</v>
      </c>
      <c r="F65" s="521">
        <v>4116</v>
      </c>
      <c r="G65" s="503" t="s">
        <v>358</v>
      </c>
      <c r="H65" s="471">
        <v>-24008</v>
      </c>
      <c r="I65" s="496">
        <v>216398</v>
      </c>
      <c r="J65" s="497"/>
      <c r="K65" s="498"/>
    </row>
    <row r="66" spans="1:11" ht="15.75" x14ac:dyDescent="0.25">
      <c r="A66" s="491"/>
      <c r="B66" s="517" t="s">
        <v>21</v>
      </c>
      <c r="C66" s="500">
        <v>7.42</v>
      </c>
      <c r="D66" s="500">
        <v>7420</v>
      </c>
      <c r="E66" s="520">
        <v>13234</v>
      </c>
      <c r="F66" s="495" t="s">
        <v>18</v>
      </c>
      <c r="G66" s="503" t="s">
        <v>358</v>
      </c>
      <c r="I66" s="496">
        <v>7420</v>
      </c>
      <c r="J66" s="497"/>
      <c r="K66" s="498"/>
    </row>
    <row r="67" spans="1:11" ht="15.75" x14ac:dyDescent="0.25">
      <c r="A67" s="491"/>
      <c r="B67" s="522"/>
      <c r="C67" s="518"/>
      <c r="D67" s="505"/>
      <c r="E67" s="520"/>
      <c r="F67" s="521"/>
      <c r="G67" s="471"/>
      <c r="I67" s="496"/>
      <c r="J67" s="497"/>
      <c r="K67" s="498"/>
    </row>
    <row r="68" spans="1:11" ht="15.75" x14ac:dyDescent="0.25">
      <c r="A68" s="491"/>
      <c r="B68" s="523" t="s">
        <v>116</v>
      </c>
      <c r="C68" s="524">
        <v>36.299999999999997</v>
      </c>
      <c r="D68" s="524">
        <v>36300</v>
      </c>
      <c r="E68" s="495"/>
      <c r="F68" s="521"/>
      <c r="G68" s="471">
        <v>183479</v>
      </c>
      <c r="I68" s="496"/>
      <c r="J68" s="497"/>
      <c r="K68" s="498"/>
    </row>
    <row r="69" spans="1:11" ht="15.75" x14ac:dyDescent="0.25">
      <c r="A69" s="491">
        <v>42066</v>
      </c>
      <c r="B69" s="499" t="s">
        <v>115</v>
      </c>
      <c r="C69" s="505">
        <v>36.299999999999997</v>
      </c>
      <c r="D69" s="505">
        <v>36300</v>
      </c>
      <c r="E69" s="525">
        <v>27003</v>
      </c>
      <c r="F69" s="521">
        <v>4116</v>
      </c>
      <c r="G69" s="471">
        <v>-8.0000000000097771E-3</v>
      </c>
      <c r="I69" s="496"/>
      <c r="J69" s="497"/>
      <c r="K69" s="498"/>
    </row>
    <row r="70" spans="1:11" ht="15.75" x14ac:dyDescent="0.25">
      <c r="A70" s="526"/>
      <c r="B70" s="499"/>
      <c r="C70" s="505"/>
      <c r="D70" s="505"/>
      <c r="E70" s="521"/>
      <c r="F70" s="521"/>
      <c r="G70" s="471"/>
      <c r="I70" s="496"/>
      <c r="J70" s="497"/>
      <c r="K70" s="498"/>
    </row>
    <row r="71" spans="1:11" ht="15.75" x14ac:dyDescent="0.25">
      <c r="A71" s="491"/>
      <c r="B71" s="523" t="s">
        <v>33</v>
      </c>
      <c r="C71" s="524">
        <v>24972</v>
      </c>
      <c r="D71" s="524">
        <v>24972000</v>
      </c>
      <c r="E71" s="495"/>
      <c r="F71" s="521"/>
      <c r="G71" s="471"/>
      <c r="I71" s="496"/>
      <c r="J71" s="497"/>
      <c r="K71" s="498"/>
    </row>
    <row r="72" spans="1:11" ht="15.75" x14ac:dyDescent="0.25">
      <c r="A72" s="491">
        <v>42086</v>
      </c>
      <c r="B72" s="499" t="s">
        <v>122</v>
      </c>
      <c r="C72" s="505">
        <v>80</v>
      </c>
      <c r="D72" s="527">
        <v>80000</v>
      </c>
      <c r="E72" s="495">
        <v>34070</v>
      </c>
      <c r="F72" s="495">
        <v>4116</v>
      </c>
      <c r="G72" s="471"/>
      <c r="I72" s="496"/>
      <c r="J72" s="497"/>
      <c r="K72" s="498"/>
    </row>
    <row r="73" spans="1:11" ht="15.75" x14ac:dyDescent="0.25">
      <c r="A73" s="491">
        <v>42116</v>
      </c>
      <c r="B73" s="499" t="s">
        <v>266</v>
      </c>
      <c r="C73" s="505">
        <v>25</v>
      </c>
      <c r="D73" s="527">
        <v>25000</v>
      </c>
      <c r="E73" s="495">
        <v>34070</v>
      </c>
      <c r="F73" s="495">
        <v>4116</v>
      </c>
      <c r="G73" s="471"/>
      <c r="I73" s="496"/>
      <c r="J73" s="497"/>
      <c r="K73" s="498"/>
    </row>
    <row r="74" spans="1:11" ht="15.75" x14ac:dyDescent="0.25">
      <c r="A74" s="491">
        <v>42116</v>
      </c>
      <c r="B74" s="499" t="s">
        <v>143</v>
      </c>
      <c r="C74" s="505">
        <v>18</v>
      </c>
      <c r="D74" s="527">
        <v>18000</v>
      </c>
      <c r="E74" s="495">
        <v>34070</v>
      </c>
      <c r="F74" s="495">
        <v>4116</v>
      </c>
      <c r="G74" s="471"/>
      <c r="I74" s="496"/>
      <c r="J74" s="497"/>
      <c r="K74" s="498"/>
    </row>
    <row r="75" spans="1:11" ht="15.75" x14ac:dyDescent="0.25">
      <c r="A75" s="491">
        <v>42116</v>
      </c>
      <c r="B75" s="499" t="s">
        <v>173</v>
      </c>
      <c r="C75" s="505">
        <v>20</v>
      </c>
      <c r="D75" s="527">
        <v>20000</v>
      </c>
      <c r="E75" s="495">
        <v>34070</v>
      </c>
      <c r="F75" s="495">
        <v>4116</v>
      </c>
      <c r="G75" s="471"/>
      <c r="I75" s="496"/>
      <c r="J75" s="497"/>
      <c r="K75" s="498"/>
    </row>
    <row r="76" spans="1:11" ht="15.75" x14ac:dyDescent="0.25">
      <c r="A76" s="491">
        <v>42128</v>
      </c>
      <c r="B76" s="499" t="s">
        <v>172</v>
      </c>
      <c r="C76" s="505">
        <v>45</v>
      </c>
      <c r="D76" s="527">
        <v>45000</v>
      </c>
      <c r="E76" s="495">
        <v>34053</v>
      </c>
      <c r="F76" s="495">
        <v>4116</v>
      </c>
      <c r="G76" s="471"/>
      <c r="I76" s="496"/>
      <c r="J76" s="497"/>
      <c r="K76" s="498"/>
    </row>
    <row r="77" spans="1:11" ht="15.75" x14ac:dyDescent="0.25">
      <c r="A77" s="491">
        <v>42135</v>
      </c>
      <c r="B77" s="499" t="s">
        <v>175</v>
      </c>
      <c r="C77" s="505">
        <v>600</v>
      </c>
      <c r="D77" s="527">
        <v>600000</v>
      </c>
      <c r="E77" s="495">
        <v>34070</v>
      </c>
      <c r="F77" s="495">
        <v>4116</v>
      </c>
      <c r="G77" s="471"/>
      <c r="I77" s="496"/>
      <c r="J77" s="497"/>
      <c r="K77" s="498"/>
    </row>
    <row r="78" spans="1:11" ht="15.75" x14ac:dyDescent="0.25">
      <c r="A78" s="491">
        <v>42135</v>
      </c>
      <c r="B78" s="499" t="s">
        <v>176</v>
      </c>
      <c r="C78" s="505">
        <v>70</v>
      </c>
      <c r="D78" s="527">
        <v>70000</v>
      </c>
      <c r="E78" s="495">
        <v>34070</v>
      </c>
      <c r="F78" s="495">
        <v>4116</v>
      </c>
      <c r="G78" s="471"/>
      <c r="I78" s="496"/>
      <c r="J78" s="497"/>
      <c r="K78" s="498"/>
    </row>
    <row r="79" spans="1:11" ht="15.75" x14ac:dyDescent="0.25">
      <c r="A79" s="491">
        <v>42136</v>
      </c>
      <c r="B79" s="499" t="s">
        <v>177</v>
      </c>
      <c r="C79" s="505">
        <v>120</v>
      </c>
      <c r="D79" s="527">
        <v>120000</v>
      </c>
      <c r="E79" s="495">
        <v>34070</v>
      </c>
      <c r="F79" s="495">
        <v>4116</v>
      </c>
      <c r="G79" s="471"/>
      <c r="I79" s="496"/>
      <c r="J79" s="497"/>
      <c r="K79" s="498"/>
    </row>
    <row r="80" spans="1:11" ht="15.75" x14ac:dyDescent="0.25">
      <c r="A80" s="491">
        <v>42136</v>
      </c>
      <c r="B80" s="499" t="s">
        <v>178</v>
      </c>
      <c r="C80" s="505">
        <v>340</v>
      </c>
      <c r="D80" s="527">
        <v>340000</v>
      </c>
      <c r="E80" s="495">
        <v>34070</v>
      </c>
      <c r="F80" s="495">
        <v>4116</v>
      </c>
      <c r="G80" s="471"/>
      <c r="I80" s="496"/>
      <c r="J80" s="497"/>
      <c r="K80" s="498"/>
    </row>
    <row r="81" spans="1:11" ht="15.75" x14ac:dyDescent="0.25">
      <c r="A81" s="491">
        <v>42136</v>
      </c>
      <c r="B81" s="499" t="s">
        <v>179</v>
      </c>
      <c r="C81" s="505">
        <v>320</v>
      </c>
      <c r="D81" s="527">
        <v>320000</v>
      </c>
      <c r="E81" s="495">
        <v>34070</v>
      </c>
      <c r="F81" s="495">
        <v>4116</v>
      </c>
      <c r="G81" s="471"/>
      <c r="I81" s="496"/>
      <c r="J81" s="497"/>
      <c r="K81" s="498"/>
    </row>
    <row r="82" spans="1:11" ht="15.75" x14ac:dyDescent="0.25">
      <c r="A82" s="491">
        <v>42143</v>
      </c>
      <c r="B82" s="499" t="s">
        <v>194</v>
      </c>
      <c r="C82" s="505">
        <v>95</v>
      </c>
      <c r="D82" s="527">
        <v>95000</v>
      </c>
      <c r="E82" s="495">
        <v>34070</v>
      </c>
      <c r="F82" s="495">
        <v>4116</v>
      </c>
      <c r="G82" s="471"/>
      <c r="I82" s="496"/>
      <c r="J82" s="497"/>
      <c r="K82" s="498"/>
    </row>
    <row r="83" spans="1:11" ht="15.75" x14ac:dyDescent="0.25">
      <c r="A83" s="491">
        <v>42143</v>
      </c>
      <c r="B83" s="499" t="s">
        <v>195</v>
      </c>
      <c r="C83" s="505">
        <v>30</v>
      </c>
      <c r="D83" s="527">
        <v>30000</v>
      </c>
      <c r="E83" s="495">
        <v>34194</v>
      </c>
      <c r="F83" s="495">
        <v>4116</v>
      </c>
      <c r="G83" s="471"/>
      <c r="I83" s="496"/>
      <c r="J83" s="497"/>
      <c r="K83" s="498"/>
    </row>
    <row r="84" spans="1:11" ht="15.75" x14ac:dyDescent="0.25">
      <c r="A84" s="491">
        <v>42143</v>
      </c>
      <c r="B84" s="499" t="s">
        <v>197</v>
      </c>
      <c r="C84" s="505">
        <v>750</v>
      </c>
      <c r="D84" s="527">
        <v>750000</v>
      </c>
      <c r="E84" s="495">
        <v>34070</v>
      </c>
      <c r="F84" s="495">
        <v>4116</v>
      </c>
      <c r="G84" s="471"/>
      <c r="I84" s="496"/>
      <c r="J84" s="497"/>
      <c r="K84" s="498"/>
    </row>
    <row r="85" spans="1:11" ht="15.75" x14ac:dyDescent="0.25">
      <c r="A85" s="491">
        <v>42144</v>
      </c>
      <c r="B85" s="499" t="s">
        <v>199</v>
      </c>
      <c r="C85" s="505">
        <v>64</v>
      </c>
      <c r="D85" s="527">
        <v>64000</v>
      </c>
      <c r="E85" s="495">
        <v>34053</v>
      </c>
      <c r="F85" s="495">
        <v>4116</v>
      </c>
      <c r="G85" s="471"/>
      <c r="I85" s="496"/>
      <c r="J85" s="497"/>
      <c r="K85" s="498"/>
    </row>
    <row r="86" spans="1:11" ht="15.75" x14ac:dyDescent="0.25">
      <c r="A86" s="491">
        <v>42144</v>
      </c>
      <c r="B86" s="499" t="s">
        <v>198</v>
      </c>
      <c r="C86" s="505">
        <v>45</v>
      </c>
      <c r="D86" s="527">
        <v>45000</v>
      </c>
      <c r="E86" s="495">
        <v>34053</v>
      </c>
      <c r="F86" s="495">
        <v>4116</v>
      </c>
      <c r="G86" s="471"/>
      <c r="I86" s="496"/>
      <c r="J86" s="497"/>
      <c r="K86" s="498"/>
    </row>
    <row r="87" spans="1:11" ht="15.75" x14ac:dyDescent="0.25">
      <c r="A87" s="491">
        <v>42164</v>
      </c>
      <c r="B87" s="499" t="s">
        <v>241</v>
      </c>
      <c r="C87" s="505">
        <v>1200</v>
      </c>
      <c r="D87" s="527">
        <v>1200000</v>
      </c>
      <c r="E87" s="495">
        <v>34352</v>
      </c>
      <c r="F87" s="495">
        <v>4116</v>
      </c>
      <c r="G87" s="471"/>
      <c r="I87" s="496"/>
      <c r="J87" s="497"/>
      <c r="K87" s="498"/>
    </row>
    <row r="88" spans="1:11" ht="15.75" x14ac:dyDescent="0.25">
      <c r="A88" s="491">
        <v>42172</v>
      </c>
      <c r="B88" s="499" t="s">
        <v>233</v>
      </c>
      <c r="C88" s="505">
        <v>740</v>
      </c>
      <c r="D88" s="527">
        <v>740000</v>
      </c>
      <c r="E88" s="495">
        <v>34352</v>
      </c>
      <c r="F88" s="495">
        <v>4116</v>
      </c>
      <c r="G88" s="471"/>
      <c r="I88" s="496"/>
      <c r="J88" s="497"/>
      <c r="K88" s="498"/>
    </row>
    <row r="89" spans="1:11" ht="15.75" x14ac:dyDescent="0.25">
      <c r="A89" s="491">
        <v>42172</v>
      </c>
      <c r="B89" s="499" t="s">
        <v>234</v>
      </c>
      <c r="C89" s="505">
        <v>2745</v>
      </c>
      <c r="D89" s="527">
        <v>2745000</v>
      </c>
      <c r="E89" s="495">
        <v>34352</v>
      </c>
      <c r="F89" s="495">
        <v>4116</v>
      </c>
      <c r="G89" s="471"/>
      <c r="I89" s="496"/>
      <c r="J89" s="497"/>
      <c r="K89" s="498"/>
    </row>
    <row r="90" spans="1:11" ht="15.75" x14ac:dyDescent="0.25">
      <c r="A90" s="491">
        <v>42172</v>
      </c>
      <c r="B90" s="499" t="s">
        <v>235</v>
      </c>
      <c r="C90" s="505">
        <v>2580</v>
      </c>
      <c r="D90" s="527">
        <v>2580000</v>
      </c>
      <c r="E90" s="495">
        <v>34352</v>
      </c>
      <c r="F90" s="495">
        <v>4116</v>
      </c>
      <c r="G90" s="471"/>
      <c r="I90" s="496"/>
      <c r="J90" s="497"/>
      <c r="K90" s="498"/>
    </row>
    <row r="91" spans="1:11" ht="15.75" x14ac:dyDescent="0.25">
      <c r="A91" s="491">
        <v>42178</v>
      </c>
      <c r="B91" s="499" t="s">
        <v>242</v>
      </c>
      <c r="C91" s="505">
        <v>7135</v>
      </c>
      <c r="D91" s="527">
        <v>7135000</v>
      </c>
      <c r="E91" s="495">
        <v>34352</v>
      </c>
      <c r="F91" s="495">
        <v>4116</v>
      </c>
      <c r="G91" s="471"/>
      <c r="I91" s="496"/>
      <c r="J91" s="497"/>
      <c r="K91" s="498"/>
    </row>
    <row r="92" spans="1:11" ht="15.75" x14ac:dyDescent="0.25">
      <c r="A92" s="491">
        <v>42188</v>
      </c>
      <c r="B92" s="499" t="s">
        <v>531</v>
      </c>
      <c r="C92" s="505">
        <v>112</v>
      </c>
      <c r="D92" s="527">
        <v>112000</v>
      </c>
      <c r="E92" s="495">
        <v>34001</v>
      </c>
      <c r="F92" s="495">
        <v>4116</v>
      </c>
      <c r="G92" s="471"/>
      <c r="I92" s="496"/>
      <c r="J92" s="497"/>
      <c r="K92" s="498"/>
    </row>
    <row r="93" spans="1:11" ht="15.75" x14ac:dyDescent="0.25">
      <c r="A93" s="491">
        <v>42198</v>
      </c>
      <c r="B93" s="499" t="s">
        <v>295</v>
      </c>
      <c r="C93" s="505">
        <v>80</v>
      </c>
      <c r="D93" s="527">
        <v>80000</v>
      </c>
      <c r="E93" s="495">
        <v>34070</v>
      </c>
      <c r="F93" s="495">
        <v>4116</v>
      </c>
      <c r="G93" s="471"/>
      <c r="I93" s="496"/>
      <c r="J93" s="497"/>
      <c r="K93" s="498"/>
    </row>
    <row r="94" spans="1:11" ht="15.75" x14ac:dyDescent="0.25">
      <c r="A94" s="491">
        <v>42212</v>
      </c>
      <c r="B94" s="499" t="s">
        <v>341</v>
      </c>
      <c r="C94" s="505">
        <v>1900</v>
      </c>
      <c r="D94" s="527">
        <v>1900000</v>
      </c>
      <c r="E94" s="495">
        <v>34054</v>
      </c>
      <c r="F94" s="495">
        <v>4116</v>
      </c>
      <c r="G94" s="471"/>
      <c r="I94" s="496"/>
      <c r="J94" s="497"/>
      <c r="K94" s="498"/>
    </row>
    <row r="95" spans="1:11" ht="15.75" x14ac:dyDescent="0.25">
      <c r="A95" s="491">
        <v>42214</v>
      </c>
      <c r="B95" s="499" t="s">
        <v>340</v>
      </c>
      <c r="C95" s="505">
        <v>70</v>
      </c>
      <c r="D95" s="527">
        <v>70000</v>
      </c>
      <c r="E95" s="495">
        <v>34070</v>
      </c>
      <c r="F95" s="495">
        <v>4116</v>
      </c>
      <c r="G95" s="503"/>
      <c r="I95" s="496"/>
      <c r="J95" s="497"/>
      <c r="K95" s="498"/>
    </row>
    <row r="96" spans="1:11" ht="15.75" x14ac:dyDescent="0.25">
      <c r="A96" s="491">
        <v>42227</v>
      </c>
      <c r="B96" s="499" t="s">
        <v>367</v>
      </c>
      <c r="C96" s="505">
        <v>180</v>
      </c>
      <c r="D96" s="527">
        <v>180000</v>
      </c>
      <c r="E96" s="495">
        <v>34070</v>
      </c>
      <c r="F96" s="495">
        <v>4116</v>
      </c>
      <c r="G96" s="528"/>
      <c r="I96" s="496"/>
      <c r="J96" s="497"/>
      <c r="K96" s="498"/>
    </row>
    <row r="97" spans="1:11" ht="15.75" x14ac:dyDescent="0.25">
      <c r="A97" s="491">
        <v>42241</v>
      </c>
      <c r="B97" s="499" t="s">
        <v>413</v>
      </c>
      <c r="C97" s="505">
        <v>2654</v>
      </c>
      <c r="D97" s="527">
        <v>2654000</v>
      </c>
      <c r="E97" s="495">
        <v>34002</v>
      </c>
      <c r="F97" s="495">
        <v>4116</v>
      </c>
      <c r="G97" s="471"/>
      <c r="I97" s="496"/>
      <c r="J97" s="497"/>
      <c r="K97" s="498"/>
    </row>
    <row r="98" spans="1:11" ht="15.75" x14ac:dyDescent="0.25">
      <c r="A98" s="491">
        <v>42271</v>
      </c>
      <c r="B98" s="499" t="s">
        <v>422</v>
      </c>
      <c r="C98" s="505">
        <v>1380</v>
      </c>
      <c r="D98" s="527">
        <v>1380000</v>
      </c>
      <c r="E98" s="495">
        <v>34070</v>
      </c>
      <c r="F98" s="495">
        <v>4116</v>
      </c>
      <c r="G98" s="471"/>
      <c r="I98" s="496"/>
      <c r="J98" s="497"/>
      <c r="K98" s="498"/>
    </row>
    <row r="99" spans="1:11" ht="15.75" x14ac:dyDescent="0.25">
      <c r="A99" s="491">
        <v>42272</v>
      </c>
      <c r="B99" s="499" t="s">
        <v>422</v>
      </c>
      <c r="C99" s="505">
        <v>620</v>
      </c>
      <c r="D99" s="527">
        <v>620000</v>
      </c>
      <c r="E99" s="495">
        <v>34070</v>
      </c>
      <c r="F99" s="495">
        <v>4116</v>
      </c>
      <c r="G99" s="471"/>
      <c r="I99" s="496"/>
      <c r="J99" s="497"/>
      <c r="K99" s="498"/>
    </row>
    <row r="100" spans="1:11" ht="15.75" x14ac:dyDescent="0.25">
      <c r="A100" s="491">
        <v>42284</v>
      </c>
      <c r="B100" s="499" t="s">
        <v>197</v>
      </c>
      <c r="C100" s="505">
        <v>50</v>
      </c>
      <c r="D100" s="527">
        <v>50000</v>
      </c>
      <c r="E100" s="495">
        <v>34070</v>
      </c>
      <c r="F100" s="495">
        <v>4116</v>
      </c>
      <c r="G100" s="471"/>
      <c r="I100" s="496"/>
      <c r="J100" s="497"/>
      <c r="K100" s="498"/>
    </row>
    <row r="101" spans="1:11" ht="15.75" x14ac:dyDescent="0.25">
      <c r="A101" s="491">
        <v>42310</v>
      </c>
      <c r="B101" s="499" t="s">
        <v>588</v>
      </c>
      <c r="C101" s="505">
        <v>250</v>
      </c>
      <c r="D101" s="527">
        <v>250000</v>
      </c>
      <c r="E101" s="495">
        <v>34070</v>
      </c>
      <c r="F101" s="495">
        <v>4116</v>
      </c>
      <c r="G101" s="471"/>
      <c r="I101" s="496"/>
      <c r="J101" s="497"/>
      <c r="K101" s="498"/>
    </row>
    <row r="102" spans="1:11" ht="15.75" x14ac:dyDescent="0.25">
      <c r="A102" s="491">
        <v>42318</v>
      </c>
      <c r="B102" s="499" t="s">
        <v>598</v>
      </c>
      <c r="C102" s="505">
        <v>40</v>
      </c>
      <c r="D102" s="527">
        <v>40000</v>
      </c>
      <c r="E102" s="495">
        <v>34070</v>
      </c>
      <c r="F102" s="495">
        <v>4116</v>
      </c>
      <c r="G102" s="471"/>
      <c r="I102" s="496"/>
      <c r="J102" s="497"/>
      <c r="K102" s="498"/>
    </row>
    <row r="103" spans="1:11" ht="15.75" x14ac:dyDescent="0.25">
      <c r="A103" s="491"/>
      <c r="B103" s="499" t="s">
        <v>267</v>
      </c>
      <c r="C103" s="505">
        <v>100</v>
      </c>
      <c r="D103" s="505">
        <v>100000</v>
      </c>
      <c r="E103" s="495">
        <v>34273</v>
      </c>
      <c r="F103" s="495">
        <v>4116</v>
      </c>
      <c r="G103" s="503"/>
      <c r="I103" s="496"/>
      <c r="J103" s="497">
        <v>100000</v>
      </c>
      <c r="K103" s="498"/>
    </row>
    <row r="104" spans="1:11" ht="15.75" x14ac:dyDescent="0.25">
      <c r="A104" s="491"/>
      <c r="B104" s="499" t="s">
        <v>382</v>
      </c>
      <c r="C104" s="500">
        <v>70</v>
      </c>
      <c r="D104" s="500">
        <v>70000</v>
      </c>
      <c r="E104" s="495">
        <v>34002</v>
      </c>
      <c r="F104" s="495">
        <v>4116</v>
      </c>
      <c r="G104" s="503"/>
      <c r="I104" s="496"/>
      <c r="J104" s="497">
        <v>70000</v>
      </c>
      <c r="K104" s="498"/>
    </row>
    <row r="105" spans="1:11" ht="15.75" x14ac:dyDescent="0.25">
      <c r="A105" s="491"/>
      <c r="B105" s="499" t="s">
        <v>383</v>
      </c>
      <c r="C105" s="500">
        <v>90</v>
      </c>
      <c r="D105" s="500">
        <v>90000</v>
      </c>
      <c r="E105" s="495">
        <v>34002</v>
      </c>
      <c r="F105" s="495">
        <v>4116</v>
      </c>
      <c r="G105" s="503"/>
      <c r="I105" s="496"/>
      <c r="J105" s="497">
        <v>90000</v>
      </c>
      <c r="K105" s="498"/>
    </row>
    <row r="106" spans="1:11" ht="15.75" x14ac:dyDescent="0.25">
      <c r="A106" s="491"/>
      <c r="B106" s="499" t="s">
        <v>430</v>
      </c>
      <c r="C106" s="500">
        <v>54</v>
      </c>
      <c r="D106" s="500">
        <v>54000</v>
      </c>
      <c r="E106" s="495">
        <v>34002</v>
      </c>
      <c r="F106" s="495">
        <v>4116</v>
      </c>
      <c r="G106" s="503"/>
      <c r="I106" s="496"/>
      <c r="J106" s="497">
        <v>54000</v>
      </c>
      <c r="K106" s="498"/>
    </row>
    <row r="107" spans="1:11" ht="15.75" x14ac:dyDescent="0.25">
      <c r="A107" s="491"/>
      <c r="B107" s="499" t="s">
        <v>431</v>
      </c>
      <c r="C107" s="500">
        <v>300</v>
      </c>
      <c r="D107" s="500">
        <v>300000</v>
      </c>
      <c r="E107" s="495">
        <v>34002</v>
      </c>
      <c r="F107" s="495">
        <v>4116</v>
      </c>
      <c r="G107" s="503"/>
      <c r="I107" s="496"/>
      <c r="J107" s="497">
        <v>300000</v>
      </c>
      <c r="K107" s="498"/>
    </row>
    <row r="108" spans="1:11" ht="15.75" x14ac:dyDescent="0.25">
      <c r="A108" s="491"/>
      <c r="B108" s="499"/>
      <c r="C108" s="505"/>
      <c r="D108" s="505"/>
      <c r="E108" s="495"/>
      <c r="F108" s="495"/>
      <c r="G108" s="471"/>
      <c r="I108" s="496"/>
      <c r="J108" s="497"/>
      <c r="K108" s="498"/>
    </row>
    <row r="109" spans="1:11" ht="15.75" x14ac:dyDescent="0.25">
      <c r="A109" s="491"/>
      <c r="B109" s="523" t="s">
        <v>34</v>
      </c>
      <c r="C109" s="524">
        <v>59121.139590000006</v>
      </c>
      <c r="D109" s="524">
        <v>59121139.590000004</v>
      </c>
      <c r="E109" s="495"/>
      <c r="F109" s="521"/>
      <c r="G109" s="471"/>
      <c r="I109" s="496"/>
      <c r="J109" s="497"/>
      <c r="K109" s="498"/>
    </row>
    <row r="110" spans="1:11" ht="15.75" x14ac:dyDescent="0.25">
      <c r="A110" s="491">
        <v>42054</v>
      </c>
      <c r="B110" s="499" t="s">
        <v>68</v>
      </c>
      <c r="C110" s="529">
        <v>972.54641000000004</v>
      </c>
      <c r="D110" s="530">
        <v>972546.41</v>
      </c>
      <c r="E110" s="495">
        <v>33019</v>
      </c>
      <c r="F110" s="521" t="s">
        <v>18</v>
      </c>
      <c r="G110" s="471"/>
      <c r="I110" s="496"/>
      <c r="J110" s="497"/>
      <c r="K110" s="498"/>
    </row>
    <row r="111" spans="1:11" ht="15.75" x14ac:dyDescent="0.25">
      <c r="A111" s="491">
        <v>42081</v>
      </c>
      <c r="B111" s="499" t="s">
        <v>117</v>
      </c>
      <c r="C111" s="529">
        <v>192</v>
      </c>
      <c r="D111" s="531">
        <v>192000</v>
      </c>
      <c r="E111" s="495">
        <v>33339</v>
      </c>
      <c r="F111" s="521">
        <v>4116</v>
      </c>
      <c r="G111" s="471"/>
      <c r="I111" s="496"/>
      <c r="J111" s="497"/>
      <c r="K111" s="498"/>
    </row>
    <row r="112" spans="1:11" ht="15.75" x14ac:dyDescent="0.25">
      <c r="A112" s="491">
        <v>42116</v>
      </c>
      <c r="B112" s="499" t="s">
        <v>145</v>
      </c>
      <c r="C112" s="529">
        <v>417.25607000000002</v>
      </c>
      <c r="D112" s="531">
        <v>417256.07</v>
      </c>
      <c r="E112" s="495">
        <v>33019</v>
      </c>
      <c r="F112" s="521">
        <v>4116</v>
      </c>
      <c r="G112" s="471"/>
      <c r="I112" s="496"/>
      <c r="J112" s="497"/>
      <c r="K112" s="498"/>
    </row>
    <row r="113" spans="1:11" ht="15.75" x14ac:dyDescent="0.25">
      <c r="A113" s="491">
        <v>42117</v>
      </c>
      <c r="B113" s="499" t="s">
        <v>148</v>
      </c>
      <c r="C113" s="529">
        <v>6858.8674300000002</v>
      </c>
      <c r="D113" s="532">
        <v>6858867.4299999997</v>
      </c>
      <c r="E113" s="495">
        <v>33019</v>
      </c>
      <c r="F113" s="521">
        <v>4116</v>
      </c>
      <c r="G113" s="471"/>
      <c r="I113" s="496"/>
      <c r="J113" s="497"/>
      <c r="K113" s="498"/>
    </row>
    <row r="114" spans="1:11" ht="15.75" x14ac:dyDescent="0.25">
      <c r="A114" s="491">
        <v>42131</v>
      </c>
      <c r="B114" s="499" t="s">
        <v>174</v>
      </c>
      <c r="C114" s="529">
        <v>592.21028999999999</v>
      </c>
      <c r="D114" s="531">
        <v>592210.29</v>
      </c>
      <c r="E114" s="494">
        <v>33019</v>
      </c>
      <c r="F114" s="521">
        <v>4116</v>
      </c>
      <c r="G114" s="471"/>
      <c r="I114" s="496"/>
      <c r="J114" s="497"/>
      <c r="K114" s="498"/>
    </row>
    <row r="115" spans="1:11" ht="15.75" x14ac:dyDescent="0.25">
      <c r="A115" s="491">
        <v>42138</v>
      </c>
      <c r="B115" s="499" t="s">
        <v>148</v>
      </c>
      <c r="C115" s="529">
        <v>4904.7020000000002</v>
      </c>
      <c r="D115" s="531">
        <v>4904702</v>
      </c>
      <c r="E115" s="494">
        <v>33019</v>
      </c>
      <c r="F115" s="521">
        <v>4116</v>
      </c>
      <c r="G115" s="471"/>
      <c r="I115" s="496"/>
      <c r="J115" s="497"/>
      <c r="K115" s="498"/>
    </row>
    <row r="116" spans="1:11" ht="15.75" x14ac:dyDescent="0.25">
      <c r="A116" s="491">
        <v>42184</v>
      </c>
      <c r="B116" s="499" t="s">
        <v>145</v>
      </c>
      <c r="C116" s="529">
        <v>681.93142</v>
      </c>
      <c r="D116" s="531">
        <v>681931.42</v>
      </c>
      <c r="E116" s="494">
        <v>33019</v>
      </c>
      <c r="F116" s="521">
        <v>4116</v>
      </c>
      <c r="G116" s="471"/>
      <c r="I116" s="496"/>
      <c r="J116" s="497"/>
      <c r="K116" s="498"/>
    </row>
    <row r="117" spans="1:11" ht="15.75" x14ac:dyDescent="0.25">
      <c r="A117" s="491">
        <v>42188</v>
      </c>
      <c r="B117" s="533" t="s">
        <v>174</v>
      </c>
      <c r="C117" s="529">
        <v>800.06946000000005</v>
      </c>
      <c r="D117" s="531">
        <v>800069.46</v>
      </c>
      <c r="E117" s="494">
        <v>33019</v>
      </c>
      <c r="F117" s="521">
        <v>4116</v>
      </c>
      <c r="G117" s="471"/>
      <c r="I117" s="496"/>
      <c r="J117" s="497"/>
      <c r="K117" s="498"/>
    </row>
    <row r="118" spans="1:11" ht="15.75" x14ac:dyDescent="0.25">
      <c r="A118" s="491">
        <v>42198</v>
      </c>
      <c r="B118" s="534" t="s">
        <v>275</v>
      </c>
      <c r="C118" s="529">
        <v>990.553</v>
      </c>
      <c r="D118" s="531">
        <v>990553</v>
      </c>
      <c r="E118" s="494">
        <v>33058</v>
      </c>
      <c r="F118" s="521">
        <v>4116</v>
      </c>
      <c r="G118" s="471" t="s">
        <v>685</v>
      </c>
      <c r="I118" s="496"/>
      <c r="J118" s="497"/>
      <c r="K118" s="498"/>
    </row>
    <row r="119" spans="1:11" ht="15.75" x14ac:dyDescent="0.25">
      <c r="A119" s="491">
        <v>42198</v>
      </c>
      <c r="B119" s="534" t="s">
        <v>276</v>
      </c>
      <c r="C119" s="529">
        <v>996.21900000000005</v>
      </c>
      <c r="D119" s="531">
        <v>996219</v>
      </c>
      <c r="E119" s="494">
        <v>33058</v>
      </c>
      <c r="F119" s="521">
        <v>4116</v>
      </c>
      <c r="G119" s="471" t="s">
        <v>685</v>
      </c>
      <c r="I119" s="496"/>
      <c r="J119" s="497"/>
      <c r="K119" s="498"/>
    </row>
    <row r="120" spans="1:11" ht="15.75" x14ac:dyDescent="0.25">
      <c r="A120" s="491">
        <v>42198</v>
      </c>
      <c r="B120" s="534" t="s">
        <v>277</v>
      </c>
      <c r="C120" s="529">
        <v>811.65700000000004</v>
      </c>
      <c r="D120" s="531">
        <v>811657</v>
      </c>
      <c r="E120" s="494">
        <v>33058</v>
      </c>
      <c r="F120" s="521">
        <v>4116</v>
      </c>
      <c r="G120" s="471" t="s">
        <v>685</v>
      </c>
      <c r="I120" s="496"/>
      <c r="J120" s="497"/>
      <c r="K120" s="498"/>
    </row>
    <row r="121" spans="1:11" ht="15.75" x14ac:dyDescent="0.25">
      <c r="A121" s="491">
        <v>42200</v>
      </c>
      <c r="B121" s="534" t="s">
        <v>296</v>
      </c>
      <c r="C121" s="529">
        <v>978.06399999999996</v>
      </c>
      <c r="D121" s="531">
        <v>978064</v>
      </c>
      <c r="E121" s="494">
        <v>33058</v>
      </c>
      <c r="F121" s="521">
        <v>4116</v>
      </c>
      <c r="G121" s="471" t="s">
        <v>685</v>
      </c>
      <c r="I121" s="496"/>
      <c r="J121" s="497"/>
      <c r="K121" s="498"/>
    </row>
    <row r="122" spans="1:11" ht="15.75" x14ac:dyDescent="0.25">
      <c r="A122" s="491">
        <v>42200</v>
      </c>
      <c r="B122" s="534" t="s">
        <v>297</v>
      </c>
      <c r="C122" s="529">
        <v>914.54499999999996</v>
      </c>
      <c r="D122" s="531">
        <v>914545</v>
      </c>
      <c r="E122" s="494">
        <v>33058</v>
      </c>
      <c r="F122" s="521">
        <v>4116</v>
      </c>
      <c r="G122" s="471" t="s">
        <v>685</v>
      </c>
      <c r="I122" s="496"/>
      <c r="J122" s="497"/>
      <c r="K122" s="498"/>
    </row>
    <row r="123" spans="1:11" ht="15.75" x14ac:dyDescent="0.25">
      <c r="A123" s="491">
        <v>42200</v>
      </c>
      <c r="B123" s="534" t="s">
        <v>298</v>
      </c>
      <c r="C123" s="529">
        <v>797.56700000000001</v>
      </c>
      <c r="D123" s="531">
        <v>797567</v>
      </c>
      <c r="E123" s="494">
        <v>33058</v>
      </c>
      <c r="F123" s="521">
        <v>4116</v>
      </c>
      <c r="G123" s="471" t="s">
        <v>685</v>
      </c>
      <c r="I123" s="496"/>
      <c r="J123" s="497"/>
      <c r="K123" s="498"/>
    </row>
    <row r="124" spans="1:11" ht="15.75" x14ac:dyDescent="0.25">
      <c r="A124" s="491">
        <v>42200</v>
      </c>
      <c r="B124" s="534" t="s">
        <v>299</v>
      </c>
      <c r="C124" s="529">
        <v>991.53399999999999</v>
      </c>
      <c r="D124" s="531">
        <v>991534</v>
      </c>
      <c r="E124" s="494">
        <v>33058</v>
      </c>
      <c r="F124" s="521">
        <v>4116</v>
      </c>
      <c r="G124" s="471" t="s">
        <v>685</v>
      </c>
      <c r="I124" s="496"/>
      <c r="J124" s="497"/>
      <c r="K124" s="498"/>
    </row>
    <row r="125" spans="1:11" ht="15.75" x14ac:dyDescent="0.25">
      <c r="A125" s="491">
        <v>42200</v>
      </c>
      <c r="B125" s="534" t="s">
        <v>300</v>
      </c>
      <c r="C125" s="529">
        <v>959.90899999999999</v>
      </c>
      <c r="D125" s="531">
        <v>959909</v>
      </c>
      <c r="E125" s="494">
        <v>33058</v>
      </c>
      <c r="F125" s="521">
        <v>4116</v>
      </c>
      <c r="G125" s="471" t="s">
        <v>685</v>
      </c>
      <c r="I125" s="496"/>
      <c r="J125" s="497"/>
      <c r="K125" s="498"/>
    </row>
    <row r="126" spans="1:11" ht="15.75" x14ac:dyDescent="0.25">
      <c r="A126" s="491">
        <v>42206</v>
      </c>
      <c r="B126" s="534" t="s">
        <v>314</v>
      </c>
      <c r="C126" s="529">
        <v>415.29</v>
      </c>
      <c r="D126" s="531">
        <v>415290</v>
      </c>
      <c r="E126" s="494">
        <v>33058</v>
      </c>
      <c r="F126" s="521">
        <v>4116</v>
      </c>
      <c r="G126" s="471" t="s">
        <v>685</v>
      </c>
      <c r="I126" s="496"/>
      <c r="J126" s="497"/>
      <c r="K126" s="498"/>
    </row>
    <row r="127" spans="1:11" ht="15.75" x14ac:dyDescent="0.25">
      <c r="A127" s="491">
        <v>42206</v>
      </c>
      <c r="B127" s="534" t="s">
        <v>315</v>
      </c>
      <c r="C127" s="529">
        <v>578.94200000000001</v>
      </c>
      <c r="D127" s="531">
        <v>578942</v>
      </c>
      <c r="E127" s="494">
        <v>33058</v>
      </c>
      <c r="F127" s="521">
        <v>4116</v>
      </c>
      <c r="G127" s="471" t="s">
        <v>685</v>
      </c>
      <c r="I127" s="496"/>
      <c r="J127" s="497"/>
      <c r="K127" s="498"/>
    </row>
    <row r="128" spans="1:11" ht="15.75" x14ac:dyDescent="0.25">
      <c r="A128" s="491">
        <v>42206</v>
      </c>
      <c r="B128" s="534" t="s">
        <v>316</v>
      </c>
      <c r="C128" s="529">
        <v>528.80200000000002</v>
      </c>
      <c r="D128" s="531">
        <v>528802</v>
      </c>
      <c r="E128" s="494">
        <v>33058</v>
      </c>
      <c r="F128" s="521">
        <v>4116</v>
      </c>
      <c r="G128" s="471" t="s">
        <v>685</v>
      </c>
      <c r="I128" s="496"/>
      <c r="J128" s="497"/>
      <c r="K128" s="498"/>
    </row>
    <row r="129" spans="1:11" ht="15.75" x14ac:dyDescent="0.25">
      <c r="A129" s="491">
        <v>42206</v>
      </c>
      <c r="B129" s="534" t="s">
        <v>317</v>
      </c>
      <c r="C129" s="529">
        <v>672.51599999999996</v>
      </c>
      <c r="D129" s="531">
        <v>672516</v>
      </c>
      <c r="E129" s="494">
        <v>33058</v>
      </c>
      <c r="F129" s="521">
        <v>4116</v>
      </c>
      <c r="G129" s="471" t="s">
        <v>685</v>
      </c>
      <c r="I129" s="496"/>
      <c r="J129" s="497"/>
      <c r="K129" s="498"/>
    </row>
    <row r="130" spans="1:11" ht="15.75" x14ac:dyDescent="0.25">
      <c r="A130" s="491">
        <v>42206</v>
      </c>
      <c r="B130" s="534" t="s">
        <v>318</v>
      </c>
      <c r="C130" s="529">
        <v>424.34399999999999</v>
      </c>
      <c r="D130" s="531">
        <v>424344</v>
      </c>
      <c r="E130" s="494">
        <v>33058</v>
      </c>
      <c r="F130" s="521">
        <v>4116</v>
      </c>
      <c r="G130" s="471" t="s">
        <v>685</v>
      </c>
      <c r="I130" s="496"/>
      <c r="J130" s="497"/>
      <c r="K130" s="498"/>
    </row>
    <row r="131" spans="1:11" ht="15.75" x14ac:dyDescent="0.25">
      <c r="A131" s="491">
        <v>42206</v>
      </c>
      <c r="B131" s="534" t="s">
        <v>319</v>
      </c>
      <c r="C131" s="535">
        <v>315.46100000000001</v>
      </c>
      <c r="D131" s="531">
        <v>315461</v>
      </c>
      <c r="E131" s="494">
        <v>33058</v>
      </c>
      <c r="F131" s="521">
        <v>4116</v>
      </c>
      <c r="G131" s="471" t="s">
        <v>685</v>
      </c>
      <c r="I131" s="496"/>
      <c r="J131" s="497"/>
      <c r="K131" s="498"/>
    </row>
    <row r="132" spans="1:11" ht="15.75" x14ac:dyDescent="0.25">
      <c r="A132" s="491">
        <v>42206</v>
      </c>
      <c r="B132" s="534" t="s">
        <v>320</v>
      </c>
      <c r="C132" s="535">
        <v>537.85599999999999</v>
      </c>
      <c r="D132" s="531">
        <v>537856</v>
      </c>
      <c r="E132" s="494">
        <v>33058</v>
      </c>
      <c r="F132" s="521">
        <v>4116</v>
      </c>
      <c r="G132" s="471" t="s">
        <v>685</v>
      </c>
      <c r="I132" s="496"/>
      <c r="J132" s="497"/>
      <c r="K132" s="498"/>
    </row>
    <row r="133" spans="1:11" ht="15.75" x14ac:dyDescent="0.25">
      <c r="A133" s="491">
        <v>42206</v>
      </c>
      <c r="B133" s="534" t="s">
        <v>321</v>
      </c>
      <c r="C133" s="535">
        <v>980.19799999999998</v>
      </c>
      <c r="D133" s="531">
        <v>980198</v>
      </c>
      <c r="E133" s="494">
        <v>33058</v>
      </c>
      <c r="F133" s="521">
        <v>4116</v>
      </c>
      <c r="G133" s="471" t="s">
        <v>685</v>
      </c>
      <c r="I133" s="496"/>
      <c r="J133" s="497"/>
      <c r="K133" s="498"/>
    </row>
    <row r="134" spans="1:11" ht="15.75" x14ac:dyDescent="0.25">
      <c r="A134" s="491">
        <v>42209</v>
      </c>
      <c r="B134" s="534" t="s">
        <v>323</v>
      </c>
      <c r="C134" s="535">
        <v>715.23800000000006</v>
      </c>
      <c r="D134" s="531">
        <v>715238</v>
      </c>
      <c r="E134" s="494">
        <v>33058</v>
      </c>
      <c r="F134" s="521">
        <v>4116</v>
      </c>
      <c r="G134" s="471" t="s">
        <v>685</v>
      </c>
      <c r="I134" s="496"/>
      <c r="J134" s="497"/>
      <c r="K134" s="498"/>
    </row>
    <row r="135" spans="1:11" ht="15.75" x14ac:dyDescent="0.25">
      <c r="A135" s="491">
        <v>42209</v>
      </c>
      <c r="B135" s="534" t="s">
        <v>324</v>
      </c>
      <c r="C135" s="535">
        <v>692.15</v>
      </c>
      <c r="D135" s="531">
        <v>692150</v>
      </c>
      <c r="E135" s="494">
        <v>33058</v>
      </c>
      <c r="F135" s="521">
        <v>4116</v>
      </c>
      <c r="G135" s="471" t="s">
        <v>685</v>
      </c>
      <c r="I135" s="496"/>
      <c r="J135" s="497"/>
      <c r="K135" s="498"/>
    </row>
    <row r="136" spans="1:11" ht="15.75" x14ac:dyDescent="0.25">
      <c r="A136" s="491">
        <v>42209</v>
      </c>
      <c r="B136" s="534" t="s">
        <v>325</v>
      </c>
      <c r="C136" s="535">
        <v>903.15300000000002</v>
      </c>
      <c r="D136" s="531">
        <v>903153</v>
      </c>
      <c r="E136" s="494">
        <v>33058</v>
      </c>
      <c r="F136" s="521">
        <v>4116</v>
      </c>
      <c r="G136" s="471" t="s">
        <v>685</v>
      </c>
      <c r="I136" s="496"/>
      <c r="J136" s="497"/>
      <c r="K136" s="498"/>
    </row>
    <row r="137" spans="1:11" ht="15.75" x14ac:dyDescent="0.25">
      <c r="A137" s="491">
        <v>42209</v>
      </c>
      <c r="B137" s="534" t="s">
        <v>326</v>
      </c>
      <c r="C137" s="535">
        <v>328.98700000000002</v>
      </c>
      <c r="D137" s="531">
        <v>328987</v>
      </c>
      <c r="E137" s="494">
        <v>33058</v>
      </c>
      <c r="F137" s="521">
        <v>4116</v>
      </c>
      <c r="G137" s="471" t="s">
        <v>685</v>
      </c>
      <c r="I137" s="496"/>
      <c r="J137" s="497"/>
      <c r="K137" s="498"/>
    </row>
    <row r="138" spans="1:11" ht="15.75" x14ac:dyDescent="0.25">
      <c r="A138" s="491">
        <v>42209</v>
      </c>
      <c r="B138" s="534" t="s">
        <v>327</v>
      </c>
      <c r="C138" s="535">
        <v>989.45600000000002</v>
      </c>
      <c r="D138" s="531">
        <v>989456</v>
      </c>
      <c r="E138" s="494">
        <v>33058</v>
      </c>
      <c r="F138" s="521">
        <v>4116</v>
      </c>
      <c r="G138" s="471" t="s">
        <v>685</v>
      </c>
      <c r="I138" s="496"/>
      <c r="J138" s="497"/>
      <c r="K138" s="498"/>
    </row>
    <row r="139" spans="1:11" ht="15.75" x14ac:dyDescent="0.25">
      <c r="A139" s="491">
        <v>42209</v>
      </c>
      <c r="B139" s="534" t="s">
        <v>328</v>
      </c>
      <c r="C139" s="535">
        <v>990.11099999999999</v>
      </c>
      <c r="D139" s="531">
        <v>990111</v>
      </c>
      <c r="E139" s="494">
        <v>33058</v>
      </c>
      <c r="F139" s="521">
        <v>4116</v>
      </c>
      <c r="G139" s="471" t="s">
        <v>685</v>
      </c>
      <c r="I139" s="496"/>
      <c r="J139" s="497"/>
      <c r="K139" s="498"/>
    </row>
    <row r="140" spans="1:11" ht="15.75" x14ac:dyDescent="0.25">
      <c r="A140" s="491">
        <v>42214</v>
      </c>
      <c r="B140" s="534" t="s">
        <v>335</v>
      </c>
      <c r="C140" s="535">
        <v>973.43499999999995</v>
      </c>
      <c r="D140" s="531">
        <v>973435</v>
      </c>
      <c r="E140" s="494">
        <v>33058</v>
      </c>
      <c r="F140" s="495">
        <v>4116</v>
      </c>
      <c r="G140" s="471" t="s">
        <v>685</v>
      </c>
      <c r="I140" s="496"/>
      <c r="J140" s="497"/>
      <c r="K140" s="498"/>
    </row>
    <row r="141" spans="1:11" ht="15.75" x14ac:dyDescent="0.25">
      <c r="A141" s="491">
        <v>42214</v>
      </c>
      <c r="B141" s="534" t="s">
        <v>336</v>
      </c>
      <c r="C141" s="535">
        <v>600.303</v>
      </c>
      <c r="D141" s="531">
        <v>600303</v>
      </c>
      <c r="E141" s="494">
        <v>33058</v>
      </c>
      <c r="F141" s="495">
        <v>4116</v>
      </c>
      <c r="G141" s="471" t="s">
        <v>685</v>
      </c>
      <c r="I141" s="496"/>
      <c r="J141" s="497"/>
      <c r="K141" s="498"/>
    </row>
    <row r="142" spans="1:11" ht="15.75" x14ac:dyDescent="0.25">
      <c r="A142" s="491">
        <v>42214</v>
      </c>
      <c r="B142" s="533" t="s">
        <v>337</v>
      </c>
      <c r="C142" s="535">
        <v>87.683000000000007</v>
      </c>
      <c r="D142" s="531">
        <v>87683</v>
      </c>
      <c r="E142" s="494">
        <v>33060</v>
      </c>
      <c r="F142" s="495">
        <v>4116</v>
      </c>
      <c r="G142" s="471"/>
      <c r="I142" s="496"/>
      <c r="J142" s="497"/>
      <c r="K142" s="498"/>
    </row>
    <row r="143" spans="1:11" ht="15.75" x14ac:dyDescent="0.25">
      <c r="A143" s="491">
        <v>42214</v>
      </c>
      <c r="B143" s="533" t="s">
        <v>338</v>
      </c>
      <c r="C143" s="535">
        <v>40</v>
      </c>
      <c r="D143" s="531">
        <v>40000</v>
      </c>
      <c r="E143" s="494">
        <v>33060</v>
      </c>
      <c r="F143" s="495">
        <v>4116</v>
      </c>
      <c r="G143" s="471"/>
      <c r="I143" s="496"/>
      <c r="J143" s="497"/>
      <c r="K143" s="498"/>
    </row>
    <row r="144" spans="1:11" ht="15.75" x14ac:dyDescent="0.25">
      <c r="A144" s="491">
        <v>42214</v>
      </c>
      <c r="B144" s="533" t="s">
        <v>339</v>
      </c>
      <c r="C144" s="535">
        <v>100.455</v>
      </c>
      <c r="D144" s="531">
        <v>100455</v>
      </c>
      <c r="E144" s="494">
        <v>33060</v>
      </c>
      <c r="F144" s="495">
        <v>4116</v>
      </c>
      <c r="G144" s="471"/>
      <c r="I144" s="496"/>
      <c r="J144" s="497"/>
      <c r="K144" s="498"/>
    </row>
    <row r="145" spans="1:11" ht="15.75" x14ac:dyDescent="0.25">
      <c r="A145" s="491">
        <v>42222</v>
      </c>
      <c r="B145" s="534" t="s">
        <v>361</v>
      </c>
      <c r="C145" s="505">
        <v>568.97299999999996</v>
      </c>
      <c r="D145" s="531">
        <v>568973</v>
      </c>
      <c r="E145" s="494">
        <v>33058</v>
      </c>
      <c r="F145" s="495">
        <v>4116</v>
      </c>
      <c r="G145" s="471" t="s">
        <v>685</v>
      </c>
      <c r="I145" s="496"/>
      <c r="J145" s="497"/>
      <c r="K145" s="498"/>
    </row>
    <row r="146" spans="1:11" ht="15.75" x14ac:dyDescent="0.25">
      <c r="A146" s="491">
        <v>42227</v>
      </c>
      <c r="B146" s="534" t="s">
        <v>362</v>
      </c>
      <c r="C146" s="505">
        <v>417.58100000000002</v>
      </c>
      <c r="D146" s="531">
        <v>417581</v>
      </c>
      <c r="E146" s="494">
        <v>33058</v>
      </c>
      <c r="F146" s="495">
        <v>4116</v>
      </c>
      <c r="G146" s="471" t="s">
        <v>685</v>
      </c>
      <c r="I146" s="496"/>
      <c r="J146" s="497"/>
      <c r="K146" s="498"/>
    </row>
    <row r="147" spans="1:11" ht="15.75" x14ac:dyDescent="0.25">
      <c r="A147" s="491">
        <v>42227</v>
      </c>
      <c r="B147" s="534" t="s">
        <v>363</v>
      </c>
      <c r="C147" s="505">
        <v>707.96699999999998</v>
      </c>
      <c r="D147" s="531">
        <v>707967</v>
      </c>
      <c r="E147" s="494">
        <v>33058</v>
      </c>
      <c r="F147" s="495">
        <v>4116</v>
      </c>
      <c r="G147" s="471" t="s">
        <v>685</v>
      </c>
      <c r="I147" s="496"/>
      <c r="J147" s="497"/>
      <c r="K147" s="498"/>
    </row>
    <row r="148" spans="1:11" ht="15.75" x14ac:dyDescent="0.25">
      <c r="A148" s="491">
        <v>42227</v>
      </c>
      <c r="B148" s="534" t="s">
        <v>364</v>
      </c>
      <c r="C148" s="505">
        <v>542.32799999999997</v>
      </c>
      <c r="D148" s="531">
        <v>542328</v>
      </c>
      <c r="E148" s="494">
        <v>33058</v>
      </c>
      <c r="F148" s="495">
        <v>4116</v>
      </c>
      <c r="G148" s="471" t="s">
        <v>685</v>
      </c>
      <c r="I148" s="496"/>
      <c r="J148" s="497"/>
      <c r="K148" s="498"/>
    </row>
    <row r="149" spans="1:11" ht="15.75" x14ac:dyDescent="0.25">
      <c r="A149" s="491">
        <v>42227</v>
      </c>
      <c r="B149" s="534" t="s">
        <v>365</v>
      </c>
      <c r="C149" s="505">
        <v>605.84699999999998</v>
      </c>
      <c r="D149" s="531">
        <v>605847</v>
      </c>
      <c r="E149" s="494">
        <v>33058</v>
      </c>
      <c r="F149" s="495">
        <v>4116</v>
      </c>
      <c r="G149" s="471" t="s">
        <v>685</v>
      </c>
      <c r="I149" s="496"/>
      <c r="J149" s="497"/>
      <c r="K149" s="498"/>
    </row>
    <row r="150" spans="1:11" ht="15.75" x14ac:dyDescent="0.25">
      <c r="A150" s="491">
        <v>42227</v>
      </c>
      <c r="B150" s="534" t="s">
        <v>366</v>
      </c>
      <c r="C150" s="505">
        <v>914.54499999999996</v>
      </c>
      <c r="D150" s="531">
        <v>914545</v>
      </c>
      <c r="E150" s="494">
        <v>33058</v>
      </c>
      <c r="F150" s="495">
        <v>4116</v>
      </c>
      <c r="G150" s="471" t="s">
        <v>685</v>
      </c>
      <c r="I150" s="496"/>
      <c r="J150" s="497"/>
      <c r="K150" s="498"/>
    </row>
    <row r="151" spans="1:11" ht="15.75" x14ac:dyDescent="0.25">
      <c r="A151" s="491">
        <v>42229</v>
      </c>
      <c r="B151" s="534" t="s">
        <v>369</v>
      </c>
      <c r="C151" s="505">
        <v>614.12400000000002</v>
      </c>
      <c r="D151" s="531">
        <v>614124</v>
      </c>
      <c r="E151" s="494">
        <v>33058</v>
      </c>
      <c r="F151" s="495">
        <v>4116</v>
      </c>
      <c r="G151" s="471" t="s">
        <v>685</v>
      </c>
      <c r="I151" s="496"/>
      <c r="J151" s="497"/>
      <c r="K151" s="498"/>
    </row>
    <row r="152" spans="1:11" ht="15.75" x14ac:dyDescent="0.25">
      <c r="A152" s="491">
        <v>42229</v>
      </c>
      <c r="B152" s="534" t="s">
        <v>370</v>
      </c>
      <c r="C152" s="505">
        <v>492.49200000000002</v>
      </c>
      <c r="D152" s="531">
        <v>492492</v>
      </c>
      <c r="E152" s="494">
        <v>33058</v>
      </c>
      <c r="F152" s="495">
        <v>4116</v>
      </c>
      <c r="G152" s="471" t="s">
        <v>685</v>
      </c>
      <c r="I152" s="496"/>
      <c r="J152" s="497"/>
      <c r="K152" s="498"/>
    </row>
    <row r="153" spans="1:11" ht="15.75" x14ac:dyDescent="0.25">
      <c r="A153" s="491">
        <v>42233</v>
      </c>
      <c r="B153" s="534" t="s">
        <v>371</v>
      </c>
      <c r="C153" s="505">
        <v>378.98</v>
      </c>
      <c r="D153" s="531">
        <v>378980</v>
      </c>
      <c r="E153" s="494">
        <v>33058</v>
      </c>
      <c r="F153" s="495">
        <v>4116</v>
      </c>
      <c r="G153" s="471" t="s">
        <v>685</v>
      </c>
      <c r="I153" s="496"/>
      <c r="J153" s="497"/>
      <c r="K153" s="498"/>
    </row>
    <row r="154" spans="1:11" ht="15.75" x14ac:dyDescent="0.25">
      <c r="A154" s="491">
        <v>42233</v>
      </c>
      <c r="B154" s="534" t="s">
        <v>372</v>
      </c>
      <c r="C154" s="505">
        <v>785.52</v>
      </c>
      <c r="D154" s="531">
        <v>785520</v>
      </c>
      <c r="E154" s="494">
        <v>33058</v>
      </c>
      <c r="F154" s="495">
        <v>4116</v>
      </c>
      <c r="G154" s="471" t="s">
        <v>685</v>
      </c>
      <c r="I154" s="496"/>
      <c r="J154" s="497"/>
      <c r="K154" s="498"/>
    </row>
    <row r="155" spans="1:11" ht="15.75" x14ac:dyDescent="0.25">
      <c r="A155" s="491">
        <v>42233</v>
      </c>
      <c r="B155" s="534" t="s">
        <v>373</v>
      </c>
      <c r="C155" s="505">
        <v>447.12799999999999</v>
      </c>
      <c r="D155" s="531">
        <v>447128</v>
      </c>
      <c r="E155" s="494">
        <v>33058</v>
      </c>
      <c r="F155" s="495">
        <v>4116</v>
      </c>
      <c r="G155" s="471" t="s">
        <v>685</v>
      </c>
      <c r="I155" s="496"/>
      <c r="J155" s="497"/>
      <c r="K155" s="498"/>
    </row>
    <row r="156" spans="1:11" ht="15.75" x14ac:dyDescent="0.25">
      <c r="A156" s="491">
        <v>42233</v>
      </c>
      <c r="B156" s="534" t="s">
        <v>374</v>
      </c>
      <c r="C156" s="505">
        <v>692.15</v>
      </c>
      <c r="D156" s="531">
        <v>692150</v>
      </c>
      <c r="E156" s="494">
        <v>33058</v>
      </c>
      <c r="F156" s="495">
        <v>4116</v>
      </c>
      <c r="G156" s="471" t="s">
        <v>685</v>
      </c>
      <c r="I156" s="496"/>
      <c r="J156" s="497"/>
      <c r="K156" s="498"/>
    </row>
    <row r="157" spans="1:11" ht="15.75" x14ac:dyDescent="0.25">
      <c r="A157" s="491">
        <v>42236</v>
      </c>
      <c r="B157" s="534" t="s">
        <v>375</v>
      </c>
      <c r="C157" s="505">
        <v>479.97199999999998</v>
      </c>
      <c r="D157" s="531">
        <v>479972</v>
      </c>
      <c r="E157" s="494">
        <v>33058</v>
      </c>
      <c r="F157" s="495">
        <v>4116</v>
      </c>
      <c r="G157" s="471" t="s">
        <v>685</v>
      </c>
      <c r="I157" s="496"/>
      <c r="J157" s="497"/>
      <c r="K157" s="498"/>
    </row>
    <row r="158" spans="1:11" ht="15.75" x14ac:dyDescent="0.25">
      <c r="A158" s="491">
        <v>42236</v>
      </c>
      <c r="B158" s="534" t="s">
        <v>376</v>
      </c>
      <c r="C158" s="505">
        <v>964.17700000000002</v>
      </c>
      <c r="D158" s="531">
        <v>964177</v>
      </c>
      <c r="E158" s="494">
        <v>33058</v>
      </c>
      <c r="F158" s="495">
        <v>4116</v>
      </c>
      <c r="G158" s="471" t="s">
        <v>685</v>
      </c>
      <c r="I158" s="496"/>
      <c r="J158" s="497"/>
      <c r="K158" s="498"/>
    </row>
    <row r="159" spans="1:11" ht="15.75" x14ac:dyDescent="0.25">
      <c r="A159" s="491">
        <v>42236</v>
      </c>
      <c r="B159" s="534" t="s">
        <v>377</v>
      </c>
      <c r="C159" s="505">
        <v>736.59900000000005</v>
      </c>
      <c r="D159" s="531">
        <v>736599</v>
      </c>
      <c r="E159" s="494">
        <v>33058</v>
      </c>
      <c r="F159" s="495">
        <v>4116</v>
      </c>
      <c r="G159" s="471" t="s">
        <v>685</v>
      </c>
      <c r="I159" s="496"/>
      <c r="J159" s="497"/>
      <c r="K159" s="498"/>
    </row>
    <row r="160" spans="1:11" ht="15.75" x14ac:dyDescent="0.25">
      <c r="A160" s="491">
        <v>42236</v>
      </c>
      <c r="B160" s="534" t="s">
        <v>378</v>
      </c>
      <c r="C160" s="505">
        <v>501.89699999999999</v>
      </c>
      <c r="D160" s="531">
        <v>501897</v>
      </c>
      <c r="E160" s="494">
        <v>33058</v>
      </c>
      <c r="F160" s="495">
        <v>4116</v>
      </c>
      <c r="G160" s="471" t="s">
        <v>685</v>
      </c>
      <c r="I160" s="496"/>
      <c r="J160" s="497"/>
      <c r="K160" s="498"/>
    </row>
    <row r="161" spans="1:11" ht="15.75" x14ac:dyDescent="0.25">
      <c r="A161" s="491">
        <v>42240</v>
      </c>
      <c r="B161" s="534" t="s">
        <v>400</v>
      </c>
      <c r="C161" s="505">
        <v>390.37200000000001</v>
      </c>
      <c r="D161" s="531">
        <v>390372</v>
      </c>
      <c r="E161" s="494">
        <v>33058</v>
      </c>
      <c r="F161" s="495">
        <v>4116</v>
      </c>
      <c r="G161" s="471" t="s">
        <v>685</v>
      </c>
      <c r="I161" s="496"/>
      <c r="J161" s="497"/>
      <c r="K161" s="498"/>
    </row>
    <row r="162" spans="1:11" ht="15.75" x14ac:dyDescent="0.25">
      <c r="A162" s="491">
        <v>42240</v>
      </c>
      <c r="B162" s="534" t="s">
        <v>384</v>
      </c>
      <c r="C162" s="505">
        <v>227.024</v>
      </c>
      <c r="D162" s="531">
        <v>227024</v>
      </c>
      <c r="E162" s="494">
        <v>33058</v>
      </c>
      <c r="F162" s="495">
        <v>4116</v>
      </c>
      <c r="G162" s="471" t="s">
        <v>685</v>
      </c>
      <c r="I162" s="496"/>
      <c r="J162" s="497"/>
      <c r="K162" s="498"/>
    </row>
    <row r="163" spans="1:11" ht="15.75" x14ac:dyDescent="0.25">
      <c r="A163" s="491">
        <v>42240</v>
      </c>
      <c r="B163" s="534" t="s">
        <v>385</v>
      </c>
      <c r="C163" s="505">
        <v>649.077</v>
      </c>
      <c r="D163" s="531">
        <v>649077</v>
      </c>
      <c r="E163" s="494">
        <v>33058</v>
      </c>
      <c r="F163" s="495">
        <v>4116</v>
      </c>
      <c r="G163" s="471" t="s">
        <v>685</v>
      </c>
      <c r="I163" s="496"/>
      <c r="J163" s="497"/>
      <c r="K163" s="498"/>
    </row>
    <row r="164" spans="1:11" ht="15.75" x14ac:dyDescent="0.25">
      <c r="A164" s="491">
        <v>42240</v>
      </c>
      <c r="B164" s="534" t="s">
        <v>386</v>
      </c>
      <c r="C164" s="505">
        <v>982.69299999999998</v>
      </c>
      <c r="D164" s="531">
        <v>982693</v>
      </c>
      <c r="E164" s="494">
        <v>33058</v>
      </c>
      <c r="F164" s="495">
        <v>4116</v>
      </c>
      <c r="G164" s="471" t="s">
        <v>685</v>
      </c>
      <c r="I164" s="496"/>
      <c r="J164" s="497"/>
      <c r="K164" s="498"/>
    </row>
    <row r="165" spans="1:11" ht="15.75" x14ac:dyDescent="0.25">
      <c r="A165" s="491">
        <v>42240</v>
      </c>
      <c r="B165" s="534" t="s">
        <v>387</v>
      </c>
      <c r="C165" s="505">
        <v>481.1</v>
      </c>
      <c r="D165" s="531">
        <v>481100</v>
      </c>
      <c r="E165" s="494">
        <v>33058</v>
      </c>
      <c r="F165" s="495">
        <v>4116</v>
      </c>
      <c r="G165" s="471" t="s">
        <v>685</v>
      </c>
      <c r="I165" s="496"/>
      <c r="J165" s="497"/>
      <c r="K165" s="498"/>
    </row>
    <row r="166" spans="1:11" ht="15.75" x14ac:dyDescent="0.25">
      <c r="A166" s="491">
        <v>42240</v>
      </c>
      <c r="B166" s="534" t="s">
        <v>388</v>
      </c>
      <c r="C166" s="505">
        <v>979.07</v>
      </c>
      <c r="D166" s="531">
        <v>979070</v>
      </c>
      <c r="E166" s="494">
        <v>33058</v>
      </c>
      <c r="F166" s="495">
        <v>4116</v>
      </c>
      <c r="G166" s="471" t="s">
        <v>685</v>
      </c>
      <c r="I166" s="496"/>
      <c r="J166" s="497"/>
      <c r="K166" s="498"/>
    </row>
    <row r="167" spans="1:11" ht="15.75" x14ac:dyDescent="0.25">
      <c r="A167" s="491">
        <v>42240</v>
      </c>
      <c r="B167" s="534" t="s">
        <v>389</v>
      </c>
      <c r="C167" s="505">
        <v>354.06200000000001</v>
      </c>
      <c r="D167" s="531">
        <v>354062</v>
      </c>
      <c r="E167" s="494">
        <v>33058</v>
      </c>
      <c r="F167" s="495">
        <v>4116</v>
      </c>
      <c r="G167" s="471" t="s">
        <v>685</v>
      </c>
      <c r="I167" s="496"/>
      <c r="J167" s="497"/>
      <c r="K167" s="498"/>
    </row>
    <row r="168" spans="1:11" ht="15.75" x14ac:dyDescent="0.25">
      <c r="A168" s="491">
        <v>42240</v>
      </c>
      <c r="B168" s="534" t="s">
        <v>390</v>
      </c>
      <c r="C168" s="505">
        <v>227.024</v>
      </c>
      <c r="D168" s="531">
        <v>227024</v>
      </c>
      <c r="E168" s="494">
        <v>33058</v>
      </c>
      <c r="F168" s="495">
        <v>4116</v>
      </c>
      <c r="G168" s="471" t="s">
        <v>685</v>
      </c>
      <c r="I168" s="496"/>
      <c r="J168" s="497"/>
      <c r="K168" s="498"/>
    </row>
    <row r="169" spans="1:11" ht="15.75" x14ac:dyDescent="0.25">
      <c r="A169" s="491">
        <v>42240</v>
      </c>
      <c r="B169" s="534" t="s">
        <v>391</v>
      </c>
      <c r="C169" s="505">
        <v>998.44399999999996</v>
      </c>
      <c r="D169" s="531">
        <v>998444</v>
      </c>
      <c r="E169" s="494">
        <v>33058</v>
      </c>
      <c r="F169" s="495">
        <v>4116</v>
      </c>
      <c r="G169" s="471" t="s">
        <v>685</v>
      </c>
      <c r="I169" s="496"/>
      <c r="J169" s="497"/>
      <c r="K169" s="498"/>
    </row>
    <row r="170" spans="1:11" ht="15.75" x14ac:dyDescent="0.25">
      <c r="A170" s="491">
        <v>42240</v>
      </c>
      <c r="B170" s="534" t="s">
        <v>540</v>
      </c>
      <c r="C170" s="505">
        <v>265.46800000000002</v>
      </c>
      <c r="D170" s="531">
        <v>265468</v>
      </c>
      <c r="E170" s="494">
        <v>33058</v>
      </c>
      <c r="F170" s="495">
        <v>4116</v>
      </c>
      <c r="G170" s="471" t="s">
        <v>685</v>
      </c>
      <c r="I170" s="496"/>
      <c r="J170" s="497"/>
      <c r="K170" s="498"/>
    </row>
    <row r="171" spans="1:11" ht="15.75" x14ac:dyDescent="0.25">
      <c r="A171" s="491">
        <v>42242</v>
      </c>
      <c r="B171" s="533" t="s">
        <v>148</v>
      </c>
      <c r="C171" s="505">
        <v>2092.5357399999998</v>
      </c>
      <c r="D171" s="530">
        <v>2092535.74</v>
      </c>
      <c r="E171" s="494">
        <v>33019</v>
      </c>
      <c r="F171" s="495">
        <v>4116</v>
      </c>
      <c r="G171" s="471"/>
      <c r="I171" s="496"/>
      <c r="J171" s="497"/>
      <c r="K171" s="498"/>
    </row>
    <row r="172" spans="1:11" ht="15.75" x14ac:dyDescent="0.25">
      <c r="A172" s="491">
        <v>42299</v>
      </c>
      <c r="B172" s="534" t="s">
        <v>544</v>
      </c>
      <c r="C172" s="505">
        <v>204.11199999999999</v>
      </c>
      <c r="D172" s="530">
        <v>204112</v>
      </c>
      <c r="E172" s="494">
        <v>33058</v>
      </c>
      <c r="F172" s="495">
        <v>4116</v>
      </c>
      <c r="G172" s="471" t="s">
        <v>685</v>
      </c>
      <c r="I172" s="496"/>
      <c r="J172" s="497"/>
      <c r="K172" s="498"/>
    </row>
    <row r="173" spans="1:11" ht="15.75" x14ac:dyDescent="0.25">
      <c r="A173" s="491">
        <v>42299</v>
      </c>
      <c r="B173" s="534" t="s">
        <v>545</v>
      </c>
      <c r="C173" s="505">
        <v>570.93200000000002</v>
      </c>
      <c r="D173" s="530">
        <v>570932</v>
      </c>
      <c r="E173" s="494">
        <v>33058</v>
      </c>
      <c r="F173" s="495">
        <v>4116</v>
      </c>
      <c r="G173" s="471" t="s">
        <v>685</v>
      </c>
      <c r="I173" s="496"/>
      <c r="J173" s="497"/>
      <c r="K173" s="498"/>
    </row>
    <row r="174" spans="1:11" ht="15.75" x14ac:dyDescent="0.25">
      <c r="A174" s="491">
        <v>42299</v>
      </c>
      <c r="B174" s="534" t="s">
        <v>546</v>
      </c>
      <c r="C174" s="505">
        <v>204.11199999999999</v>
      </c>
      <c r="D174" s="530">
        <v>204112</v>
      </c>
      <c r="E174" s="494">
        <v>33058</v>
      </c>
      <c r="F174" s="495">
        <v>4116</v>
      </c>
      <c r="G174" s="471" t="s">
        <v>685</v>
      </c>
      <c r="I174" s="496"/>
      <c r="J174" s="497"/>
      <c r="K174" s="498"/>
    </row>
    <row r="175" spans="1:11" ht="15.75" x14ac:dyDescent="0.25">
      <c r="A175" s="491">
        <v>42299</v>
      </c>
      <c r="B175" s="534" t="s">
        <v>547</v>
      </c>
      <c r="C175" s="505">
        <v>204.11199999999999</v>
      </c>
      <c r="D175" s="530">
        <v>204112</v>
      </c>
      <c r="E175" s="494">
        <v>33058</v>
      </c>
      <c r="F175" s="495">
        <v>4116</v>
      </c>
      <c r="G175" s="471" t="s">
        <v>685</v>
      </c>
      <c r="I175" s="496"/>
      <c r="J175" s="497"/>
      <c r="K175" s="498"/>
    </row>
    <row r="176" spans="1:11" ht="15.75" x14ac:dyDescent="0.25">
      <c r="A176" s="491">
        <v>42299</v>
      </c>
      <c r="B176" s="534" t="s">
        <v>548</v>
      </c>
      <c r="C176" s="505">
        <v>529.08699999999999</v>
      </c>
      <c r="D176" s="530">
        <v>529087</v>
      </c>
      <c r="E176" s="494">
        <v>33058</v>
      </c>
      <c r="F176" s="495">
        <v>4116</v>
      </c>
      <c r="G176" s="471" t="s">
        <v>685</v>
      </c>
      <c r="I176" s="496"/>
      <c r="J176" s="497"/>
      <c r="K176" s="498"/>
    </row>
    <row r="177" spans="1:11" ht="15.75" x14ac:dyDescent="0.25">
      <c r="A177" s="491">
        <v>42299</v>
      </c>
      <c r="B177" s="534" t="s">
        <v>549</v>
      </c>
      <c r="C177" s="505">
        <v>225.61600000000001</v>
      </c>
      <c r="D177" s="530">
        <v>225616</v>
      </c>
      <c r="E177" s="494">
        <v>33058</v>
      </c>
      <c r="F177" s="495">
        <v>4116</v>
      </c>
      <c r="G177" s="471" t="s">
        <v>685</v>
      </c>
      <c r="I177" s="496"/>
      <c r="J177" s="497"/>
      <c r="K177" s="498"/>
    </row>
    <row r="178" spans="1:11" ht="15.75" x14ac:dyDescent="0.25">
      <c r="A178" s="491">
        <v>42299</v>
      </c>
      <c r="B178" s="534" t="s">
        <v>550</v>
      </c>
      <c r="C178" s="505">
        <v>204.11199999999999</v>
      </c>
      <c r="D178" s="530">
        <v>204112</v>
      </c>
      <c r="E178" s="494">
        <v>33058</v>
      </c>
      <c r="F178" s="495">
        <v>4116</v>
      </c>
      <c r="G178" s="471" t="s">
        <v>685</v>
      </c>
      <c r="I178" s="496"/>
      <c r="J178" s="497"/>
      <c r="K178" s="498"/>
    </row>
    <row r="179" spans="1:11" ht="15.75" x14ac:dyDescent="0.25">
      <c r="A179" s="491">
        <v>42299</v>
      </c>
      <c r="B179" s="534" t="s">
        <v>551</v>
      </c>
      <c r="C179" s="505">
        <v>616.33799999999997</v>
      </c>
      <c r="D179" s="530">
        <v>616338</v>
      </c>
      <c r="E179" s="494">
        <v>33058</v>
      </c>
      <c r="F179" s="495">
        <v>4116</v>
      </c>
      <c r="G179" s="471" t="s">
        <v>685</v>
      </c>
      <c r="I179" s="496"/>
      <c r="J179" s="497"/>
      <c r="K179" s="498"/>
    </row>
    <row r="180" spans="1:11" ht="15.75" x14ac:dyDescent="0.25">
      <c r="A180" s="491">
        <v>42299</v>
      </c>
      <c r="B180" s="534" t="s">
        <v>552</v>
      </c>
      <c r="C180" s="505">
        <v>220.85</v>
      </c>
      <c r="D180" s="530">
        <v>220850</v>
      </c>
      <c r="E180" s="494">
        <v>33058</v>
      </c>
      <c r="F180" s="495">
        <v>4116</v>
      </c>
      <c r="G180" s="471" t="s">
        <v>685</v>
      </c>
      <c r="I180" s="496"/>
      <c r="J180" s="497"/>
      <c r="K180" s="498"/>
    </row>
    <row r="181" spans="1:11" ht="15.75" x14ac:dyDescent="0.25">
      <c r="A181" s="491">
        <v>42299</v>
      </c>
      <c r="B181" s="534" t="s">
        <v>553</v>
      </c>
      <c r="C181" s="505">
        <v>229.21899999999999</v>
      </c>
      <c r="D181" s="530">
        <v>229219</v>
      </c>
      <c r="E181" s="494">
        <v>33058</v>
      </c>
      <c r="F181" s="495">
        <v>4116</v>
      </c>
      <c r="G181" s="471" t="s">
        <v>685</v>
      </c>
      <c r="I181" s="496"/>
      <c r="J181" s="497"/>
      <c r="K181" s="498"/>
    </row>
    <row r="182" spans="1:11" ht="15.75" x14ac:dyDescent="0.25">
      <c r="A182" s="491">
        <v>42299</v>
      </c>
      <c r="B182" s="534" t="s">
        <v>554</v>
      </c>
      <c r="C182" s="505">
        <v>204.11199999999999</v>
      </c>
      <c r="D182" s="530">
        <v>204112</v>
      </c>
      <c r="E182" s="494">
        <v>33058</v>
      </c>
      <c r="F182" s="495">
        <v>4116</v>
      </c>
      <c r="G182" s="471" t="s">
        <v>685</v>
      </c>
      <c r="I182" s="496"/>
      <c r="J182" s="497"/>
      <c r="K182" s="498"/>
    </row>
    <row r="183" spans="1:11" ht="15.75" x14ac:dyDescent="0.25">
      <c r="A183" s="491">
        <v>42300</v>
      </c>
      <c r="B183" s="534" t="s">
        <v>555</v>
      </c>
      <c r="C183" s="505">
        <v>229.21899999999999</v>
      </c>
      <c r="D183" s="530">
        <v>229219</v>
      </c>
      <c r="E183" s="494">
        <v>33058</v>
      </c>
      <c r="F183" s="495">
        <v>4116</v>
      </c>
      <c r="G183" s="471" t="s">
        <v>685</v>
      </c>
      <c r="I183" s="496"/>
      <c r="J183" s="497"/>
      <c r="K183" s="498"/>
    </row>
    <row r="184" spans="1:11" ht="15.75" x14ac:dyDescent="0.25">
      <c r="A184" s="491">
        <v>42300</v>
      </c>
      <c r="B184" s="534" t="s">
        <v>556</v>
      </c>
      <c r="C184" s="505">
        <v>392.95600000000002</v>
      </c>
      <c r="D184" s="530">
        <v>392956</v>
      </c>
      <c r="E184" s="494">
        <v>33058</v>
      </c>
      <c r="F184" s="495">
        <v>4116</v>
      </c>
      <c r="G184" s="471" t="s">
        <v>685</v>
      </c>
      <c r="I184" s="496"/>
      <c r="J184" s="497"/>
      <c r="K184" s="498"/>
    </row>
    <row r="185" spans="1:11" ht="15.75" x14ac:dyDescent="0.25">
      <c r="A185" s="491">
        <v>42300</v>
      </c>
      <c r="B185" s="534" t="s">
        <v>557</v>
      </c>
      <c r="C185" s="505">
        <v>220.85</v>
      </c>
      <c r="D185" s="530">
        <v>220850</v>
      </c>
      <c r="E185" s="494">
        <v>33058</v>
      </c>
      <c r="F185" s="495">
        <v>4116</v>
      </c>
      <c r="G185" s="471" t="s">
        <v>685</v>
      </c>
      <c r="I185" s="496"/>
      <c r="J185" s="497"/>
      <c r="K185" s="498"/>
    </row>
    <row r="186" spans="1:11" ht="15.75" x14ac:dyDescent="0.25">
      <c r="A186" s="491">
        <v>42300</v>
      </c>
      <c r="B186" s="534" t="s">
        <v>558</v>
      </c>
      <c r="C186" s="505">
        <v>353.69200000000001</v>
      </c>
      <c r="D186" s="530">
        <v>353692</v>
      </c>
      <c r="E186" s="494">
        <v>33058</v>
      </c>
      <c r="F186" s="495">
        <v>4116</v>
      </c>
      <c r="G186" s="471" t="s">
        <v>685</v>
      </c>
      <c r="I186" s="496"/>
      <c r="J186" s="497"/>
      <c r="K186" s="498"/>
    </row>
    <row r="187" spans="1:11" ht="15.75" x14ac:dyDescent="0.25">
      <c r="A187" s="491">
        <v>42300</v>
      </c>
      <c r="B187" s="534" t="s">
        <v>559</v>
      </c>
      <c r="C187" s="505">
        <v>112.80800000000001</v>
      </c>
      <c r="D187" s="530">
        <v>112808</v>
      </c>
      <c r="E187" s="494">
        <v>33058</v>
      </c>
      <c r="F187" s="495">
        <v>4116</v>
      </c>
      <c r="G187" s="471" t="s">
        <v>685</v>
      </c>
      <c r="I187" s="496"/>
      <c r="J187" s="497"/>
      <c r="K187" s="498"/>
    </row>
    <row r="188" spans="1:11" ht="15.75" x14ac:dyDescent="0.25">
      <c r="A188" s="491">
        <v>42300</v>
      </c>
      <c r="B188" s="534" t="s">
        <v>560</v>
      </c>
      <c r="C188" s="505">
        <v>220.85</v>
      </c>
      <c r="D188" s="530">
        <v>220850</v>
      </c>
      <c r="E188" s="494">
        <v>33058</v>
      </c>
      <c r="F188" s="495">
        <v>4116</v>
      </c>
      <c r="G188" s="471" t="s">
        <v>685</v>
      </c>
      <c r="I188" s="496"/>
      <c r="J188" s="497"/>
      <c r="K188" s="498"/>
    </row>
    <row r="189" spans="1:11" ht="15.75" x14ac:dyDescent="0.25">
      <c r="A189" s="491">
        <v>42310</v>
      </c>
      <c r="B189" s="534" t="s">
        <v>574</v>
      </c>
      <c r="C189" s="505">
        <v>299.16000000000003</v>
      </c>
      <c r="D189" s="530">
        <v>299160</v>
      </c>
      <c r="E189" s="494">
        <v>33058</v>
      </c>
      <c r="F189" s="495">
        <v>4116</v>
      </c>
      <c r="G189" s="471" t="s">
        <v>685</v>
      </c>
      <c r="I189" s="496"/>
      <c r="J189" s="497"/>
      <c r="K189" s="498"/>
    </row>
    <row r="190" spans="1:11" ht="15.75" x14ac:dyDescent="0.25">
      <c r="A190" s="491">
        <v>42310</v>
      </c>
      <c r="B190" s="534" t="s">
        <v>575</v>
      </c>
      <c r="C190" s="505">
        <v>220.85</v>
      </c>
      <c r="D190" s="530">
        <v>220850</v>
      </c>
      <c r="E190" s="494">
        <v>33058</v>
      </c>
      <c r="F190" s="495">
        <v>4116</v>
      </c>
      <c r="G190" s="471" t="s">
        <v>685</v>
      </c>
      <c r="I190" s="496"/>
      <c r="J190" s="497"/>
      <c r="K190" s="498"/>
    </row>
    <row r="191" spans="1:11" ht="15.75" x14ac:dyDescent="0.25">
      <c r="A191" s="491">
        <v>42310</v>
      </c>
      <c r="B191" s="534" t="s">
        <v>573</v>
      </c>
      <c r="C191" s="505">
        <v>212.48099999999999</v>
      </c>
      <c r="D191" s="530">
        <v>212481</v>
      </c>
      <c r="E191" s="494">
        <v>33058</v>
      </c>
      <c r="F191" s="495">
        <v>4116</v>
      </c>
      <c r="G191" s="471" t="s">
        <v>685</v>
      </c>
      <c r="I191" s="496"/>
      <c r="J191" s="497"/>
      <c r="K191" s="498"/>
    </row>
    <row r="192" spans="1:11" ht="15.75" x14ac:dyDescent="0.25">
      <c r="A192" s="491">
        <v>42310</v>
      </c>
      <c r="B192" s="534" t="s">
        <v>576</v>
      </c>
      <c r="C192" s="505">
        <v>220.85</v>
      </c>
      <c r="D192" s="530">
        <v>220850</v>
      </c>
      <c r="E192" s="494">
        <v>33058</v>
      </c>
      <c r="F192" s="495">
        <v>4116</v>
      </c>
      <c r="G192" s="471" t="s">
        <v>685</v>
      </c>
      <c r="I192" s="496"/>
      <c r="J192" s="497"/>
      <c r="K192" s="498"/>
    </row>
    <row r="193" spans="1:11" ht="15.75" x14ac:dyDescent="0.25">
      <c r="A193" s="491">
        <v>42310</v>
      </c>
      <c r="B193" s="534" t="s">
        <v>577</v>
      </c>
      <c r="C193" s="505">
        <v>220.85</v>
      </c>
      <c r="D193" s="530">
        <v>220850</v>
      </c>
      <c r="E193" s="494">
        <v>33058</v>
      </c>
      <c r="F193" s="495">
        <v>4116</v>
      </c>
      <c r="G193" s="471" t="s">
        <v>685</v>
      </c>
      <c r="I193" s="496"/>
      <c r="J193" s="497"/>
      <c r="K193" s="498"/>
    </row>
    <row r="194" spans="1:11" ht="15.75" x14ac:dyDescent="0.25">
      <c r="A194" s="491">
        <v>42310</v>
      </c>
      <c r="B194" s="534" t="s">
        <v>578</v>
      </c>
      <c r="C194" s="505">
        <v>225.56899999999999</v>
      </c>
      <c r="D194" s="530">
        <v>225569</v>
      </c>
      <c r="E194" s="494">
        <v>33058</v>
      </c>
      <c r="F194" s="495">
        <v>4116</v>
      </c>
      <c r="G194" s="471" t="s">
        <v>685</v>
      </c>
      <c r="I194" s="496"/>
      <c r="J194" s="497"/>
      <c r="K194" s="498"/>
    </row>
    <row r="195" spans="1:11" ht="15.75" x14ac:dyDescent="0.25">
      <c r="A195" s="491">
        <v>42310</v>
      </c>
      <c r="B195" s="534" t="s">
        <v>579</v>
      </c>
      <c r="C195" s="505">
        <v>204.11199999999999</v>
      </c>
      <c r="D195" s="530">
        <v>204112</v>
      </c>
      <c r="E195" s="494">
        <v>33058</v>
      </c>
      <c r="F195" s="495">
        <v>4116</v>
      </c>
      <c r="G195" s="471" t="s">
        <v>685</v>
      </c>
      <c r="I195" s="496"/>
      <c r="J195" s="497"/>
      <c r="K195" s="498"/>
    </row>
    <row r="196" spans="1:11" ht="15.75" x14ac:dyDescent="0.25">
      <c r="A196" s="491">
        <v>42310</v>
      </c>
      <c r="B196" s="534" t="s">
        <v>580</v>
      </c>
      <c r="C196" s="505">
        <v>204.11199999999999</v>
      </c>
      <c r="D196" s="530">
        <v>204112</v>
      </c>
      <c r="E196" s="494">
        <v>33058</v>
      </c>
      <c r="F196" s="495">
        <v>4116</v>
      </c>
      <c r="G196" s="471" t="s">
        <v>685</v>
      </c>
      <c r="I196" s="496"/>
      <c r="J196" s="497"/>
      <c r="K196" s="498"/>
    </row>
    <row r="197" spans="1:11" ht="15.75" x14ac:dyDescent="0.25">
      <c r="A197" s="491">
        <v>42310</v>
      </c>
      <c r="B197" s="534" t="s">
        <v>581</v>
      </c>
      <c r="C197" s="505">
        <v>212.48099999999999</v>
      </c>
      <c r="D197" s="530">
        <v>212481</v>
      </c>
      <c r="E197" s="494">
        <v>33058</v>
      </c>
      <c r="F197" s="495">
        <v>4116</v>
      </c>
      <c r="G197" s="471" t="s">
        <v>685</v>
      </c>
      <c r="I197" s="496"/>
      <c r="J197" s="497"/>
      <c r="K197" s="498"/>
    </row>
    <row r="198" spans="1:11" ht="15.75" x14ac:dyDescent="0.25">
      <c r="A198" s="491">
        <v>42310</v>
      </c>
      <c r="B198" s="534" t="s">
        <v>582</v>
      </c>
      <c r="C198" s="505">
        <v>338.01600000000002</v>
      </c>
      <c r="D198" s="530">
        <v>338016</v>
      </c>
      <c r="E198" s="494">
        <v>33058</v>
      </c>
      <c r="F198" s="495">
        <v>4116</v>
      </c>
      <c r="G198" s="471" t="s">
        <v>685</v>
      </c>
      <c r="I198" s="496"/>
      <c r="J198" s="497"/>
      <c r="K198" s="498"/>
    </row>
    <row r="199" spans="1:11" ht="15.75" x14ac:dyDescent="0.25">
      <c r="A199" s="491">
        <v>42310</v>
      </c>
      <c r="B199" s="534" t="s">
        <v>583</v>
      </c>
      <c r="C199" s="505">
        <v>204.11199999999999</v>
      </c>
      <c r="D199" s="530">
        <v>204112</v>
      </c>
      <c r="E199" s="494">
        <v>33058</v>
      </c>
      <c r="F199" s="495">
        <v>4116</v>
      </c>
      <c r="G199" s="471" t="s">
        <v>685</v>
      </c>
      <c r="I199" s="496"/>
      <c r="J199" s="497"/>
      <c r="K199" s="498"/>
    </row>
    <row r="200" spans="1:11" ht="15.75" x14ac:dyDescent="0.25">
      <c r="A200" s="491">
        <v>42310</v>
      </c>
      <c r="B200" s="534" t="s">
        <v>584</v>
      </c>
      <c r="C200" s="505">
        <v>204.11199999999999</v>
      </c>
      <c r="D200" s="530">
        <v>204112</v>
      </c>
      <c r="E200" s="494">
        <v>33058</v>
      </c>
      <c r="F200" s="495">
        <v>4116</v>
      </c>
      <c r="G200" s="471" t="s">
        <v>685</v>
      </c>
      <c r="I200" s="496"/>
      <c r="J200" s="497"/>
      <c r="K200" s="498"/>
    </row>
    <row r="201" spans="1:11" ht="15.75" x14ac:dyDescent="0.25">
      <c r="A201" s="491">
        <v>42310</v>
      </c>
      <c r="B201" s="534" t="s">
        <v>585</v>
      </c>
      <c r="C201" s="505">
        <v>212.48099999999999</v>
      </c>
      <c r="D201" s="530">
        <v>212481</v>
      </c>
      <c r="E201" s="494">
        <v>33058</v>
      </c>
      <c r="F201" s="495">
        <v>4116</v>
      </c>
      <c r="G201" s="471" t="s">
        <v>685</v>
      </c>
      <c r="I201" s="496"/>
      <c r="J201" s="497"/>
      <c r="K201" s="498"/>
    </row>
    <row r="202" spans="1:11" ht="15.75" x14ac:dyDescent="0.25">
      <c r="A202" s="491">
        <v>42310</v>
      </c>
      <c r="B202" s="534" t="s">
        <v>586</v>
      </c>
      <c r="C202" s="505">
        <v>212.48099999999999</v>
      </c>
      <c r="D202" s="530">
        <v>212481</v>
      </c>
      <c r="E202" s="494">
        <v>33058</v>
      </c>
      <c r="F202" s="495">
        <v>4116</v>
      </c>
      <c r="G202" s="471" t="s">
        <v>685</v>
      </c>
      <c r="I202" s="496"/>
      <c r="J202" s="497"/>
      <c r="K202" s="498"/>
    </row>
    <row r="203" spans="1:11" ht="15.75" x14ac:dyDescent="0.25">
      <c r="A203" s="491">
        <v>42310</v>
      </c>
      <c r="B203" s="534" t="s">
        <v>587</v>
      </c>
      <c r="C203" s="505">
        <v>477.40800000000002</v>
      </c>
      <c r="D203" s="530">
        <v>477408</v>
      </c>
      <c r="E203" s="494">
        <v>33058</v>
      </c>
      <c r="F203" s="495">
        <v>4116</v>
      </c>
      <c r="G203" s="471" t="s">
        <v>685</v>
      </c>
      <c r="I203" s="496"/>
      <c r="J203" s="497"/>
      <c r="K203" s="498"/>
    </row>
    <row r="204" spans="1:11" ht="15.75" x14ac:dyDescent="0.25">
      <c r="A204" s="491">
        <v>42312</v>
      </c>
      <c r="B204" s="534" t="s">
        <v>592</v>
      </c>
      <c r="C204" s="505">
        <v>237.58799999999999</v>
      </c>
      <c r="D204" s="530">
        <v>237588</v>
      </c>
      <c r="E204" s="494">
        <v>33058</v>
      </c>
      <c r="F204" s="495">
        <v>4116</v>
      </c>
      <c r="G204" s="471" t="s">
        <v>685</v>
      </c>
      <c r="I204" s="496"/>
      <c r="J204" s="497"/>
      <c r="K204" s="498"/>
    </row>
    <row r="205" spans="1:11" ht="15.75" x14ac:dyDescent="0.25">
      <c r="A205" s="491">
        <v>42312</v>
      </c>
      <c r="B205" s="534" t="s">
        <v>593</v>
      </c>
      <c r="C205" s="505">
        <v>333.65800000000002</v>
      </c>
      <c r="D205" s="530">
        <v>333658</v>
      </c>
      <c r="E205" s="494">
        <v>33058</v>
      </c>
      <c r="F205" s="495">
        <v>4116</v>
      </c>
      <c r="G205" s="471" t="s">
        <v>685</v>
      </c>
      <c r="I205" s="496"/>
      <c r="J205" s="497"/>
      <c r="K205" s="498"/>
    </row>
    <row r="206" spans="1:11" ht="15.75" x14ac:dyDescent="0.25">
      <c r="A206" s="491">
        <v>42326</v>
      </c>
      <c r="B206" s="533" t="s">
        <v>605</v>
      </c>
      <c r="C206" s="505">
        <v>-496.64810999999997</v>
      </c>
      <c r="D206" s="530">
        <v>-496648.11</v>
      </c>
      <c r="E206" s="494">
        <v>33019</v>
      </c>
      <c r="F206" s="495">
        <v>4116</v>
      </c>
      <c r="G206" s="471"/>
      <c r="I206" s="496"/>
      <c r="J206" s="497"/>
      <c r="K206" s="498"/>
    </row>
    <row r="207" spans="1:11" ht="15.75" x14ac:dyDescent="0.25">
      <c r="A207" s="491">
        <v>42327</v>
      </c>
      <c r="B207" s="499" t="s">
        <v>606</v>
      </c>
      <c r="C207" s="505">
        <v>-167.35856999999999</v>
      </c>
      <c r="D207" s="530">
        <v>-167358.57</v>
      </c>
      <c r="E207" s="494">
        <v>33019</v>
      </c>
      <c r="F207" s="495">
        <v>4116</v>
      </c>
      <c r="G207" s="471"/>
      <c r="I207" s="496"/>
      <c r="J207" s="497"/>
      <c r="K207" s="498"/>
    </row>
    <row r="208" spans="1:11" ht="15.75" x14ac:dyDescent="0.25">
      <c r="A208" s="491">
        <v>42338</v>
      </c>
      <c r="B208" s="533" t="s">
        <v>597</v>
      </c>
      <c r="C208" s="505">
        <v>-629.31254999999999</v>
      </c>
      <c r="D208" s="530">
        <v>-629312.55000000005</v>
      </c>
      <c r="E208" s="494">
        <v>33019</v>
      </c>
      <c r="F208" s="495">
        <v>4116</v>
      </c>
      <c r="G208" s="471"/>
      <c r="I208" s="496"/>
      <c r="J208" s="497"/>
      <c r="K208" s="498"/>
    </row>
    <row r="209" spans="1:11" ht="15.75" x14ac:dyDescent="0.25">
      <c r="A209" s="491"/>
      <c r="B209" s="533"/>
      <c r="C209" s="505"/>
      <c r="D209" s="530"/>
      <c r="E209" s="494"/>
      <c r="F209" s="495"/>
      <c r="G209" s="471"/>
      <c r="I209" s="496"/>
      <c r="J209" s="497"/>
      <c r="K209" s="498"/>
    </row>
    <row r="210" spans="1:11" ht="15.75" x14ac:dyDescent="0.25">
      <c r="A210" s="491"/>
      <c r="B210" s="492" t="s">
        <v>35</v>
      </c>
      <c r="C210" s="506">
        <v>3499.8644400000003</v>
      </c>
      <c r="D210" s="506">
        <v>3499864.44</v>
      </c>
      <c r="E210" s="494"/>
      <c r="F210" s="495"/>
      <c r="G210" s="471"/>
      <c r="I210" s="496"/>
      <c r="J210" s="497"/>
      <c r="K210" s="498"/>
    </row>
    <row r="211" spans="1:11" ht="15.75" x14ac:dyDescent="0.25">
      <c r="A211" s="491">
        <v>42040</v>
      </c>
      <c r="B211" s="499" t="s">
        <v>60</v>
      </c>
      <c r="C211" s="529">
        <v>2686.6678700000002</v>
      </c>
      <c r="D211" s="529">
        <v>2686667.87</v>
      </c>
      <c r="E211" s="494">
        <v>17003</v>
      </c>
      <c r="F211" s="495" t="s">
        <v>18</v>
      </c>
      <c r="G211" s="471"/>
      <c r="I211" s="496"/>
      <c r="J211" s="497"/>
      <c r="K211" s="498"/>
    </row>
    <row r="212" spans="1:11" ht="15.75" x14ac:dyDescent="0.25">
      <c r="A212" s="491">
        <v>42059</v>
      </c>
      <c r="B212" s="499" t="s">
        <v>105</v>
      </c>
      <c r="C212" s="529">
        <v>188.21549999999999</v>
      </c>
      <c r="D212" s="529">
        <v>188215.5</v>
      </c>
      <c r="E212" s="494">
        <v>17003</v>
      </c>
      <c r="F212" s="495">
        <v>4116</v>
      </c>
      <c r="G212" s="471"/>
      <c r="I212" s="496"/>
      <c r="J212" s="497"/>
      <c r="K212" s="498"/>
    </row>
    <row r="213" spans="1:11" ht="15.75" x14ac:dyDescent="0.25">
      <c r="A213" s="491">
        <v>42059</v>
      </c>
      <c r="B213" s="499" t="s">
        <v>105</v>
      </c>
      <c r="C213" s="529">
        <v>33.214500000000001</v>
      </c>
      <c r="D213" s="529">
        <v>33214.5</v>
      </c>
      <c r="E213" s="494">
        <v>17002</v>
      </c>
      <c r="F213" s="495">
        <v>4116</v>
      </c>
      <c r="G213" s="471"/>
      <c r="I213" s="496"/>
      <c r="J213" s="497"/>
      <c r="K213" s="498"/>
    </row>
    <row r="214" spans="1:11" ht="15.75" x14ac:dyDescent="0.25">
      <c r="A214" s="491">
        <v>42241</v>
      </c>
      <c r="B214" s="499" t="s">
        <v>379</v>
      </c>
      <c r="C214" s="529">
        <v>-188.21549999999999</v>
      </c>
      <c r="D214" s="529">
        <v>-188215.5</v>
      </c>
      <c r="E214" s="494">
        <v>17003</v>
      </c>
      <c r="F214" s="495">
        <v>4116</v>
      </c>
      <c r="G214" s="471"/>
      <c r="I214" s="496"/>
      <c r="J214" s="497"/>
      <c r="K214" s="498"/>
    </row>
    <row r="215" spans="1:11" ht="15.75" x14ac:dyDescent="0.25">
      <c r="A215" s="491">
        <v>42241</v>
      </c>
      <c r="B215" s="499" t="s">
        <v>379</v>
      </c>
      <c r="C215" s="529">
        <v>-33.214500000000001</v>
      </c>
      <c r="D215" s="529">
        <v>-33214.5</v>
      </c>
      <c r="E215" s="494">
        <v>17002</v>
      </c>
      <c r="F215" s="495">
        <v>4116</v>
      </c>
      <c r="G215" s="471"/>
      <c r="I215" s="496"/>
      <c r="J215" s="497"/>
      <c r="K215" s="498"/>
    </row>
    <row r="216" spans="1:11" ht="15.75" x14ac:dyDescent="0.25">
      <c r="A216" s="491">
        <v>42318</v>
      </c>
      <c r="B216" s="508" t="s">
        <v>601</v>
      </c>
      <c r="C216" s="529">
        <v>12.06457</v>
      </c>
      <c r="D216" s="529">
        <v>12064.57</v>
      </c>
      <c r="E216" s="494">
        <v>17007</v>
      </c>
      <c r="F216" s="495">
        <v>4116</v>
      </c>
      <c r="G216" s="471" t="s">
        <v>685</v>
      </c>
      <c r="I216" s="496"/>
      <c r="J216" s="497"/>
      <c r="K216" s="498"/>
    </row>
    <row r="217" spans="1:11" ht="15.75" x14ac:dyDescent="0.25">
      <c r="A217" s="491"/>
      <c r="B217" s="536" t="s">
        <v>541</v>
      </c>
      <c r="C217" s="529">
        <v>801.13199999999995</v>
      </c>
      <c r="D217" s="529">
        <v>801132</v>
      </c>
      <c r="E217" s="494">
        <v>17005</v>
      </c>
      <c r="F217" s="495">
        <v>4116</v>
      </c>
      <c r="G217" s="503"/>
      <c r="I217" s="496"/>
      <c r="J217" s="497">
        <v>801132</v>
      </c>
      <c r="K217" s="498"/>
    </row>
    <row r="218" spans="1:11" ht="15.75" x14ac:dyDescent="0.25">
      <c r="A218" s="491"/>
      <c r="B218" s="537"/>
      <c r="C218" s="529"/>
      <c r="D218" s="529"/>
      <c r="E218" s="494"/>
      <c r="F218" s="495"/>
      <c r="G218" s="471"/>
      <c r="I218" s="496"/>
      <c r="J218" s="497"/>
      <c r="K218" s="498"/>
    </row>
    <row r="219" spans="1:11" ht="15.75" x14ac:dyDescent="0.25">
      <c r="A219" s="491"/>
      <c r="B219" s="538" t="s">
        <v>36</v>
      </c>
      <c r="C219" s="506">
        <v>59159.327660000003</v>
      </c>
      <c r="D219" s="506">
        <v>59159327.660000004</v>
      </c>
      <c r="E219" s="494"/>
      <c r="F219" s="495"/>
      <c r="G219" s="471"/>
      <c r="I219" s="496"/>
      <c r="J219" s="497"/>
      <c r="K219" s="498"/>
    </row>
    <row r="220" spans="1:11" ht="15.75" x14ac:dyDescent="0.25">
      <c r="A220" s="491">
        <v>42163</v>
      </c>
      <c r="B220" s="499" t="s">
        <v>237</v>
      </c>
      <c r="C220" s="505">
        <v>46797.196000000004</v>
      </c>
      <c r="D220" s="529">
        <v>46797196</v>
      </c>
      <c r="E220" s="494">
        <v>13011</v>
      </c>
      <c r="F220" s="495">
        <v>4116</v>
      </c>
      <c r="G220" s="503" t="s">
        <v>348</v>
      </c>
      <c r="I220" s="496"/>
      <c r="J220" s="497">
        <v>42649848</v>
      </c>
      <c r="K220" s="498"/>
    </row>
    <row r="221" spans="1:11" ht="15.75" x14ac:dyDescent="0.25">
      <c r="A221" s="491">
        <v>42163</v>
      </c>
      <c r="B221" s="499" t="s">
        <v>238</v>
      </c>
      <c r="C221" s="505">
        <v>505.56599999999997</v>
      </c>
      <c r="D221" s="529">
        <v>505566</v>
      </c>
      <c r="E221" s="494">
        <v>13011</v>
      </c>
      <c r="F221" s="495">
        <v>4116</v>
      </c>
      <c r="G221" s="471"/>
      <c r="I221" s="496"/>
      <c r="J221" s="497"/>
      <c r="K221" s="498"/>
    </row>
    <row r="222" spans="1:11" ht="15.75" x14ac:dyDescent="0.25">
      <c r="A222" s="491">
        <v>42271</v>
      </c>
      <c r="B222" s="499" t="s">
        <v>423</v>
      </c>
      <c r="C222" s="505">
        <v>12309</v>
      </c>
      <c r="D222" s="529">
        <v>12309000</v>
      </c>
      <c r="E222" s="494">
        <v>13015</v>
      </c>
      <c r="F222" s="495">
        <v>4116</v>
      </c>
      <c r="G222" s="471"/>
      <c r="I222" s="496"/>
      <c r="J222" s="497"/>
      <c r="K222" s="498"/>
    </row>
    <row r="223" spans="1:11" ht="15.75" x14ac:dyDescent="0.25">
      <c r="A223" s="491">
        <v>42312</v>
      </c>
      <c r="B223" s="499" t="s">
        <v>594</v>
      </c>
      <c r="C223" s="505">
        <v>-1500</v>
      </c>
      <c r="D223" s="529">
        <v>-1500000</v>
      </c>
      <c r="E223" s="494">
        <v>13011</v>
      </c>
      <c r="F223" s="495">
        <v>4116</v>
      </c>
      <c r="G223" s="471"/>
      <c r="I223" s="496"/>
      <c r="J223" s="497"/>
      <c r="K223" s="498"/>
    </row>
    <row r="224" spans="1:11" ht="15.75" x14ac:dyDescent="0.25">
      <c r="A224" s="491"/>
      <c r="B224" s="522" t="s">
        <v>196</v>
      </c>
      <c r="C224" s="539">
        <v>262.47374000000002</v>
      </c>
      <c r="D224" s="539">
        <v>262473.74</v>
      </c>
      <c r="E224" s="494">
        <v>13233</v>
      </c>
      <c r="F224" s="495">
        <v>4116</v>
      </c>
      <c r="G224" s="471"/>
      <c r="I224" s="496"/>
      <c r="J224" s="497">
        <v>262473.74</v>
      </c>
      <c r="K224" s="498"/>
    </row>
    <row r="225" spans="1:11" ht="15.75" x14ac:dyDescent="0.25">
      <c r="A225" s="491"/>
      <c r="B225" s="522" t="s">
        <v>203</v>
      </c>
      <c r="C225" s="539">
        <v>785.09192000000007</v>
      </c>
      <c r="D225" s="539">
        <v>785091.92</v>
      </c>
      <c r="E225" s="494">
        <v>13233</v>
      </c>
      <c r="F225" s="495">
        <v>4116</v>
      </c>
      <c r="G225" s="471"/>
      <c r="I225" s="496"/>
      <c r="J225" s="497">
        <v>785091.92</v>
      </c>
      <c r="K225" s="498"/>
    </row>
    <row r="226" spans="1:11" ht="15.75" x14ac:dyDescent="0.25">
      <c r="A226" s="491"/>
      <c r="B226" s="540"/>
      <c r="C226" s="535"/>
      <c r="D226" s="541"/>
      <c r="E226" s="494"/>
      <c r="F226" s="495"/>
      <c r="G226" s="471"/>
      <c r="I226" s="496"/>
      <c r="J226" s="497"/>
      <c r="K226" s="498"/>
    </row>
    <row r="227" spans="1:11" ht="15.75" x14ac:dyDescent="0.25">
      <c r="A227" s="491"/>
      <c r="B227" s="492" t="s">
        <v>38</v>
      </c>
      <c r="C227" s="506">
        <v>747.2</v>
      </c>
      <c r="D227" s="506">
        <v>747200</v>
      </c>
      <c r="E227" s="494"/>
      <c r="F227" s="495"/>
      <c r="G227" s="471"/>
      <c r="I227" s="496"/>
      <c r="J227" s="497"/>
      <c r="K227" s="498"/>
    </row>
    <row r="228" spans="1:11" ht="15.75" x14ac:dyDescent="0.25">
      <c r="A228" s="491">
        <v>42051</v>
      </c>
      <c r="B228" s="499" t="s">
        <v>39</v>
      </c>
      <c r="C228" s="535">
        <v>600</v>
      </c>
      <c r="D228" s="535">
        <v>600000</v>
      </c>
      <c r="E228" s="494">
        <v>22005</v>
      </c>
      <c r="F228" s="495" t="s">
        <v>18</v>
      </c>
      <c r="G228" s="471"/>
      <c r="I228" s="496"/>
      <c r="J228" s="497"/>
      <c r="K228" s="498"/>
    </row>
    <row r="229" spans="1:11" ht="15.75" x14ac:dyDescent="0.25">
      <c r="A229" s="491">
        <v>42324</v>
      </c>
      <c r="B229" s="499" t="s">
        <v>607</v>
      </c>
      <c r="C229" s="535">
        <v>147.19999999999999</v>
      </c>
      <c r="D229" s="535">
        <v>147200</v>
      </c>
      <c r="E229" s="494">
        <v>22003</v>
      </c>
      <c r="F229" s="495">
        <v>4116</v>
      </c>
      <c r="G229" s="471"/>
      <c r="I229" s="496"/>
      <c r="J229" s="497"/>
      <c r="K229" s="498"/>
    </row>
    <row r="230" spans="1:11" ht="15.75" x14ac:dyDescent="0.25">
      <c r="A230" s="491"/>
      <c r="B230" s="533"/>
      <c r="C230" s="535"/>
      <c r="D230" s="535"/>
      <c r="E230" s="494"/>
      <c r="F230" s="495"/>
      <c r="G230" s="471"/>
      <c r="I230" s="496"/>
      <c r="J230" s="497"/>
      <c r="K230" s="498"/>
    </row>
    <row r="231" spans="1:11" ht="15.75" x14ac:dyDescent="0.25">
      <c r="A231" s="491"/>
      <c r="B231" s="492" t="s">
        <v>40</v>
      </c>
      <c r="C231" s="506">
        <v>2297.6125699999998</v>
      </c>
      <c r="D231" s="506">
        <v>2297612.5699999998</v>
      </c>
      <c r="E231" s="494"/>
      <c r="F231" s="495"/>
      <c r="G231" s="471"/>
      <c r="I231" s="496"/>
      <c r="J231" s="497"/>
      <c r="K231" s="498"/>
    </row>
    <row r="232" spans="1:11" ht="15.75" x14ac:dyDescent="0.25">
      <c r="A232" s="491">
        <v>42081</v>
      </c>
      <c r="B232" s="533" t="s">
        <v>118</v>
      </c>
      <c r="C232" s="535">
        <v>134.988</v>
      </c>
      <c r="D232" s="542">
        <v>134988</v>
      </c>
      <c r="E232" s="494">
        <v>14023</v>
      </c>
      <c r="F232" s="495">
        <v>4116</v>
      </c>
      <c r="G232" s="471"/>
      <c r="I232" s="496"/>
      <c r="J232" s="497"/>
      <c r="K232" s="498"/>
    </row>
    <row r="233" spans="1:11" ht="15.75" x14ac:dyDescent="0.25">
      <c r="A233" s="491">
        <v>42082</v>
      </c>
      <c r="B233" s="533" t="s">
        <v>119</v>
      </c>
      <c r="C233" s="535">
        <v>72</v>
      </c>
      <c r="D233" s="542">
        <v>72000</v>
      </c>
      <c r="E233" s="494">
        <v>14336</v>
      </c>
      <c r="F233" s="495">
        <v>4116</v>
      </c>
      <c r="G233" s="471"/>
      <c r="I233" s="496"/>
      <c r="J233" s="497"/>
      <c r="K233" s="498"/>
    </row>
    <row r="234" spans="1:11" ht="15.75" x14ac:dyDescent="0.25">
      <c r="A234" s="491">
        <v>42087</v>
      </c>
      <c r="B234" s="533" t="s">
        <v>118</v>
      </c>
      <c r="C234" s="535">
        <v>0.8</v>
      </c>
      <c r="D234" s="542">
        <v>800</v>
      </c>
      <c r="E234" s="494">
        <v>14023</v>
      </c>
      <c r="F234" s="495">
        <v>4116</v>
      </c>
      <c r="G234" s="471"/>
      <c r="I234" s="496"/>
      <c r="J234" s="497"/>
      <c r="K234" s="498"/>
    </row>
    <row r="235" spans="1:11" ht="15.75" x14ac:dyDescent="0.25">
      <c r="A235" s="491">
        <v>42090</v>
      </c>
      <c r="B235" s="533" t="s">
        <v>118</v>
      </c>
      <c r="C235" s="535">
        <v>66.06</v>
      </c>
      <c r="D235" s="542">
        <v>66060</v>
      </c>
      <c r="E235" s="494">
        <v>14023</v>
      </c>
      <c r="F235" s="495">
        <v>4116</v>
      </c>
      <c r="G235" s="471"/>
      <c r="I235" s="496"/>
      <c r="J235" s="497"/>
      <c r="K235" s="498"/>
    </row>
    <row r="236" spans="1:11" ht="15.75" x14ac:dyDescent="0.25">
      <c r="A236" s="491">
        <v>42096</v>
      </c>
      <c r="B236" s="533" t="s">
        <v>136</v>
      </c>
      <c r="C236" s="535">
        <v>72</v>
      </c>
      <c r="D236" s="542">
        <v>72000</v>
      </c>
      <c r="E236" s="494">
        <v>14336</v>
      </c>
      <c r="F236" s="495">
        <v>4116</v>
      </c>
      <c r="G236" s="471"/>
      <c r="I236" s="496"/>
      <c r="J236" s="497"/>
      <c r="K236" s="498"/>
    </row>
    <row r="237" spans="1:11" ht="15.75" x14ac:dyDescent="0.25">
      <c r="A237" s="491">
        <v>42096</v>
      </c>
      <c r="B237" s="533" t="s">
        <v>137</v>
      </c>
      <c r="C237" s="535">
        <v>72</v>
      </c>
      <c r="D237" s="542">
        <v>72000</v>
      </c>
      <c r="E237" s="494">
        <v>14336</v>
      </c>
      <c r="F237" s="495">
        <v>4116</v>
      </c>
      <c r="G237" s="471"/>
      <c r="I237" s="496"/>
      <c r="J237" s="497"/>
      <c r="K237" s="498"/>
    </row>
    <row r="238" spans="1:11" ht="15.75" x14ac:dyDescent="0.25">
      <c r="A238" s="491">
        <v>42123</v>
      </c>
      <c r="B238" s="533" t="s">
        <v>153</v>
      </c>
      <c r="C238" s="535">
        <v>72</v>
      </c>
      <c r="D238" s="542">
        <v>72000</v>
      </c>
      <c r="E238" s="494">
        <v>14336</v>
      </c>
      <c r="F238" s="495">
        <v>4116</v>
      </c>
      <c r="G238" s="471"/>
      <c r="I238" s="496"/>
      <c r="J238" s="497"/>
      <c r="K238" s="498"/>
    </row>
    <row r="239" spans="1:11" ht="15.75" x14ac:dyDescent="0.25">
      <c r="A239" s="491">
        <v>42128</v>
      </c>
      <c r="B239" s="533" t="s">
        <v>118</v>
      </c>
      <c r="C239" s="535">
        <v>65.341999999999999</v>
      </c>
      <c r="D239" s="542">
        <v>65342</v>
      </c>
      <c r="E239" s="494">
        <v>14023</v>
      </c>
      <c r="F239" s="495">
        <v>4116</v>
      </c>
      <c r="G239" s="471"/>
      <c r="I239" s="496"/>
      <c r="J239" s="497"/>
      <c r="K239" s="498"/>
    </row>
    <row r="240" spans="1:11" ht="15.75" x14ac:dyDescent="0.25">
      <c r="A240" s="491">
        <v>42152</v>
      </c>
      <c r="B240" s="533" t="s">
        <v>118</v>
      </c>
      <c r="C240" s="535">
        <v>69.66</v>
      </c>
      <c r="D240" s="542">
        <v>69660</v>
      </c>
      <c r="E240" s="494">
        <v>14023</v>
      </c>
      <c r="F240" s="495">
        <v>4116</v>
      </c>
      <c r="G240" s="471"/>
      <c r="I240" s="496"/>
      <c r="J240" s="497"/>
      <c r="K240" s="498"/>
    </row>
    <row r="241" spans="1:11" ht="15.75" x14ac:dyDescent="0.25">
      <c r="A241" s="491">
        <v>42166</v>
      </c>
      <c r="B241" s="533" t="s">
        <v>229</v>
      </c>
      <c r="C241" s="535">
        <v>721</v>
      </c>
      <c r="D241" s="542">
        <v>721000</v>
      </c>
      <c r="E241" s="494">
        <v>14018</v>
      </c>
      <c r="F241" s="495">
        <v>4116</v>
      </c>
      <c r="G241" s="471"/>
      <c r="I241" s="496"/>
      <c r="J241" s="497"/>
      <c r="K241" s="498"/>
    </row>
    <row r="242" spans="1:11" ht="15.75" x14ac:dyDescent="0.25">
      <c r="A242" s="491">
        <v>42181</v>
      </c>
      <c r="B242" s="533" t="s">
        <v>247</v>
      </c>
      <c r="C242" s="535">
        <v>102.74966999999999</v>
      </c>
      <c r="D242" s="542">
        <v>102749.67</v>
      </c>
      <c r="E242" s="494">
        <v>14013</v>
      </c>
      <c r="F242" s="495">
        <v>4116</v>
      </c>
      <c r="G242" s="471"/>
      <c r="I242" s="496"/>
      <c r="J242" s="497"/>
      <c r="K242" s="498"/>
    </row>
    <row r="243" spans="1:11" ht="15.75" x14ac:dyDescent="0.25">
      <c r="A243" s="491">
        <v>42184</v>
      </c>
      <c r="B243" s="533" t="s">
        <v>118</v>
      </c>
      <c r="C243" s="535">
        <v>81.936000000000007</v>
      </c>
      <c r="D243" s="542">
        <v>81936</v>
      </c>
      <c r="E243" s="494">
        <v>14023</v>
      </c>
      <c r="F243" s="495">
        <v>4116</v>
      </c>
      <c r="G243" s="471"/>
      <c r="I243" s="496"/>
      <c r="J243" s="497"/>
      <c r="K243" s="498"/>
    </row>
    <row r="244" spans="1:11" ht="15.75" x14ac:dyDescent="0.25">
      <c r="A244" s="491">
        <v>42213</v>
      </c>
      <c r="B244" s="533" t="s">
        <v>118</v>
      </c>
      <c r="C244" s="535">
        <v>67.016000000000005</v>
      </c>
      <c r="D244" s="542">
        <v>67016</v>
      </c>
      <c r="E244" s="494">
        <v>14023</v>
      </c>
      <c r="F244" s="495">
        <v>4116</v>
      </c>
      <c r="G244" s="471"/>
      <c r="I244" s="496"/>
      <c r="J244" s="509"/>
      <c r="K244" s="498"/>
    </row>
    <row r="245" spans="1:11" ht="15.75" x14ac:dyDescent="0.25">
      <c r="A245" s="491">
        <v>42241</v>
      </c>
      <c r="B245" s="533" t="s">
        <v>118</v>
      </c>
      <c r="C245" s="535">
        <v>69.228999999999999</v>
      </c>
      <c r="D245" s="542">
        <v>69229</v>
      </c>
      <c r="E245" s="494">
        <v>14023</v>
      </c>
      <c r="F245" s="495">
        <v>4116</v>
      </c>
      <c r="G245" s="471"/>
      <c r="I245" s="496"/>
      <c r="J245" s="509"/>
      <c r="K245" s="498"/>
    </row>
    <row r="246" spans="1:11" ht="15.75" x14ac:dyDescent="0.25">
      <c r="A246" s="491">
        <v>42278</v>
      </c>
      <c r="B246" s="533" t="s">
        <v>118</v>
      </c>
      <c r="C246" s="535">
        <v>75.543000000000006</v>
      </c>
      <c r="D246" s="542">
        <v>75543</v>
      </c>
      <c r="E246" s="494">
        <v>14023</v>
      </c>
      <c r="F246" s="495">
        <v>4116</v>
      </c>
      <c r="G246" s="471"/>
      <c r="I246" s="496"/>
      <c r="J246" s="509"/>
      <c r="K246" s="498"/>
    </row>
    <row r="247" spans="1:11" ht="15.75" x14ac:dyDescent="0.25">
      <c r="A247" s="491">
        <v>42314</v>
      </c>
      <c r="B247" s="533" t="s">
        <v>118</v>
      </c>
      <c r="C247" s="535">
        <v>67.688000000000002</v>
      </c>
      <c r="D247" s="542">
        <v>67688</v>
      </c>
      <c r="E247" s="494">
        <v>14023</v>
      </c>
      <c r="F247" s="495">
        <v>4116</v>
      </c>
      <c r="G247" s="471"/>
      <c r="I247" s="496"/>
      <c r="J247" s="509"/>
      <c r="K247" s="498"/>
    </row>
    <row r="248" spans="1:11" ht="15.75" x14ac:dyDescent="0.25">
      <c r="A248" s="491">
        <v>42335</v>
      </c>
      <c r="B248" s="533" t="s">
        <v>118</v>
      </c>
      <c r="C248" s="535">
        <v>62.695</v>
      </c>
      <c r="D248" s="542">
        <v>62695</v>
      </c>
      <c r="E248" s="494">
        <v>14023</v>
      </c>
      <c r="F248" s="495">
        <v>4116</v>
      </c>
      <c r="G248" s="471"/>
      <c r="I248" s="496"/>
      <c r="J248" s="509"/>
      <c r="K248" s="498"/>
    </row>
    <row r="249" spans="1:11" ht="15.75" x14ac:dyDescent="0.25">
      <c r="A249" s="491">
        <v>42353</v>
      </c>
      <c r="B249" s="533" t="s">
        <v>653</v>
      </c>
      <c r="C249" s="535">
        <v>-1.7091000000000001</v>
      </c>
      <c r="D249" s="542">
        <v>-1709.1</v>
      </c>
      <c r="E249" s="494">
        <v>14018</v>
      </c>
      <c r="F249" s="495">
        <v>4116</v>
      </c>
      <c r="G249" s="471"/>
      <c r="I249" s="496"/>
      <c r="J249" s="509"/>
      <c r="K249" s="498"/>
    </row>
    <row r="250" spans="1:11" ht="15.75" x14ac:dyDescent="0.25">
      <c r="A250" s="491">
        <v>42354</v>
      </c>
      <c r="B250" s="533" t="s">
        <v>118</v>
      </c>
      <c r="C250" s="535">
        <v>57.215000000000003</v>
      </c>
      <c r="D250" s="542">
        <v>57215</v>
      </c>
      <c r="E250" s="494">
        <v>14023</v>
      </c>
      <c r="F250" s="495">
        <v>4116</v>
      </c>
      <c r="G250" s="471"/>
      <c r="I250" s="496"/>
      <c r="J250" s="509"/>
      <c r="K250" s="498"/>
    </row>
    <row r="251" spans="1:11" ht="15.75" x14ac:dyDescent="0.25">
      <c r="A251" s="491"/>
      <c r="B251" s="533" t="s">
        <v>398</v>
      </c>
      <c r="C251" s="543">
        <v>300</v>
      </c>
      <c r="D251" s="543">
        <v>300000</v>
      </c>
      <c r="E251" s="494">
        <v>14336</v>
      </c>
      <c r="F251" s="495">
        <v>4116</v>
      </c>
      <c r="G251" s="503"/>
      <c r="I251" s="496"/>
      <c r="J251" s="509">
        <v>300000</v>
      </c>
      <c r="K251" s="498"/>
    </row>
    <row r="252" spans="1:11" ht="15.75" x14ac:dyDescent="0.25">
      <c r="A252" s="491"/>
      <c r="B252" s="533" t="s">
        <v>274</v>
      </c>
      <c r="C252" s="543">
        <v>36</v>
      </c>
      <c r="D252" s="543">
        <v>36000</v>
      </c>
      <c r="E252" s="494">
        <v>14018</v>
      </c>
      <c r="F252" s="495">
        <v>4116</v>
      </c>
      <c r="G252" s="471"/>
      <c r="I252" s="496"/>
      <c r="J252" s="509">
        <v>36000</v>
      </c>
      <c r="K252" s="498"/>
    </row>
    <row r="253" spans="1:11" ht="15.75" x14ac:dyDescent="0.25">
      <c r="A253" s="491"/>
      <c r="B253" s="533" t="s">
        <v>113</v>
      </c>
      <c r="C253" s="543">
        <v>33.4</v>
      </c>
      <c r="D253" s="543">
        <v>33400</v>
      </c>
      <c r="E253" s="494">
        <v>14137</v>
      </c>
      <c r="F253" s="495">
        <v>4116</v>
      </c>
      <c r="G253" s="471"/>
      <c r="I253" s="496"/>
      <c r="J253" s="509">
        <v>33400</v>
      </c>
      <c r="K253" s="498"/>
    </row>
    <row r="254" spans="1:11" ht="15.75" x14ac:dyDescent="0.25">
      <c r="A254" s="491"/>
      <c r="B254" s="533"/>
      <c r="C254" s="535"/>
      <c r="D254" s="535"/>
      <c r="E254" s="494"/>
      <c r="F254" s="544"/>
      <c r="G254" s="471"/>
      <c r="I254" s="496"/>
      <c r="J254" s="497"/>
      <c r="K254" s="498"/>
    </row>
    <row r="255" spans="1:11" ht="15.75" x14ac:dyDescent="0.25">
      <c r="A255" s="491"/>
      <c r="B255" s="492" t="s">
        <v>41</v>
      </c>
      <c r="C255" s="506">
        <v>935.77300000000014</v>
      </c>
      <c r="D255" s="506">
        <v>935773</v>
      </c>
      <c r="E255" s="494"/>
      <c r="F255" s="544"/>
      <c r="G255" s="471"/>
      <c r="I255" s="496"/>
      <c r="J255" s="497"/>
      <c r="K255" s="498"/>
    </row>
    <row r="256" spans="1:11" ht="15.75" x14ac:dyDescent="0.25">
      <c r="A256" s="491">
        <v>42118</v>
      </c>
      <c r="B256" s="533" t="s">
        <v>93</v>
      </c>
      <c r="C256" s="535">
        <v>18.0625</v>
      </c>
      <c r="D256" s="535">
        <v>18062.5</v>
      </c>
      <c r="E256" s="494">
        <v>35019</v>
      </c>
      <c r="F256" s="544">
        <v>4116</v>
      </c>
      <c r="G256" s="471"/>
      <c r="I256" s="496"/>
      <c r="J256" s="497"/>
      <c r="K256" s="498"/>
    </row>
    <row r="257" spans="1:11" ht="15.75" x14ac:dyDescent="0.25">
      <c r="A257" s="491">
        <v>42118</v>
      </c>
      <c r="B257" s="533" t="s">
        <v>94</v>
      </c>
      <c r="C257" s="535">
        <v>17.977499999999999</v>
      </c>
      <c r="D257" s="535">
        <v>17977.5</v>
      </c>
      <c r="E257" s="494">
        <v>35019</v>
      </c>
      <c r="F257" s="544">
        <v>4116</v>
      </c>
      <c r="G257" s="545"/>
      <c r="I257" s="496"/>
      <c r="J257" s="497"/>
      <c r="K257" s="498"/>
    </row>
    <row r="258" spans="1:11" ht="15.75" x14ac:dyDescent="0.25">
      <c r="A258" s="491">
        <v>42118</v>
      </c>
      <c r="B258" s="533" t="s">
        <v>95</v>
      </c>
      <c r="C258" s="535">
        <v>32.084000000000003</v>
      </c>
      <c r="D258" s="535">
        <v>32084</v>
      </c>
      <c r="E258" s="494">
        <v>35019</v>
      </c>
      <c r="F258" s="544">
        <v>4116</v>
      </c>
      <c r="G258" s="545"/>
      <c r="I258" s="496"/>
      <c r="J258" s="497"/>
      <c r="K258" s="498"/>
    </row>
    <row r="259" spans="1:11" ht="15.75" x14ac:dyDescent="0.25">
      <c r="A259" s="491">
        <v>42118</v>
      </c>
      <c r="B259" s="533" t="s">
        <v>95</v>
      </c>
      <c r="C259" s="535">
        <v>77</v>
      </c>
      <c r="D259" s="535">
        <v>77000</v>
      </c>
      <c r="E259" s="494">
        <v>35019</v>
      </c>
      <c r="F259" s="544">
        <v>4116</v>
      </c>
      <c r="G259" s="545"/>
      <c r="I259" s="496"/>
      <c r="J259" s="497"/>
      <c r="K259" s="498"/>
    </row>
    <row r="260" spans="1:11" ht="15.75" x14ac:dyDescent="0.25">
      <c r="A260" s="491">
        <v>42118</v>
      </c>
      <c r="B260" s="533" t="s">
        <v>92</v>
      </c>
      <c r="C260" s="535">
        <v>40.25</v>
      </c>
      <c r="D260" s="535">
        <v>40250</v>
      </c>
      <c r="E260" s="494">
        <v>35019</v>
      </c>
      <c r="F260" s="544">
        <v>4116</v>
      </c>
      <c r="G260" s="545"/>
      <c r="I260" s="496"/>
      <c r="J260" s="497"/>
      <c r="K260" s="498"/>
    </row>
    <row r="261" spans="1:11" ht="15.75" x14ac:dyDescent="0.25">
      <c r="A261" s="491">
        <v>42172</v>
      </c>
      <c r="B261" s="533" t="s">
        <v>100</v>
      </c>
      <c r="C261" s="535">
        <v>140</v>
      </c>
      <c r="D261" s="535">
        <v>140000</v>
      </c>
      <c r="E261" s="494">
        <v>35015</v>
      </c>
      <c r="F261" s="544">
        <v>4116</v>
      </c>
      <c r="G261" s="545"/>
      <c r="I261" s="496"/>
      <c r="J261" s="497"/>
      <c r="K261" s="498"/>
    </row>
    <row r="262" spans="1:11" ht="15.75" x14ac:dyDescent="0.25">
      <c r="A262" s="491">
        <v>42299</v>
      </c>
      <c r="B262" s="533" t="s">
        <v>93</v>
      </c>
      <c r="C262" s="535">
        <v>18.0625</v>
      </c>
      <c r="D262" s="535">
        <v>18062.5</v>
      </c>
      <c r="E262" s="494">
        <v>35019</v>
      </c>
      <c r="F262" s="544">
        <v>4116</v>
      </c>
      <c r="G262" s="545"/>
      <c r="I262" s="496"/>
      <c r="J262" s="497"/>
      <c r="K262" s="498"/>
    </row>
    <row r="263" spans="1:11" ht="15.75" x14ac:dyDescent="0.25">
      <c r="A263" s="491">
        <v>42299</v>
      </c>
      <c r="B263" s="533" t="s">
        <v>94</v>
      </c>
      <c r="C263" s="535">
        <v>17.977499999999999</v>
      </c>
      <c r="D263" s="535">
        <v>17977.5</v>
      </c>
      <c r="E263" s="494">
        <v>35019</v>
      </c>
      <c r="F263" s="544">
        <v>4116</v>
      </c>
      <c r="G263" s="471"/>
      <c r="I263" s="496"/>
      <c r="J263" s="497"/>
      <c r="K263" s="498"/>
    </row>
    <row r="264" spans="1:11" ht="15.75" x14ac:dyDescent="0.25">
      <c r="A264" s="491">
        <v>42299</v>
      </c>
      <c r="B264" s="533" t="s">
        <v>95</v>
      </c>
      <c r="C264" s="535">
        <v>32.084000000000003</v>
      </c>
      <c r="D264" s="535">
        <v>32084</v>
      </c>
      <c r="E264" s="494">
        <v>35019</v>
      </c>
      <c r="F264" s="544">
        <v>4116</v>
      </c>
      <c r="G264" s="471"/>
      <c r="I264" s="496"/>
      <c r="J264" s="497"/>
      <c r="K264" s="498"/>
    </row>
    <row r="265" spans="1:11" ht="15.75" x14ac:dyDescent="0.25">
      <c r="A265" s="491">
        <v>42300</v>
      </c>
      <c r="B265" s="533" t="s">
        <v>95</v>
      </c>
      <c r="C265" s="535">
        <v>77</v>
      </c>
      <c r="D265" s="535">
        <v>77000</v>
      </c>
      <c r="E265" s="494">
        <v>35019</v>
      </c>
      <c r="F265" s="544">
        <v>4116</v>
      </c>
      <c r="G265" s="471"/>
      <c r="I265" s="496"/>
      <c r="J265" s="497"/>
      <c r="K265" s="498"/>
    </row>
    <row r="266" spans="1:11" ht="15.75" x14ac:dyDescent="0.25">
      <c r="A266" s="491">
        <v>42300</v>
      </c>
      <c r="B266" s="533" t="s">
        <v>92</v>
      </c>
      <c r="C266" s="535">
        <v>40.25</v>
      </c>
      <c r="D266" s="535">
        <v>40250</v>
      </c>
      <c r="E266" s="494">
        <v>35019</v>
      </c>
      <c r="F266" s="544">
        <v>4116</v>
      </c>
      <c r="G266" s="471"/>
      <c r="I266" s="496"/>
      <c r="J266" s="497"/>
      <c r="K266" s="498"/>
    </row>
    <row r="267" spans="1:11" ht="15.75" x14ac:dyDescent="0.25">
      <c r="A267" s="491">
        <v>42300</v>
      </c>
      <c r="B267" s="533" t="s">
        <v>100</v>
      </c>
      <c r="C267" s="535">
        <v>140</v>
      </c>
      <c r="D267" s="535">
        <v>140000</v>
      </c>
      <c r="E267" s="494">
        <v>35015</v>
      </c>
      <c r="F267" s="544">
        <v>4116</v>
      </c>
      <c r="G267" s="471"/>
      <c r="I267" s="496"/>
      <c r="J267" s="497"/>
      <c r="K267" s="498"/>
    </row>
    <row r="268" spans="1:11" ht="15.75" x14ac:dyDescent="0.25">
      <c r="A268" s="491">
        <v>42311</v>
      </c>
      <c r="B268" s="533" t="s">
        <v>590</v>
      </c>
      <c r="C268" s="535">
        <v>100</v>
      </c>
      <c r="D268" s="535">
        <v>100000</v>
      </c>
      <c r="E268" s="494">
        <v>35015</v>
      </c>
      <c r="F268" s="544">
        <v>4116</v>
      </c>
      <c r="G268" s="471"/>
      <c r="I268" s="496"/>
      <c r="J268" s="497"/>
      <c r="K268" s="498"/>
    </row>
    <row r="269" spans="1:11" ht="15.75" x14ac:dyDescent="0.25">
      <c r="A269" s="491">
        <v>42332</v>
      </c>
      <c r="B269" s="533" t="s">
        <v>610</v>
      </c>
      <c r="C269" s="535">
        <v>2.0219999999999998</v>
      </c>
      <c r="D269" s="535">
        <v>2022</v>
      </c>
      <c r="E269" s="494">
        <v>35019</v>
      </c>
      <c r="F269" s="544">
        <v>4116</v>
      </c>
      <c r="G269" s="471"/>
      <c r="I269" s="496"/>
      <c r="J269" s="497"/>
      <c r="K269" s="498"/>
    </row>
    <row r="270" spans="1:11" ht="15.75" x14ac:dyDescent="0.25">
      <c r="A270" s="491">
        <v>42332</v>
      </c>
      <c r="B270" s="533" t="s">
        <v>611</v>
      </c>
      <c r="C270" s="535">
        <v>6.431</v>
      </c>
      <c r="D270" s="535">
        <v>6431</v>
      </c>
      <c r="E270" s="494">
        <v>35019</v>
      </c>
      <c r="F270" s="544">
        <v>4116</v>
      </c>
      <c r="G270" s="471"/>
      <c r="I270" s="496"/>
      <c r="J270" s="497"/>
      <c r="K270" s="498"/>
    </row>
    <row r="271" spans="1:11" ht="15.75" x14ac:dyDescent="0.25">
      <c r="A271" s="491">
        <v>42332</v>
      </c>
      <c r="B271" s="533" t="s">
        <v>612</v>
      </c>
      <c r="C271" s="535">
        <v>8.5719999999999992</v>
      </c>
      <c r="D271" s="535">
        <v>8572</v>
      </c>
      <c r="E271" s="494">
        <v>35019</v>
      </c>
      <c r="F271" s="544">
        <v>4116</v>
      </c>
      <c r="G271" s="471"/>
      <c r="I271" s="496"/>
      <c r="J271" s="497"/>
      <c r="K271" s="498"/>
    </row>
    <row r="272" spans="1:11" ht="15.75" x14ac:dyDescent="0.25">
      <c r="A272" s="491">
        <v>42333</v>
      </c>
      <c r="B272" s="533" t="s">
        <v>621</v>
      </c>
      <c r="C272" s="535">
        <v>48</v>
      </c>
      <c r="D272" s="535">
        <v>48000</v>
      </c>
      <c r="E272" s="494">
        <v>35015</v>
      </c>
      <c r="F272" s="544">
        <v>4116</v>
      </c>
      <c r="G272" s="471"/>
      <c r="I272" s="496"/>
      <c r="J272" s="497"/>
      <c r="K272" s="498"/>
    </row>
    <row r="273" spans="1:11" ht="15.75" x14ac:dyDescent="0.25">
      <c r="A273" s="491">
        <v>42346</v>
      </c>
      <c r="B273" s="533" t="s">
        <v>622</v>
      </c>
      <c r="C273" s="535">
        <v>40</v>
      </c>
      <c r="D273" s="535">
        <v>40000</v>
      </c>
      <c r="E273" s="494">
        <v>35015</v>
      </c>
      <c r="F273" s="544">
        <v>4116</v>
      </c>
      <c r="G273" s="471"/>
      <c r="I273" s="496"/>
      <c r="J273" s="497"/>
      <c r="K273" s="498"/>
    </row>
    <row r="274" spans="1:11" ht="15.75" x14ac:dyDescent="0.25">
      <c r="A274" s="491">
        <v>42346</v>
      </c>
      <c r="B274" s="533" t="s">
        <v>623</v>
      </c>
      <c r="C274" s="535">
        <v>80</v>
      </c>
      <c r="D274" s="535">
        <v>80000</v>
      </c>
      <c r="E274" s="494">
        <v>35015</v>
      </c>
      <c r="F274" s="544">
        <v>4116</v>
      </c>
      <c r="G274" s="471"/>
      <c r="I274" s="496"/>
      <c r="J274" s="497"/>
      <c r="K274" s="498"/>
    </row>
    <row r="275" spans="1:11" ht="15.75" x14ac:dyDescent="0.25">
      <c r="A275" s="491"/>
      <c r="B275" s="533"/>
      <c r="C275" s="535"/>
      <c r="D275" s="535"/>
      <c r="E275" s="494"/>
      <c r="F275" s="544"/>
      <c r="G275" s="471"/>
      <c r="I275" s="496"/>
      <c r="J275" s="497"/>
      <c r="K275" s="498"/>
    </row>
    <row r="276" spans="1:11" ht="15.75" x14ac:dyDescent="0.25">
      <c r="A276" s="491"/>
      <c r="B276" s="492" t="s">
        <v>42</v>
      </c>
      <c r="C276" s="506">
        <v>381.32499999999999</v>
      </c>
      <c r="D276" s="506">
        <v>381325</v>
      </c>
      <c r="E276" s="494"/>
      <c r="F276" s="544"/>
      <c r="G276" s="471"/>
      <c r="I276" s="496"/>
      <c r="J276" s="497"/>
      <c r="K276" s="498"/>
    </row>
    <row r="277" spans="1:11" ht="15.75" x14ac:dyDescent="0.25">
      <c r="A277" s="491">
        <v>42142</v>
      </c>
      <c r="B277" s="533" t="s">
        <v>43</v>
      </c>
      <c r="C277" s="535">
        <v>86.159000000000006</v>
      </c>
      <c r="D277" s="535">
        <v>86159</v>
      </c>
      <c r="E277" s="494">
        <v>29008</v>
      </c>
      <c r="F277" s="544">
        <v>4116</v>
      </c>
      <c r="G277" s="471"/>
      <c r="I277" s="496"/>
      <c r="J277" s="497"/>
      <c r="K277" s="498"/>
    </row>
    <row r="278" spans="1:11" ht="15.75" x14ac:dyDescent="0.25">
      <c r="A278" s="491">
        <v>42157</v>
      </c>
      <c r="B278" s="533" t="s">
        <v>44</v>
      </c>
      <c r="C278" s="535">
        <v>10.5</v>
      </c>
      <c r="D278" s="535">
        <v>10500</v>
      </c>
      <c r="E278" s="494">
        <v>29004</v>
      </c>
      <c r="F278" s="544">
        <v>4116</v>
      </c>
      <c r="G278" s="471"/>
      <c r="I278" s="496"/>
      <c r="J278" s="497"/>
      <c r="K278" s="498"/>
    </row>
    <row r="279" spans="1:11" ht="15.75" x14ac:dyDescent="0.25">
      <c r="A279" s="491">
        <v>42163</v>
      </c>
      <c r="B279" s="533" t="s">
        <v>43</v>
      </c>
      <c r="C279" s="535">
        <v>84.284999999999997</v>
      </c>
      <c r="D279" s="535">
        <v>84285</v>
      </c>
      <c r="E279" s="494">
        <v>29008</v>
      </c>
      <c r="F279" s="544">
        <v>4116</v>
      </c>
      <c r="G279" s="471"/>
      <c r="I279" s="496"/>
      <c r="J279" s="497"/>
      <c r="K279" s="498"/>
    </row>
    <row r="280" spans="1:11" ht="15.75" x14ac:dyDescent="0.25">
      <c r="A280" s="491">
        <v>42278</v>
      </c>
      <c r="B280" s="533" t="s">
        <v>43</v>
      </c>
      <c r="C280" s="535">
        <v>85.221999999999994</v>
      </c>
      <c r="D280" s="535">
        <v>85222</v>
      </c>
      <c r="E280" s="494">
        <v>29008</v>
      </c>
      <c r="F280" s="544">
        <v>4116</v>
      </c>
      <c r="G280" s="471"/>
      <c r="I280" s="496"/>
      <c r="J280" s="497"/>
      <c r="K280" s="498"/>
    </row>
    <row r="281" spans="1:11" ht="15.75" x14ac:dyDescent="0.25">
      <c r="A281" s="491">
        <v>42333</v>
      </c>
      <c r="B281" s="533" t="s">
        <v>44</v>
      </c>
      <c r="C281" s="535">
        <v>29</v>
      </c>
      <c r="D281" s="535">
        <v>29000</v>
      </c>
      <c r="E281" s="494">
        <v>29004</v>
      </c>
      <c r="F281" s="544">
        <v>4116</v>
      </c>
      <c r="G281" s="471"/>
      <c r="I281" s="496"/>
      <c r="J281" s="497"/>
      <c r="K281" s="498"/>
    </row>
    <row r="282" spans="1:11" ht="15.75" x14ac:dyDescent="0.25">
      <c r="A282" s="491">
        <v>42340</v>
      </c>
      <c r="B282" s="533" t="s">
        <v>43</v>
      </c>
      <c r="C282" s="535">
        <v>86.159000000000006</v>
      </c>
      <c r="D282" s="535">
        <v>86159</v>
      </c>
      <c r="E282" s="494">
        <v>29008</v>
      </c>
      <c r="F282" s="544">
        <v>4116</v>
      </c>
      <c r="G282" s="471"/>
      <c r="I282" s="496"/>
      <c r="J282" s="497"/>
      <c r="K282" s="498"/>
    </row>
    <row r="283" spans="1:11" ht="15.75" x14ac:dyDescent="0.25">
      <c r="A283" s="491"/>
      <c r="B283" s="533"/>
      <c r="C283" s="535"/>
      <c r="D283" s="535"/>
      <c r="E283" s="494"/>
      <c r="F283" s="544"/>
      <c r="G283" s="471"/>
      <c r="I283" s="496"/>
      <c r="J283" s="497"/>
      <c r="K283" s="498"/>
    </row>
    <row r="284" spans="1:11" ht="15.75" x14ac:dyDescent="0.25">
      <c r="A284" s="491"/>
      <c r="B284" s="492" t="s">
        <v>45</v>
      </c>
      <c r="C284" s="506">
        <v>8233.5089299999981</v>
      </c>
      <c r="D284" s="506">
        <v>8233508.9299999997</v>
      </c>
      <c r="E284" s="494"/>
      <c r="F284" s="544"/>
      <c r="G284" s="471"/>
      <c r="I284" s="496"/>
      <c r="J284" s="497"/>
      <c r="K284" s="498"/>
    </row>
    <row r="285" spans="1:11" ht="15.75" x14ac:dyDescent="0.25">
      <c r="A285" s="491">
        <v>42057</v>
      </c>
      <c r="B285" s="499" t="s">
        <v>146</v>
      </c>
      <c r="C285" s="535">
        <v>466.28609999999998</v>
      </c>
      <c r="D285" s="535">
        <v>466286.1</v>
      </c>
      <c r="E285" s="494">
        <v>15319</v>
      </c>
      <c r="F285" s="544">
        <v>4116</v>
      </c>
      <c r="G285" s="471"/>
      <c r="I285" s="496"/>
      <c r="J285" s="497"/>
      <c r="K285" s="498"/>
    </row>
    <row r="286" spans="1:11" ht="15.75" x14ac:dyDescent="0.25">
      <c r="A286" s="491">
        <v>42193</v>
      </c>
      <c r="B286" s="499" t="s">
        <v>279</v>
      </c>
      <c r="C286" s="535">
        <v>77.653800000000004</v>
      </c>
      <c r="D286" s="535">
        <v>77653.8</v>
      </c>
      <c r="E286" s="494">
        <v>15319</v>
      </c>
      <c r="F286" s="544">
        <v>4116</v>
      </c>
      <c r="G286" s="471"/>
      <c r="I286" s="496"/>
      <c r="J286" s="497"/>
      <c r="K286" s="498"/>
    </row>
    <row r="287" spans="1:11" ht="15.75" x14ac:dyDescent="0.25">
      <c r="A287" s="491">
        <v>42272</v>
      </c>
      <c r="B287" s="499" t="s">
        <v>516</v>
      </c>
      <c r="C287" s="535">
        <v>931.58199999999999</v>
      </c>
      <c r="D287" s="535">
        <v>931582</v>
      </c>
      <c r="E287" s="494">
        <v>15065</v>
      </c>
      <c r="F287" s="544">
        <v>4116</v>
      </c>
      <c r="G287" s="471"/>
      <c r="I287" s="496"/>
      <c r="J287" s="497"/>
      <c r="K287" s="498"/>
    </row>
    <row r="288" spans="1:11" ht="15.75" x14ac:dyDescent="0.25">
      <c r="A288" s="491">
        <v>42347</v>
      </c>
      <c r="B288" s="499" t="s">
        <v>633</v>
      </c>
      <c r="C288" s="535">
        <v>656.17619000000002</v>
      </c>
      <c r="D288" s="535">
        <v>656176.18999999994</v>
      </c>
      <c r="E288" s="494">
        <v>15319</v>
      </c>
      <c r="F288" s="544">
        <v>4116</v>
      </c>
      <c r="G288" s="471"/>
      <c r="I288" s="496"/>
      <c r="J288" s="497"/>
      <c r="K288" s="498"/>
    </row>
    <row r="289" spans="1:11" ht="15.75" x14ac:dyDescent="0.25">
      <c r="A289" s="491">
        <v>42347</v>
      </c>
      <c r="B289" s="499" t="s">
        <v>634</v>
      </c>
      <c r="C289" s="535">
        <v>281.79867999999999</v>
      </c>
      <c r="D289" s="535">
        <v>281798.68</v>
      </c>
      <c r="E289" s="494">
        <v>15319</v>
      </c>
      <c r="F289" s="544">
        <v>4116</v>
      </c>
      <c r="G289" s="471"/>
      <c r="I289" s="496"/>
      <c r="J289" s="497"/>
      <c r="K289" s="498"/>
    </row>
    <row r="290" spans="1:11" ht="15.75" x14ac:dyDescent="0.25">
      <c r="A290" s="491">
        <v>42347</v>
      </c>
      <c r="B290" s="499" t="s">
        <v>646</v>
      </c>
      <c r="C290" s="535">
        <v>45.917290000000001</v>
      </c>
      <c r="D290" s="535">
        <v>45917.29</v>
      </c>
      <c r="E290" s="494">
        <v>15319</v>
      </c>
      <c r="F290" s="544">
        <v>4116</v>
      </c>
      <c r="G290" s="471"/>
      <c r="I290" s="496"/>
      <c r="J290" s="497"/>
      <c r="K290" s="498"/>
    </row>
    <row r="291" spans="1:11" ht="15.75" x14ac:dyDescent="0.25">
      <c r="A291" s="491">
        <v>42349</v>
      </c>
      <c r="B291" s="499" t="s">
        <v>647</v>
      </c>
      <c r="C291" s="535">
        <v>131.89410000000001</v>
      </c>
      <c r="D291" s="535">
        <v>131894.1</v>
      </c>
      <c r="E291" s="494">
        <v>15319</v>
      </c>
      <c r="F291" s="544">
        <v>4116</v>
      </c>
      <c r="G291" s="471"/>
      <c r="I291" s="496"/>
      <c r="J291" s="497"/>
      <c r="K291" s="498"/>
    </row>
    <row r="292" spans="1:11" ht="15.75" x14ac:dyDescent="0.25">
      <c r="A292" s="491">
        <v>42354</v>
      </c>
      <c r="B292" s="499" t="s">
        <v>648</v>
      </c>
      <c r="C292" s="535">
        <v>55.871099999999998</v>
      </c>
      <c r="D292" s="535">
        <v>55871.1</v>
      </c>
      <c r="E292" s="494">
        <v>15319</v>
      </c>
      <c r="F292" s="544">
        <v>4116</v>
      </c>
      <c r="G292" s="471"/>
      <c r="I292" s="496"/>
      <c r="J292" s="497"/>
      <c r="K292" s="498"/>
    </row>
    <row r="293" spans="1:11" ht="15.75" x14ac:dyDescent="0.25">
      <c r="A293" s="491">
        <v>42354</v>
      </c>
      <c r="B293" s="499" t="s">
        <v>649</v>
      </c>
      <c r="C293" s="535">
        <v>36.701630000000002</v>
      </c>
      <c r="D293" s="535">
        <v>36701.629999999997</v>
      </c>
      <c r="E293" s="494">
        <v>15319</v>
      </c>
      <c r="F293" s="544">
        <v>4116</v>
      </c>
      <c r="G293" s="471"/>
      <c r="I293" s="496"/>
      <c r="J293" s="497"/>
      <c r="K293" s="498"/>
    </row>
    <row r="294" spans="1:11" ht="15.75" x14ac:dyDescent="0.25">
      <c r="A294" s="504">
        <v>42354</v>
      </c>
      <c r="B294" s="499" t="s">
        <v>650</v>
      </c>
      <c r="C294" s="535">
        <v>119.77634</v>
      </c>
      <c r="D294" s="535">
        <v>119776.34</v>
      </c>
      <c r="E294" s="494">
        <v>15319</v>
      </c>
      <c r="F294" s="544">
        <v>4116</v>
      </c>
      <c r="G294" s="471"/>
      <c r="I294" s="496"/>
      <c r="J294" s="497"/>
      <c r="K294" s="498"/>
    </row>
    <row r="295" spans="1:11" ht="15.75" x14ac:dyDescent="0.25">
      <c r="A295" s="504">
        <v>42354</v>
      </c>
      <c r="B295" s="499" t="s">
        <v>651</v>
      </c>
      <c r="C295" s="535">
        <v>2.0578400000000001</v>
      </c>
      <c r="D295" s="535">
        <v>2057.84</v>
      </c>
      <c r="E295" s="494">
        <v>15319</v>
      </c>
      <c r="F295" s="544">
        <v>4116</v>
      </c>
      <c r="G295" s="471"/>
      <c r="I295" s="496"/>
      <c r="J295" s="497"/>
      <c r="K295" s="498"/>
    </row>
    <row r="296" spans="1:11" ht="15.75" x14ac:dyDescent="0.25">
      <c r="A296" s="504">
        <v>42354</v>
      </c>
      <c r="B296" s="499" t="s">
        <v>664</v>
      </c>
      <c r="C296" s="535">
        <v>10.285</v>
      </c>
      <c r="D296" s="535">
        <v>10285</v>
      </c>
      <c r="E296" s="494">
        <v>15319</v>
      </c>
      <c r="F296" s="544">
        <v>4116</v>
      </c>
      <c r="G296" s="471"/>
      <c r="I296" s="496"/>
      <c r="J296" s="497"/>
      <c r="K296" s="498"/>
    </row>
    <row r="297" spans="1:11" ht="15.75" x14ac:dyDescent="0.25">
      <c r="A297" s="491">
        <v>42354</v>
      </c>
      <c r="B297" s="499" t="s">
        <v>652</v>
      </c>
      <c r="C297" s="535">
        <v>37.168799999999997</v>
      </c>
      <c r="D297" s="535">
        <v>37168.800000000003</v>
      </c>
      <c r="E297" s="494">
        <v>15325</v>
      </c>
      <c r="F297" s="544">
        <v>4116</v>
      </c>
      <c r="G297" s="471"/>
      <c r="I297" s="496"/>
      <c r="J297" s="497"/>
      <c r="K297" s="498"/>
    </row>
    <row r="298" spans="1:11" ht="15.75" x14ac:dyDescent="0.25">
      <c r="A298" s="491"/>
      <c r="B298" s="499" t="s">
        <v>498</v>
      </c>
      <c r="C298" s="543">
        <v>3.3335499999999998</v>
      </c>
      <c r="D298" s="543">
        <v>3333.55</v>
      </c>
      <c r="E298" s="494">
        <v>15319</v>
      </c>
      <c r="F298" s="544">
        <v>4116</v>
      </c>
      <c r="G298" s="471"/>
      <c r="I298" s="496"/>
      <c r="J298" s="497">
        <v>3333.55</v>
      </c>
      <c r="K298" s="498"/>
    </row>
    <row r="299" spans="1:11" ht="15.75" x14ac:dyDescent="0.25">
      <c r="A299" s="491"/>
      <c r="B299" s="499" t="s">
        <v>620</v>
      </c>
      <c r="C299" s="543">
        <v>4.36104</v>
      </c>
      <c r="D299" s="543">
        <v>4361.04</v>
      </c>
      <c r="E299" s="494">
        <v>15320</v>
      </c>
      <c r="F299" s="544">
        <v>4116</v>
      </c>
      <c r="G299" s="471"/>
      <c r="I299" s="496"/>
      <c r="J299" s="497">
        <v>4361.04</v>
      </c>
      <c r="K299" s="498"/>
    </row>
    <row r="300" spans="1:11" ht="15.75" x14ac:dyDescent="0.25">
      <c r="A300" s="491"/>
      <c r="B300" s="499" t="s">
        <v>620</v>
      </c>
      <c r="C300" s="543">
        <v>74.137839999999997</v>
      </c>
      <c r="D300" s="543">
        <v>74137.84</v>
      </c>
      <c r="E300" s="494">
        <v>15321</v>
      </c>
      <c r="F300" s="544">
        <v>4116</v>
      </c>
      <c r="G300" s="471"/>
      <c r="I300" s="496"/>
      <c r="J300" s="497">
        <v>74137.84</v>
      </c>
      <c r="K300" s="498"/>
    </row>
    <row r="301" spans="1:11" ht="15.75" x14ac:dyDescent="0.25">
      <c r="A301" s="491"/>
      <c r="B301" s="499" t="s">
        <v>617</v>
      </c>
      <c r="C301" s="543">
        <v>3507.09303</v>
      </c>
      <c r="D301" s="543">
        <v>3507093.03</v>
      </c>
      <c r="E301" s="494">
        <v>15319</v>
      </c>
      <c r="F301" s="544">
        <v>4116</v>
      </c>
      <c r="G301" s="471"/>
      <c r="I301" s="496"/>
      <c r="J301" s="497">
        <v>3507093.03</v>
      </c>
      <c r="K301" s="498"/>
    </row>
    <row r="302" spans="1:11" ht="15.75" x14ac:dyDescent="0.25">
      <c r="A302" s="491"/>
      <c r="B302" s="499" t="s">
        <v>168</v>
      </c>
      <c r="C302" s="543">
        <v>26.2395</v>
      </c>
      <c r="D302" s="543">
        <v>26239.5</v>
      </c>
      <c r="E302" s="494">
        <v>15319</v>
      </c>
      <c r="F302" s="544">
        <v>4116</v>
      </c>
      <c r="G302" s="471"/>
      <c r="I302" s="496"/>
      <c r="J302" s="497">
        <v>26239.5</v>
      </c>
      <c r="K302" s="498"/>
    </row>
    <row r="303" spans="1:11" ht="15.75" x14ac:dyDescent="0.25">
      <c r="A303" s="491"/>
      <c r="B303" s="499" t="s">
        <v>624</v>
      </c>
      <c r="C303" s="543">
        <v>27.007200000000001</v>
      </c>
      <c r="D303" s="543">
        <v>27007.200000000001</v>
      </c>
      <c r="E303" s="494">
        <v>15370</v>
      </c>
      <c r="F303" s="544">
        <v>4116</v>
      </c>
      <c r="G303" s="471"/>
      <c r="I303" s="496"/>
      <c r="J303" s="497">
        <v>27007.200000000001</v>
      </c>
      <c r="K303" s="498"/>
    </row>
    <row r="304" spans="1:11" ht="15.75" x14ac:dyDescent="0.25">
      <c r="A304" s="491"/>
      <c r="B304" s="499" t="s">
        <v>643</v>
      </c>
      <c r="C304" s="543">
        <v>447.52120000000002</v>
      </c>
      <c r="D304" s="543">
        <v>447521.2</v>
      </c>
      <c r="E304" s="494">
        <v>15319</v>
      </c>
      <c r="F304" s="544">
        <v>4116</v>
      </c>
      <c r="G304" s="471"/>
      <c r="I304" s="496"/>
      <c r="J304" s="497">
        <v>447521.2</v>
      </c>
      <c r="K304" s="498"/>
    </row>
    <row r="305" spans="1:11" ht="15.75" x14ac:dyDescent="0.25">
      <c r="A305" s="491"/>
      <c r="B305" s="499" t="s">
        <v>591</v>
      </c>
      <c r="C305" s="543">
        <v>1290.6467</v>
      </c>
      <c r="D305" s="543">
        <v>1290646.7</v>
      </c>
      <c r="E305" s="494">
        <v>15319</v>
      </c>
      <c r="F305" s="501">
        <v>4116</v>
      </c>
      <c r="G305" s="471"/>
      <c r="I305" s="496"/>
      <c r="J305" s="497">
        <v>1290646.7</v>
      </c>
      <c r="K305" s="498"/>
    </row>
    <row r="306" spans="1:11" ht="15.75" x14ac:dyDescent="0.25">
      <c r="A306" s="491"/>
      <c r="B306" s="533"/>
      <c r="C306" s="546"/>
      <c r="D306" s="546"/>
      <c r="E306" s="494"/>
      <c r="F306" s="544"/>
      <c r="G306" s="471"/>
      <c r="I306" s="496"/>
      <c r="J306" s="497"/>
      <c r="K306" s="498"/>
    </row>
    <row r="307" spans="1:11" ht="15.75" x14ac:dyDescent="0.25">
      <c r="A307" s="491"/>
      <c r="B307" s="492" t="s">
        <v>48</v>
      </c>
      <c r="C307" s="493">
        <v>129571.74773000002</v>
      </c>
      <c r="D307" s="493">
        <v>129571747.73</v>
      </c>
      <c r="E307" s="494"/>
      <c r="F307" s="501"/>
      <c r="G307" s="471"/>
      <c r="I307" s="496"/>
      <c r="J307" s="497"/>
      <c r="K307" s="498"/>
    </row>
    <row r="308" spans="1:11" ht="15.75" x14ac:dyDescent="0.25">
      <c r="A308" s="491">
        <v>42046</v>
      </c>
      <c r="B308" s="547" t="s">
        <v>104</v>
      </c>
      <c r="C308" s="529">
        <v>345.49686000000003</v>
      </c>
      <c r="D308" s="546">
        <v>345496.86</v>
      </c>
      <c r="E308" s="494">
        <v>33030</v>
      </c>
      <c r="F308" s="544" t="s">
        <v>49</v>
      </c>
      <c r="G308" s="471"/>
      <c r="I308" s="496"/>
      <c r="J308" s="497"/>
      <c r="K308" s="498"/>
    </row>
    <row r="309" spans="1:11" ht="15.75" x14ac:dyDescent="0.25">
      <c r="A309" s="491">
        <v>42096</v>
      </c>
      <c r="B309" s="547" t="s">
        <v>140</v>
      </c>
      <c r="C309" s="529">
        <v>90.980059999999995</v>
      </c>
      <c r="D309" s="546">
        <v>90980.06</v>
      </c>
      <c r="E309" s="494">
        <v>33030</v>
      </c>
      <c r="F309" s="544" t="s">
        <v>49</v>
      </c>
      <c r="G309" s="471"/>
      <c r="I309" s="496"/>
      <c r="J309" s="497"/>
      <c r="K309" s="498"/>
    </row>
    <row r="310" spans="1:11" ht="15.75" x14ac:dyDescent="0.25">
      <c r="A310" s="491">
        <v>42118</v>
      </c>
      <c r="B310" s="547" t="s">
        <v>334</v>
      </c>
      <c r="C310" s="529">
        <v>60346.559999999998</v>
      </c>
      <c r="D310" s="546">
        <v>60346560</v>
      </c>
      <c r="E310" s="494">
        <v>13305</v>
      </c>
      <c r="F310" s="544">
        <v>4122</v>
      </c>
      <c r="G310" s="503" t="s">
        <v>346</v>
      </c>
      <c r="H310" s="503">
        <v>-8464560</v>
      </c>
      <c r="I310" s="548"/>
      <c r="J310" s="497">
        <v>8464560</v>
      </c>
      <c r="K310" s="498"/>
    </row>
    <row r="311" spans="1:11" ht="15.75" x14ac:dyDescent="0.25">
      <c r="A311" s="491">
        <v>42122</v>
      </c>
      <c r="B311" s="547" t="s">
        <v>150</v>
      </c>
      <c r="C311" s="546">
        <v>341.41081000000003</v>
      </c>
      <c r="D311" s="546">
        <v>341410.81</v>
      </c>
      <c r="E311" s="494">
        <v>33030</v>
      </c>
      <c r="F311" s="544">
        <v>4122</v>
      </c>
      <c r="G311" s="471"/>
      <c r="I311" s="496"/>
      <c r="J311" s="497"/>
      <c r="K311" s="498"/>
    </row>
    <row r="312" spans="1:11" ht="15.75" x14ac:dyDescent="0.25">
      <c r="A312" s="491">
        <v>42138</v>
      </c>
      <c r="B312" s="547" t="s">
        <v>181</v>
      </c>
      <c r="C312" s="546">
        <v>41.08</v>
      </c>
      <c r="D312" s="546">
        <v>41080</v>
      </c>
      <c r="E312" s="494">
        <v>14011</v>
      </c>
      <c r="F312" s="544">
        <v>4122</v>
      </c>
      <c r="G312" s="471"/>
      <c r="I312" s="496"/>
      <c r="J312" s="497"/>
      <c r="K312" s="498"/>
    </row>
    <row r="313" spans="1:11" ht="15.75" x14ac:dyDescent="0.25">
      <c r="A313" s="491">
        <v>42145</v>
      </c>
      <c r="B313" s="547" t="s">
        <v>200</v>
      </c>
      <c r="C313" s="529">
        <v>8.3298000000000005</v>
      </c>
      <c r="D313" s="546">
        <v>8329.7999999999993</v>
      </c>
      <c r="E313" s="494">
        <v>33030</v>
      </c>
      <c r="F313" s="544">
        <v>4122</v>
      </c>
      <c r="G313" s="471"/>
      <c r="I313" s="496"/>
      <c r="J313" s="497"/>
      <c r="K313" s="498"/>
    </row>
    <row r="314" spans="1:11" ht="15.75" x14ac:dyDescent="0.25">
      <c r="A314" s="491">
        <v>42145</v>
      </c>
      <c r="B314" s="547" t="s">
        <v>415</v>
      </c>
      <c r="C314" s="529">
        <v>1476.0851600000001</v>
      </c>
      <c r="D314" s="546">
        <v>1476085.16</v>
      </c>
      <c r="E314" s="494">
        <v>33030</v>
      </c>
      <c r="F314" s="544">
        <v>4122</v>
      </c>
      <c r="G314" s="471"/>
      <c r="I314" s="496"/>
      <c r="J314" s="497"/>
      <c r="K314" s="498"/>
    </row>
    <row r="315" spans="1:11" ht="15.75" x14ac:dyDescent="0.25">
      <c r="A315" s="491">
        <v>42145</v>
      </c>
      <c r="B315" s="547" t="s">
        <v>202</v>
      </c>
      <c r="C315" s="529">
        <v>452.84152</v>
      </c>
      <c r="D315" s="546">
        <v>452841.51999999996</v>
      </c>
      <c r="E315" s="494">
        <v>33030</v>
      </c>
      <c r="F315" s="544">
        <v>4122</v>
      </c>
      <c r="G315" s="471"/>
      <c r="I315" s="496"/>
      <c r="J315" s="497"/>
      <c r="K315" s="498"/>
    </row>
    <row r="316" spans="1:11" ht="15.75" x14ac:dyDescent="0.25">
      <c r="A316" s="491">
        <v>42152</v>
      </c>
      <c r="B316" s="547" t="s">
        <v>181</v>
      </c>
      <c r="C316" s="529">
        <v>29.64</v>
      </c>
      <c r="D316" s="546">
        <v>29640</v>
      </c>
      <c r="E316" s="494">
        <v>14011</v>
      </c>
      <c r="F316" s="544">
        <v>4122</v>
      </c>
      <c r="G316" s="471"/>
      <c r="I316" s="496"/>
      <c r="J316" s="497"/>
      <c r="K316" s="498"/>
    </row>
    <row r="317" spans="1:11" ht="15.75" x14ac:dyDescent="0.25">
      <c r="A317" s="491">
        <v>42160</v>
      </c>
      <c r="B317" s="547" t="s">
        <v>239</v>
      </c>
      <c r="C317" s="529">
        <v>100</v>
      </c>
      <c r="D317" s="546">
        <v>100000</v>
      </c>
      <c r="E317" s="494">
        <v>539</v>
      </c>
      <c r="F317" s="544">
        <v>4122</v>
      </c>
      <c r="G317" s="471"/>
      <c r="I317" s="496"/>
      <c r="J317" s="497"/>
      <c r="K317" s="498"/>
    </row>
    <row r="318" spans="1:11" ht="15.75" x14ac:dyDescent="0.25">
      <c r="A318" s="491">
        <v>42160</v>
      </c>
      <c r="B318" s="547" t="s">
        <v>240</v>
      </c>
      <c r="C318" s="529">
        <v>98</v>
      </c>
      <c r="D318" s="546">
        <v>98000</v>
      </c>
      <c r="E318" s="494">
        <v>539</v>
      </c>
      <c r="F318" s="544">
        <v>4122</v>
      </c>
      <c r="G318" s="471"/>
      <c r="I318" s="496"/>
      <c r="J318" s="497"/>
      <c r="K318" s="498"/>
    </row>
    <row r="319" spans="1:11" ht="15.75" x14ac:dyDescent="0.25">
      <c r="A319" s="491">
        <v>42173</v>
      </c>
      <c r="B319" s="547" t="s">
        <v>236</v>
      </c>
      <c r="C319" s="529">
        <v>100</v>
      </c>
      <c r="D319" s="546">
        <v>100000</v>
      </c>
      <c r="E319" s="494">
        <v>539</v>
      </c>
      <c r="F319" s="544">
        <v>4122</v>
      </c>
      <c r="G319" s="471"/>
      <c r="I319" s="496"/>
      <c r="J319" s="497"/>
      <c r="K319" s="498"/>
    </row>
    <row r="320" spans="1:11" ht="15.75" x14ac:dyDescent="0.25">
      <c r="A320" s="491">
        <v>42178</v>
      </c>
      <c r="B320" s="547" t="s">
        <v>243</v>
      </c>
      <c r="C320" s="529">
        <v>81.797319999999999</v>
      </c>
      <c r="D320" s="546">
        <v>81797.320000000007</v>
      </c>
      <c r="E320" s="494">
        <v>33030</v>
      </c>
      <c r="F320" s="544">
        <v>4122</v>
      </c>
      <c r="G320" s="471"/>
      <c r="I320" s="496"/>
      <c r="J320" s="497"/>
      <c r="K320" s="498"/>
    </row>
    <row r="321" spans="1:11" ht="15.75" x14ac:dyDescent="0.25">
      <c r="A321" s="491">
        <v>42181</v>
      </c>
      <c r="B321" s="547" t="s">
        <v>250</v>
      </c>
      <c r="C321" s="529">
        <v>200</v>
      </c>
      <c r="D321" s="546">
        <v>200000</v>
      </c>
      <c r="E321" s="494">
        <v>539</v>
      </c>
      <c r="F321" s="544">
        <v>4122</v>
      </c>
      <c r="G321" s="471"/>
      <c r="I321" s="496"/>
      <c r="J321" s="497"/>
      <c r="K321" s="498"/>
    </row>
    <row r="322" spans="1:11" ht="15.75" x14ac:dyDescent="0.25">
      <c r="A322" s="491">
        <v>42181</v>
      </c>
      <c r="B322" s="547" t="s">
        <v>252</v>
      </c>
      <c r="C322" s="529">
        <v>701.62408000000005</v>
      </c>
      <c r="D322" s="546">
        <v>701624.08</v>
      </c>
      <c r="E322" s="494">
        <v>33030</v>
      </c>
      <c r="F322" s="544">
        <v>4122</v>
      </c>
      <c r="G322" s="471"/>
      <c r="I322" s="496"/>
      <c r="J322" s="497"/>
      <c r="K322" s="498"/>
    </row>
    <row r="323" spans="1:11" ht="15.75" x14ac:dyDescent="0.25">
      <c r="A323" s="491">
        <v>42181</v>
      </c>
      <c r="B323" s="547" t="s">
        <v>251</v>
      </c>
      <c r="C323" s="529">
        <v>93.395690000000002</v>
      </c>
      <c r="D323" s="546">
        <v>93395.69</v>
      </c>
      <c r="E323" s="494">
        <v>33030</v>
      </c>
      <c r="F323" s="544">
        <v>4122</v>
      </c>
      <c r="G323" s="471"/>
      <c r="I323" s="496"/>
      <c r="J323" s="497"/>
      <c r="K323" s="498"/>
    </row>
    <row r="324" spans="1:11" ht="15.75" x14ac:dyDescent="0.25">
      <c r="A324" s="491">
        <v>42181</v>
      </c>
      <c r="B324" s="547" t="s">
        <v>253</v>
      </c>
      <c r="C324" s="529">
        <v>137.19474</v>
      </c>
      <c r="D324" s="546">
        <v>137194.74</v>
      </c>
      <c r="E324" s="494">
        <v>33030</v>
      </c>
      <c r="F324" s="544">
        <v>4122</v>
      </c>
      <c r="G324" s="471"/>
      <c r="I324" s="496"/>
      <c r="J324" s="497"/>
      <c r="K324" s="498"/>
    </row>
    <row r="325" spans="1:11" ht="15.75" x14ac:dyDescent="0.25">
      <c r="A325" s="491">
        <v>42184</v>
      </c>
      <c r="B325" s="547" t="s">
        <v>254</v>
      </c>
      <c r="C325" s="529">
        <v>276.28805999999997</v>
      </c>
      <c r="D325" s="546">
        <v>276288.06</v>
      </c>
      <c r="E325" s="494">
        <v>33030</v>
      </c>
      <c r="F325" s="544">
        <v>4122</v>
      </c>
      <c r="G325" s="471"/>
      <c r="I325" s="496"/>
      <c r="J325" s="497"/>
      <c r="K325" s="498"/>
    </row>
    <row r="326" spans="1:11" ht="15.75" x14ac:dyDescent="0.25">
      <c r="A326" s="491">
        <v>42184</v>
      </c>
      <c r="B326" s="547" t="s">
        <v>150</v>
      </c>
      <c r="C326" s="529">
        <v>371.08757000000003</v>
      </c>
      <c r="D326" s="546">
        <v>371087.57</v>
      </c>
      <c r="E326" s="494">
        <v>33030</v>
      </c>
      <c r="F326" s="544">
        <v>4122</v>
      </c>
      <c r="G326" s="471"/>
      <c r="I326" s="496"/>
      <c r="J326" s="497"/>
      <c r="K326" s="498"/>
    </row>
    <row r="327" spans="1:11" ht="15.75" x14ac:dyDescent="0.25">
      <c r="A327" s="491">
        <v>42184</v>
      </c>
      <c r="B327" s="547" t="s">
        <v>256</v>
      </c>
      <c r="C327" s="529">
        <v>120</v>
      </c>
      <c r="D327" s="546">
        <v>120000</v>
      </c>
      <c r="E327" s="494">
        <v>311</v>
      </c>
      <c r="F327" s="544">
        <v>4122</v>
      </c>
      <c r="G327" s="471"/>
      <c r="I327" s="496"/>
      <c r="J327" s="497"/>
      <c r="K327" s="498"/>
    </row>
    <row r="328" spans="1:11" ht="15.75" x14ac:dyDescent="0.25">
      <c r="A328" s="491">
        <v>42184</v>
      </c>
      <c r="B328" s="547" t="s">
        <v>255</v>
      </c>
      <c r="C328" s="529">
        <v>60</v>
      </c>
      <c r="D328" s="546">
        <v>60000</v>
      </c>
      <c r="E328" s="494">
        <v>311</v>
      </c>
      <c r="F328" s="544">
        <v>4122</v>
      </c>
      <c r="G328" s="471"/>
      <c r="I328" s="496"/>
      <c r="J328" s="497"/>
      <c r="K328" s="498"/>
    </row>
    <row r="329" spans="1:11" ht="15.75" x14ac:dyDescent="0.25">
      <c r="A329" s="491">
        <v>42187</v>
      </c>
      <c r="B329" s="547" t="s">
        <v>281</v>
      </c>
      <c r="C329" s="529">
        <v>50</v>
      </c>
      <c r="D329" s="546">
        <v>50000</v>
      </c>
      <c r="E329" s="494">
        <v>311</v>
      </c>
      <c r="F329" s="544">
        <v>4122</v>
      </c>
      <c r="G329" s="471"/>
      <c r="I329" s="496"/>
      <c r="J329" s="497"/>
      <c r="K329" s="498"/>
    </row>
    <row r="330" spans="1:11" ht="15.75" x14ac:dyDescent="0.25">
      <c r="A330" s="491">
        <v>42187</v>
      </c>
      <c r="B330" s="547" t="s">
        <v>282</v>
      </c>
      <c r="C330" s="529">
        <v>50</v>
      </c>
      <c r="D330" s="546">
        <v>50000</v>
      </c>
      <c r="E330" s="494">
        <v>311</v>
      </c>
      <c r="F330" s="544">
        <v>4122</v>
      </c>
      <c r="G330" s="471"/>
      <c r="I330" s="496"/>
      <c r="J330" s="497"/>
      <c r="K330" s="498"/>
    </row>
    <row r="331" spans="1:11" ht="15.75" x14ac:dyDescent="0.25">
      <c r="A331" s="491">
        <v>42192</v>
      </c>
      <c r="B331" s="547" t="s">
        <v>285</v>
      </c>
      <c r="C331" s="529">
        <v>100</v>
      </c>
      <c r="D331" s="546">
        <v>100000</v>
      </c>
      <c r="E331" s="494">
        <v>331</v>
      </c>
      <c r="F331" s="544">
        <v>4122</v>
      </c>
      <c r="G331" s="471"/>
      <c r="I331" s="496"/>
      <c r="J331" s="497"/>
      <c r="K331" s="498"/>
    </row>
    <row r="332" spans="1:11" ht="15.75" x14ac:dyDescent="0.25">
      <c r="A332" s="491">
        <v>42192</v>
      </c>
      <c r="B332" s="547" t="s">
        <v>286</v>
      </c>
      <c r="C332" s="529">
        <v>100</v>
      </c>
      <c r="D332" s="546">
        <v>100000</v>
      </c>
      <c r="E332" s="494">
        <v>331</v>
      </c>
      <c r="F332" s="544">
        <v>4122</v>
      </c>
      <c r="G332" s="471"/>
      <c r="I332" s="496"/>
      <c r="J332" s="497"/>
      <c r="K332" s="498"/>
    </row>
    <row r="333" spans="1:11" ht="15.75" x14ac:dyDescent="0.25">
      <c r="A333" s="491">
        <v>42192</v>
      </c>
      <c r="B333" s="547" t="s">
        <v>287</v>
      </c>
      <c r="C333" s="529">
        <v>200</v>
      </c>
      <c r="D333" s="546">
        <v>200000</v>
      </c>
      <c r="E333" s="494">
        <v>331</v>
      </c>
      <c r="F333" s="544">
        <v>4122</v>
      </c>
      <c r="G333" s="471"/>
      <c r="I333" s="496"/>
      <c r="J333" s="497"/>
      <c r="K333" s="498"/>
    </row>
    <row r="334" spans="1:11" ht="15.75" x14ac:dyDescent="0.25">
      <c r="A334" s="491">
        <v>42192</v>
      </c>
      <c r="B334" s="547" t="s">
        <v>288</v>
      </c>
      <c r="C334" s="529">
        <v>600</v>
      </c>
      <c r="D334" s="546">
        <v>600000</v>
      </c>
      <c r="E334" s="494">
        <v>331</v>
      </c>
      <c r="F334" s="544">
        <v>4122</v>
      </c>
      <c r="G334" s="471"/>
      <c r="I334" s="496"/>
      <c r="J334" s="497"/>
      <c r="K334" s="498"/>
    </row>
    <row r="335" spans="1:11" ht="15.75" x14ac:dyDescent="0.25">
      <c r="A335" s="491">
        <v>42192</v>
      </c>
      <c r="B335" s="547" t="s">
        <v>414</v>
      </c>
      <c r="C335" s="529">
        <v>400</v>
      </c>
      <c r="D335" s="546">
        <v>400000</v>
      </c>
      <c r="E335" s="494">
        <v>331</v>
      </c>
      <c r="F335" s="544">
        <v>4122</v>
      </c>
      <c r="G335" s="471"/>
      <c r="I335" s="496"/>
      <c r="J335" s="497"/>
      <c r="K335" s="498"/>
    </row>
    <row r="336" spans="1:11" ht="15.75" x14ac:dyDescent="0.25">
      <c r="A336" s="491">
        <v>42192</v>
      </c>
      <c r="B336" s="547" t="s">
        <v>290</v>
      </c>
      <c r="C336" s="529">
        <v>600</v>
      </c>
      <c r="D336" s="546">
        <v>600000</v>
      </c>
      <c r="E336" s="494">
        <v>331</v>
      </c>
      <c r="F336" s="544">
        <v>4122</v>
      </c>
      <c r="G336" s="471"/>
      <c r="I336" s="496"/>
      <c r="J336" s="497"/>
      <c r="K336" s="498"/>
    </row>
    <row r="337" spans="1:11" ht="15.75" x14ac:dyDescent="0.25">
      <c r="A337" s="491">
        <v>42192</v>
      </c>
      <c r="B337" s="547" t="s">
        <v>291</v>
      </c>
      <c r="C337" s="529">
        <v>600</v>
      </c>
      <c r="D337" s="546">
        <v>600000</v>
      </c>
      <c r="E337" s="494">
        <v>331</v>
      </c>
      <c r="F337" s="544">
        <v>4122</v>
      </c>
      <c r="G337" s="471"/>
      <c r="I337" s="496"/>
      <c r="J337" s="497"/>
      <c r="K337" s="498"/>
    </row>
    <row r="338" spans="1:11" ht="15.75" x14ac:dyDescent="0.25">
      <c r="A338" s="491">
        <v>42192</v>
      </c>
      <c r="B338" s="547" t="s">
        <v>292</v>
      </c>
      <c r="C338" s="529">
        <v>600</v>
      </c>
      <c r="D338" s="546">
        <v>600000</v>
      </c>
      <c r="E338" s="494">
        <v>331</v>
      </c>
      <c r="F338" s="544">
        <v>4122</v>
      </c>
      <c r="G338" s="471"/>
      <c r="I338" s="496"/>
      <c r="J338" s="497"/>
      <c r="K338" s="498"/>
    </row>
    <row r="339" spans="1:11" ht="15.75" x14ac:dyDescent="0.25">
      <c r="A339" s="491">
        <v>42192</v>
      </c>
      <c r="B339" s="547" t="s">
        <v>293</v>
      </c>
      <c r="C339" s="529">
        <v>600</v>
      </c>
      <c r="D339" s="546">
        <v>600000</v>
      </c>
      <c r="E339" s="494">
        <v>331</v>
      </c>
      <c r="F339" s="544">
        <v>4122</v>
      </c>
      <c r="G339" s="471"/>
      <c r="I339" s="496"/>
      <c r="J339" s="497"/>
      <c r="K339" s="498"/>
    </row>
    <row r="340" spans="1:11" ht="15.75" x14ac:dyDescent="0.25">
      <c r="A340" s="491">
        <v>42213</v>
      </c>
      <c r="B340" s="547" t="s">
        <v>333</v>
      </c>
      <c r="C340" s="529">
        <v>40231.040000000001</v>
      </c>
      <c r="D340" s="546">
        <v>40231040</v>
      </c>
      <c r="E340" s="494">
        <v>13305</v>
      </c>
      <c r="F340" s="544">
        <v>4122</v>
      </c>
      <c r="G340" s="503" t="s">
        <v>346</v>
      </c>
      <c r="H340" s="503">
        <v>-5643040</v>
      </c>
      <c r="I340" s="548"/>
      <c r="J340" s="497">
        <v>5643040</v>
      </c>
      <c r="K340" s="498"/>
    </row>
    <row r="341" spans="1:11" ht="15.75" x14ac:dyDescent="0.25">
      <c r="A341" s="491">
        <v>42254</v>
      </c>
      <c r="B341" s="547" t="s">
        <v>432</v>
      </c>
      <c r="C341" s="546">
        <v>15</v>
      </c>
      <c r="D341" s="546">
        <v>15000</v>
      </c>
      <c r="E341" s="494">
        <v>359</v>
      </c>
      <c r="F341" s="544">
        <v>4122</v>
      </c>
      <c r="G341" s="471"/>
      <c r="I341" s="496"/>
      <c r="J341" s="497"/>
      <c r="K341" s="498"/>
    </row>
    <row r="342" spans="1:11" ht="15.75" x14ac:dyDescent="0.25">
      <c r="A342" s="491">
        <v>42256</v>
      </c>
      <c r="B342" s="547" t="s">
        <v>420</v>
      </c>
      <c r="C342" s="529">
        <v>60</v>
      </c>
      <c r="D342" s="546">
        <v>60000</v>
      </c>
      <c r="E342" s="494">
        <v>214</v>
      </c>
      <c r="F342" s="544">
        <v>4122</v>
      </c>
      <c r="G342" s="471"/>
      <c r="I342" s="496"/>
      <c r="J342" s="497"/>
      <c r="K342" s="498"/>
    </row>
    <row r="343" spans="1:11" ht="15.75" x14ac:dyDescent="0.25">
      <c r="A343" s="491">
        <v>42291</v>
      </c>
      <c r="B343" s="547" t="s">
        <v>532</v>
      </c>
      <c r="C343" s="529">
        <v>37</v>
      </c>
      <c r="D343" s="546">
        <v>37000</v>
      </c>
      <c r="E343" s="494">
        <v>331</v>
      </c>
      <c r="F343" s="544">
        <v>4122</v>
      </c>
      <c r="G343" s="471"/>
      <c r="I343" s="496"/>
      <c r="J343" s="497"/>
      <c r="K343" s="498"/>
    </row>
    <row r="344" spans="1:11" ht="15.75" x14ac:dyDescent="0.25">
      <c r="A344" s="491">
        <v>42291</v>
      </c>
      <c r="B344" s="547" t="s">
        <v>533</v>
      </c>
      <c r="C344" s="529">
        <v>61</v>
      </c>
      <c r="D344" s="546">
        <v>61000</v>
      </c>
      <c r="E344" s="494">
        <v>331</v>
      </c>
      <c r="F344" s="544">
        <v>4122</v>
      </c>
      <c r="G344" s="471"/>
      <c r="I344" s="496"/>
      <c r="J344" s="497"/>
      <c r="K344" s="498"/>
    </row>
    <row r="345" spans="1:11" ht="15.75" x14ac:dyDescent="0.25">
      <c r="A345" s="491">
        <v>42291</v>
      </c>
      <c r="B345" s="547" t="s">
        <v>534</v>
      </c>
      <c r="C345" s="529">
        <v>40</v>
      </c>
      <c r="D345" s="546">
        <v>40000</v>
      </c>
      <c r="E345" s="494">
        <v>331</v>
      </c>
      <c r="F345" s="544">
        <v>4122</v>
      </c>
      <c r="G345" s="471"/>
      <c r="I345" s="496"/>
      <c r="J345" s="497"/>
      <c r="K345" s="498"/>
    </row>
    <row r="346" spans="1:11" ht="15.75" x14ac:dyDescent="0.25">
      <c r="A346" s="491">
        <v>42291</v>
      </c>
      <c r="B346" s="547" t="s">
        <v>535</v>
      </c>
      <c r="C346" s="529">
        <v>30</v>
      </c>
      <c r="D346" s="546">
        <v>30000</v>
      </c>
      <c r="E346" s="494">
        <v>331</v>
      </c>
      <c r="F346" s="544">
        <v>4122</v>
      </c>
      <c r="G346" s="471"/>
      <c r="I346" s="496"/>
      <c r="J346" s="497"/>
      <c r="K346" s="498"/>
    </row>
    <row r="347" spans="1:11" ht="15.75" x14ac:dyDescent="0.25">
      <c r="A347" s="491">
        <v>42318</v>
      </c>
      <c r="B347" s="547" t="s">
        <v>599</v>
      </c>
      <c r="C347" s="529">
        <v>75</v>
      </c>
      <c r="D347" s="546">
        <v>75000</v>
      </c>
      <c r="E347" s="494">
        <v>331</v>
      </c>
      <c r="F347" s="544">
        <v>4122</v>
      </c>
      <c r="G347" s="471"/>
      <c r="I347" s="496"/>
      <c r="J347" s="497"/>
      <c r="K347" s="498"/>
    </row>
    <row r="348" spans="1:11" ht="15.75" x14ac:dyDescent="0.25">
      <c r="A348" s="491">
        <v>42331</v>
      </c>
      <c r="B348" s="547" t="s">
        <v>333</v>
      </c>
      <c r="C348" s="529">
        <v>13682.5</v>
      </c>
      <c r="D348" s="546">
        <v>13682500</v>
      </c>
      <c r="E348" s="494">
        <v>13305</v>
      </c>
      <c r="F348" s="544">
        <v>4122</v>
      </c>
      <c r="G348" s="503" t="s">
        <v>346</v>
      </c>
      <c r="H348" s="503">
        <v>-1919700</v>
      </c>
      <c r="I348" s="496"/>
      <c r="J348" s="497">
        <v>1919700</v>
      </c>
      <c r="K348" s="498"/>
    </row>
    <row r="349" spans="1:11" ht="15.75" x14ac:dyDescent="0.25">
      <c r="A349" s="491">
        <v>42360</v>
      </c>
      <c r="B349" s="547" t="s">
        <v>663</v>
      </c>
      <c r="C349" s="529">
        <v>242</v>
      </c>
      <c r="D349" s="546">
        <v>242000</v>
      </c>
      <c r="E349" s="494">
        <v>331</v>
      </c>
      <c r="F349" s="544">
        <v>4122</v>
      </c>
      <c r="G349" s="503"/>
      <c r="H349" s="503"/>
      <c r="I349" s="496"/>
      <c r="J349" s="497"/>
      <c r="K349" s="498"/>
    </row>
    <row r="350" spans="1:11" ht="15.75" x14ac:dyDescent="0.25">
      <c r="A350" s="491">
        <v>42360</v>
      </c>
      <c r="B350" s="547" t="s">
        <v>661</v>
      </c>
      <c r="C350" s="529">
        <v>100</v>
      </c>
      <c r="D350" s="546">
        <v>100000</v>
      </c>
      <c r="E350" s="494">
        <v>331</v>
      </c>
      <c r="F350" s="544">
        <v>4122</v>
      </c>
      <c r="G350" s="503"/>
      <c r="H350" s="503"/>
      <c r="I350" s="496"/>
      <c r="J350" s="497"/>
      <c r="K350" s="498"/>
    </row>
    <row r="351" spans="1:11" ht="15.75" x14ac:dyDescent="0.25">
      <c r="A351" s="491">
        <v>42366</v>
      </c>
      <c r="B351" s="547" t="s">
        <v>662</v>
      </c>
      <c r="C351" s="529">
        <v>1000</v>
      </c>
      <c r="D351" s="546">
        <v>1000000</v>
      </c>
      <c r="E351" s="494">
        <v>331</v>
      </c>
      <c r="F351" s="544">
        <v>4122</v>
      </c>
      <c r="G351" s="503"/>
      <c r="H351" s="503"/>
      <c r="I351" s="496"/>
      <c r="J351" s="497"/>
      <c r="K351" s="498"/>
    </row>
    <row r="352" spans="1:11" ht="15.75" x14ac:dyDescent="0.25">
      <c r="A352" s="491">
        <v>42356</v>
      </c>
      <c r="B352" s="547" t="s">
        <v>202</v>
      </c>
      <c r="C352" s="529">
        <v>203.43917000000002</v>
      </c>
      <c r="D352" s="546">
        <v>203439.17</v>
      </c>
      <c r="E352" s="494">
        <v>33030</v>
      </c>
      <c r="F352" s="544">
        <v>4122</v>
      </c>
      <c r="G352" s="503"/>
      <c r="H352" s="503"/>
      <c r="I352" s="496"/>
      <c r="J352" s="497"/>
      <c r="K352" s="498"/>
    </row>
    <row r="353" spans="1:11" ht="15.75" x14ac:dyDescent="0.25">
      <c r="A353" s="491">
        <v>42360</v>
      </c>
      <c r="B353" s="547" t="s">
        <v>654</v>
      </c>
      <c r="C353" s="529">
        <v>-55.033000000000001</v>
      </c>
      <c r="D353" s="546">
        <v>-55033</v>
      </c>
      <c r="E353" s="494">
        <v>539</v>
      </c>
      <c r="F353" s="544">
        <v>4122</v>
      </c>
      <c r="G353" s="503"/>
      <c r="H353" s="503"/>
      <c r="I353" s="496"/>
      <c r="J353" s="497"/>
      <c r="K353" s="498"/>
    </row>
    <row r="354" spans="1:11" ht="15.75" x14ac:dyDescent="0.25">
      <c r="A354" s="491"/>
      <c r="B354" s="547" t="s">
        <v>309</v>
      </c>
      <c r="C354" s="539">
        <v>50</v>
      </c>
      <c r="D354" s="549">
        <v>50000</v>
      </c>
      <c r="E354" s="494">
        <v>551</v>
      </c>
      <c r="F354" s="544">
        <v>4122</v>
      </c>
      <c r="G354" s="471"/>
      <c r="H354" s="503"/>
      <c r="I354" s="496"/>
      <c r="J354" s="497">
        <v>50000</v>
      </c>
      <c r="K354" s="550"/>
    </row>
    <row r="355" spans="1:11" ht="15.75" x14ac:dyDescent="0.25">
      <c r="A355" s="491"/>
      <c r="B355" s="547" t="s">
        <v>640</v>
      </c>
      <c r="C355" s="539">
        <v>23.713999999999999</v>
      </c>
      <c r="D355" s="549">
        <v>23714</v>
      </c>
      <c r="E355" s="494">
        <v>14004</v>
      </c>
      <c r="F355" s="544">
        <v>4122</v>
      </c>
      <c r="G355" s="471"/>
      <c r="H355" s="503"/>
      <c r="I355" s="496"/>
      <c r="J355" s="497">
        <v>23714</v>
      </c>
      <c r="K355" s="550"/>
    </row>
    <row r="356" spans="1:11" ht="15.75" x14ac:dyDescent="0.25">
      <c r="A356" s="491"/>
      <c r="B356" s="547" t="s">
        <v>644</v>
      </c>
      <c r="C356" s="539">
        <v>300</v>
      </c>
      <c r="D356" s="549">
        <v>300000</v>
      </c>
      <c r="E356" s="494">
        <v>374</v>
      </c>
      <c r="F356" s="544">
        <v>4122</v>
      </c>
      <c r="G356" s="503" t="s">
        <v>64</v>
      </c>
      <c r="H356" s="503"/>
      <c r="I356" s="496">
        <v>300000</v>
      </c>
      <c r="J356" s="497"/>
      <c r="K356" s="550"/>
    </row>
    <row r="357" spans="1:11" ht="15.75" x14ac:dyDescent="0.25">
      <c r="A357" s="491"/>
      <c r="B357" s="547" t="s">
        <v>311</v>
      </c>
      <c r="C357" s="539">
        <v>130</v>
      </c>
      <c r="D357" s="549">
        <v>130000</v>
      </c>
      <c r="E357" s="494">
        <v>551</v>
      </c>
      <c r="F357" s="544">
        <v>4122</v>
      </c>
      <c r="G357" s="503"/>
      <c r="H357" s="503"/>
      <c r="I357" s="496"/>
      <c r="J357" s="497">
        <v>130000</v>
      </c>
      <c r="K357" s="550"/>
    </row>
    <row r="358" spans="1:11" ht="15.75" x14ac:dyDescent="0.25">
      <c r="A358" s="491"/>
      <c r="B358" s="547" t="s">
        <v>625</v>
      </c>
      <c r="C358" s="539">
        <v>7.0039999999999996</v>
      </c>
      <c r="D358" s="549">
        <v>7004</v>
      </c>
      <c r="E358" s="494">
        <v>14004</v>
      </c>
      <c r="F358" s="544">
        <v>4122</v>
      </c>
      <c r="G358" s="503"/>
      <c r="H358" s="503"/>
      <c r="I358" s="496"/>
      <c r="J358" s="497">
        <v>7004</v>
      </c>
      <c r="K358" s="550"/>
    </row>
    <row r="359" spans="1:11" ht="15.75" x14ac:dyDescent="0.25">
      <c r="A359" s="491"/>
      <c r="B359" s="547" t="s">
        <v>641</v>
      </c>
      <c r="C359" s="539">
        <v>14.084</v>
      </c>
      <c r="D359" s="549">
        <v>14084</v>
      </c>
      <c r="E359" s="494">
        <v>14004</v>
      </c>
      <c r="F359" s="544">
        <v>4122</v>
      </c>
      <c r="G359" s="503"/>
      <c r="H359" s="503"/>
      <c r="I359" s="496"/>
      <c r="J359" s="497">
        <v>14084</v>
      </c>
      <c r="K359" s="550"/>
    </row>
    <row r="360" spans="1:11" ht="15.75" x14ac:dyDescent="0.25">
      <c r="A360" s="491"/>
      <c r="B360" s="547" t="s">
        <v>589</v>
      </c>
      <c r="C360" s="539">
        <v>50</v>
      </c>
      <c r="D360" s="551">
        <v>50000</v>
      </c>
      <c r="E360" s="494">
        <v>331</v>
      </c>
      <c r="F360" s="544">
        <v>4122</v>
      </c>
      <c r="G360" s="503"/>
      <c r="H360" s="470"/>
      <c r="I360" s="496"/>
      <c r="J360" s="497">
        <v>50000</v>
      </c>
      <c r="K360" s="498"/>
    </row>
    <row r="361" spans="1:11" ht="15.75" x14ac:dyDescent="0.25">
      <c r="A361" s="491"/>
      <c r="B361" s="547" t="s">
        <v>249</v>
      </c>
      <c r="C361" s="539">
        <v>60</v>
      </c>
      <c r="D361" s="549">
        <v>60000</v>
      </c>
      <c r="E361" s="494">
        <v>539</v>
      </c>
      <c r="F361" s="544">
        <v>4122</v>
      </c>
      <c r="G361" s="471"/>
      <c r="I361" s="496"/>
      <c r="J361" s="497">
        <v>60000</v>
      </c>
      <c r="K361" s="498"/>
    </row>
    <row r="362" spans="1:11" ht="15.75" x14ac:dyDescent="0.25">
      <c r="A362" s="491"/>
      <c r="B362" s="547" t="s">
        <v>421</v>
      </c>
      <c r="C362" s="539">
        <v>70</v>
      </c>
      <c r="D362" s="549">
        <v>70000</v>
      </c>
      <c r="E362" s="501">
        <v>551</v>
      </c>
      <c r="F362" s="544">
        <v>4122</v>
      </c>
      <c r="G362" s="503"/>
      <c r="H362" s="503"/>
      <c r="I362" s="496"/>
      <c r="J362" s="497">
        <v>70000</v>
      </c>
      <c r="K362" s="498"/>
    </row>
    <row r="363" spans="1:11" ht="15.75" x14ac:dyDescent="0.25">
      <c r="A363" s="491"/>
      <c r="B363" s="547" t="s">
        <v>69</v>
      </c>
      <c r="C363" s="539">
        <v>899.85389000000009</v>
      </c>
      <c r="D363" s="549">
        <v>899853.89</v>
      </c>
      <c r="E363" s="501">
        <v>33030</v>
      </c>
      <c r="F363" s="544">
        <v>4122</v>
      </c>
      <c r="G363" s="471"/>
      <c r="I363" s="496"/>
      <c r="J363" s="497">
        <v>899853.89</v>
      </c>
      <c r="K363" s="498"/>
    </row>
    <row r="364" spans="1:11" ht="15.75" x14ac:dyDescent="0.25">
      <c r="A364" s="491"/>
      <c r="B364" s="547" t="s">
        <v>259</v>
      </c>
      <c r="C364" s="539">
        <v>35</v>
      </c>
      <c r="D364" s="549">
        <v>35000</v>
      </c>
      <c r="E364" s="501">
        <v>539</v>
      </c>
      <c r="F364" s="544">
        <v>4122</v>
      </c>
      <c r="G364" s="471"/>
      <c r="I364" s="496"/>
      <c r="J364" s="497">
        <v>35000</v>
      </c>
      <c r="K364" s="498"/>
    </row>
    <row r="365" spans="1:11" ht="15.75" x14ac:dyDescent="0.25">
      <c r="A365" s="491"/>
      <c r="B365" s="547" t="s">
        <v>139</v>
      </c>
      <c r="C365" s="539">
        <v>1253.8</v>
      </c>
      <c r="D365" s="549">
        <v>1253800</v>
      </c>
      <c r="E365" s="501">
        <v>13305</v>
      </c>
      <c r="F365" s="544">
        <v>4122</v>
      </c>
      <c r="G365" s="471"/>
      <c r="I365" s="496"/>
      <c r="J365" s="497">
        <v>1253800</v>
      </c>
      <c r="K365" s="498"/>
    </row>
    <row r="366" spans="1:11" ht="15.75" x14ac:dyDescent="0.25">
      <c r="A366" s="491"/>
      <c r="B366" s="547" t="s">
        <v>151</v>
      </c>
      <c r="C366" s="539">
        <v>964</v>
      </c>
      <c r="D366" s="549">
        <v>964000</v>
      </c>
      <c r="E366" s="501">
        <v>13305</v>
      </c>
      <c r="F366" s="544">
        <v>4122</v>
      </c>
      <c r="G366" s="471"/>
      <c r="I366" s="496"/>
      <c r="J366" s="497">
        <v>964000</v>
      </c>
      <c r="K366" s="498"/>
    </row>
    <row r="367" spans="1:11" ht="15.75" x14ac:dyDescent="0.25">
      <c r="A367" s="491"/>
      <c r="B367" s="547" t="s">
        <v>332</v>
      </c>
      <c r="C367" s="539">
        <v>80</v>
      </c>
      <c r="D367" s="549">
        <v>80000</v>
      </c>
      <c r="E367" s="501">
        <v>551</v>
      </c>
      <c r="F367" s="544">
        <v>4122</v>
      </c>
      <c r="G367" s="503"/>
      <c r="H367" s="503"/>
      <c r="I367" s="496"/>
      <c r="J367" s="497">
        <v>80000</v>
      </c>
      <c r="K367" s="498"/>
    </row>
    <row r="368" spans="1:11" ht="15.75" x14ac:dyDescent="0.25">
      <c r="A368" s="491"/>
      <c r="B368" s="547" t="s">
        <v>626</v>
      </c>
      <c r="C368" s="539">
        <v>27.533999999999999</v>
      </c>
      <c r="D368" s="549">
        <v>27534</v>
      </c>
      <c r="E368" s="501">
        <v>14004</v>
      </c>
      <c r="F368" s="544">
        <v>4122</v>
      </c>
      <c r="G368" s="503"/>
      <c r="H368" s="503"/>
      <c r="I368" s="496"/>
      <c r="J368" s="497">
        <v>27534</v>
      </c>
      <c r="K368" s="498"/>
    </row>
    <row r="369" spans="1:11" ht="15.75" x14ac:dyDescent="0.25">
      <c r="A369" s="491"/>
      <c r="B369" s="547" t="s">
        <v>600</v>
      </c>
      <c r="C369" s="539">
        <v>60</v>
      </c>
      <c r="D369" s="549">
        <v>60000</v>
      </c>
      <c r="E369" s="501">
        <v>331</v>
      </c>
      <c r="F369" s="544">
        <v>4122</v>
      </c>
      <c r="G369" s="503"/>
      <c r="H369" s="503"/>
      <c r="I369" s="496"/>
      <c r="J369" s="497">
        <v>60000</v>
      </c>
      <c r="K369" s="498"/>
    </row>
    <row r="370" spans="1:11" ht="15.75" x14ac:dyDescent="0.25">
      <c r="A370" s="491"/>
      <c r="B370" s="547" t="s">
        <v>304</v>
      </c>
      <c r="C370" s="539">
        <v>55</v>
      </c>
      <c r="D370" s="549">
        <v>55000</v>
      </c>
      <c r="E370" s="501">
        <v>551</v>
      </c>
      <c r="F370" s="544">
        <v>4122</v>
      </c>
      <c r="G370" s="503"/>
      <c r="H370" s="503"/>
      <c r="I370" s="496"/>
      <c r="J370" s="497">
        <v>55000</v>
      </c>
      <c r="K370" s="498"/>
    </row>
    <row r="371" spans="1:11" ht="15.75" x14ac:dyDescent="0.25">
      <c r="A371" s="491"/>
      <c r="B371" s="547" t="s">
        <v>619</v>
      </c>
      <c r="C371" s="539">
        <v>50</v>
      </c>
      <c r="D371" s="549">
        <v>50000</v>
      </c>
      <c r="E371" s="501">
        <v>331</v>
      </c>
      <c r="F371" s="544">
        <v>4122</v>
      </c>
      <c r="G371" s="503" t="s">
        <v>64</v>
      </c>
      <c r="H371" s="503"/>
      <c r="I371" s="496">
        <v>50000</v>
      </c>
      <c r="J371" s="497"/>
      <c r="K371" s="498"/>
    </row>
    <row r="372" spans="1:11" ht="15.75" x14ac:dyDescent="0.25">
      <c r="A372" s="491"/>
      <c r="B372" s="547" t="s">
        <v>426</v>
      </c>
      <c r="C372" s="539">
        <v>70</v>
      </c>
      <c r="D372" s="549">
        <v>70000</v>
      </c>
      <c r="E372" s="501">
        <v>101</v>
      </c>
      <c r="F372" s="544">
        <v>4122</v>
      </c>
      <c r="G372" s="503"/>
      <c r="H372" s="503"/>
      <c r="I372" s="496"/>
      <c r="J372" s="497">
        <v>70000</v>
      </c>
      <c r="K372" s="498"/>
    </row>
    <row r="373" spans="1:11" ht="15.75" x14ac:dyDescent="0.25">
      <c r="A373" s="491"/>
      <c r="B373" s="547" t="s">
        <v>627</v>
      </c>
      <c r="C373" s="539">
        <v>25</v>
      </c>
      <c r="D373" s="549">
        <v>25000</v>
      </c>
      <c r="E373" s="501">
        <v>331</v>
      </c>
      <c r="F373" s="544">
        <v>4122</v>
      </c>
      <c r="G373" s="503"/>
      <c r="H373" s="503"/>
      <c r="I373" s="496"/>
      <c r="J373" s="497">
        <v>25000</v>
      </c>
      <c r="K373" s="498"/>
    </row>
    <row r="374" spans="1:11" ht="15.75" x14ac:dyDescent="0.25">
      <c r="A374" s="491"/>
      <c r="B374" s="547" t="s">
        <v>628</v>
      </c>
      <c r="C374" s="539">
        <v>50</v>
      </c>
      <c r="D374" s="549">
        <v>50000</v>
      </c>
      <c r="E374" s="501">
        <v>331</v>
      </c>
      <c r="F374" s="544">
        <v>4122</v>
      </c>
      <c r="G374" s="503"/>
      <c r="H374" s="503"/>
      <c r="I374" s="496"/>
      <c r="J374" s="497">
        <v>50000</v>
      </c>
      <c r="K374" s="498"/>
    </row>
    <row r="375" spans="1:11" ht="15.75" x14ac:dyDescent="0.25">
      <c r="A375" s="491"/>
      <c r="B375" s="547" t="s">
        <v>561</v>
      </c>
      <c r="C375" s="539">
        <v>50</v>
      </c>
      <c r="D375" s="549">
        <v>50000</v>
      </c>
      <c r="E375" s="501">
        <v>439</v>
      </c>
      <c r="F375" s="544">
        <v>4122</v>
      </c>
      <c r="G375" s="503" t="s">
        <v>64</v>
      </c>
      <c r="H375" s="503"/>
      <c r="I375" s="496">
        <v>50000</v>
      </c>
      <c r="J375" s="497"/>
      <c r="K375" s="498"/>
    </row>
    <row r="376" spans="1:11" ht="15.75" x14ac:dyDescent="0.25">
      <c r="A376" s="491"/>
      <c r="B376" s="547" t="s">
        <v>331</v>
      </c>
      <c r="C376" s="539">
        <v>90</v>
      </c>
      <c r="D376" s="549">
        <v>90000</v>
      </c>
      <c r="E376" s="501">
        <v>551</v>
      </c>
      <c r="F376" s="544">
        <v>4122</v>
      </c>
      <c r="G376" s="503"/>
      <c r="H376" s="503"/>
      <c r="I376" s="496"/>
      <c r="J376" s="497">
        <v>90000</v>
      </c>
      <c r="K376" s="498"/>
    </row>
    <row r="377" spans="1:11" ht="15.75" x14ac:dyDescent="0.25">
      <c r="A377" s="491"/>
      <c r="B377" s="547" t="s">
        <v>629</v>
      </c>
      <c r="C377" s="539">
        <v>8</v>
      </c>
      <c r="D377" s="549">
        <v>8000</v>
      </c>
      <c r="E377" s="501">
        <v>14004</v>
      </c>
      <c r="F377" s="544">
        <v>4122</v>
      </c>
      <c r="G377" s="503"/>
      <c r="H377" s="503"/>
      <c r="I377" s="496"/>
      <c r="J377" s="497">
        <v>8000</v>
      </c>
      <c r="K377" s="498"/>
    </row>
    <row r="378" spans="1:11" ht="15.75" x14ac:dyDescent="0.25">
      <c r="A378" s="491"/>
      <c r="B378" s="547" t="s">
        <v>310</v>
      </c>
      <c r="C378" s="539">
        <v>55</v>
      </c>
      <c r="D378" s="549">
        <v>55000</v>
      </c>
      <c r="E378" s="501">
        <v>551</v>
      </c>
      <c r="F378" s="544">
        <v>4122</v>
      </c>
      <c r="G378" s="503"/>
      <c r="H378" s="503"/>
      <c r="I378" s="496"/>
      <c r="J378" s="497">
        <v>55000</v>
      </c>
      <c r="K378" s="498"/>
    </row>
    <row r="379" spans="1:11" ht="15.75" x14ac:dyDescent="0.25">
      <c r="A379" s="491"/>
      <c r="B379" s="533"/>
      <c r="C379" s="546"/>
      <c r="D379" s="546"/>
      <c r="E379" s="494"/>
      <c r="F379" s="495"/>
      <c r="G379" s="471"/>
      <c r="I379" s="496"/>
      <c r="J379" s="497"/>
      <c r="K379" s="498"/>
    </row>
    <row r="380" spans="1:11" ht="15.75" x14ac:dyDescent="0.25">
      <c r="A380" s="491"/>
      <c r="B380" s="538" t="s">
        <v>50</v>
      </c>
      <c r="C380" s="493">
        <v>3370.2083499999999</v>
      </c>
      <c r="D380" s="493">
        <v>3370208.3499999996</v>
      </c>
      <c r="E380" s="494"/>
      <c r="F380" s="495"/>
      <c r="G380" s="471"/>
      <c r="I380" s="496"/>
      <c r="J380" s="497"/>
      <c r="K380" s="498"/>
    </row>
    <row r="381" spans="1:11" ht="15.75" x14ac:dyDescent="0.25">
      <c r="A381" s="504">
        <v>42101</v>
      </c>
      <c r="B381" s="533" t="s">
        <v>138</v>
      </c>
      <c r="C381" s="529">
        <v>131.06369000000001</v>
      </c>
      <c r="D381" s="546">
        <v>131063.69</v>
      </c>
      <c r="E381" s="501">
        <v>86005</v>
      </c>
      <c r="F381" s="544">
        <v>4123</v>
      </c>
      <c r="G381" s="471"/>
      <c r="I381" s="496"/>
      <c r="J381" s="497"/>
      <c r="K381" s="498"/>
    </row>
    <row r="382" spans="1:11" ht="15.75" x14ac:dyDescent="0.25">
      <c r="A382" s="526">
        <v>42131</v>
      </c>
      <c r="B382" s="533" t="s">
        <v>417</v>
      </c>
      <c r="C382" s="529">
        <v>853.73328000000004</v>
      </c>
      <c r="D382" s="546">
        <v>853733.28</v>
      </c>
      <c r="E382" s="552">
        <v>86005</v>
      </c>
      <c r="F382" s="544">
        <v>4123</v>
      </c>
      <c r="G382" s="471"/>
      <c r="I382" s="496"/>
      <c r="J382" s="497"/>
      <c r="K382" s="498"/>
    </row>
    <row r="383" spans="1:11" ht="15.75" x14ac:dyDescent="0.25">
      <c r="A383" s="526">
        <v>42178</v>
      </c>
      <c r="B383" s="533" t="s">
        <v>245</v>
      </c>
      <c r="C383" s="529">
        <v>823.85523999999998</v>
      </c>
      <c r="D383" s="546">
        <v>823855.24</v>
      </c>
      <c r="E383" s="552">
        <v>86005</v>
      </c>
      <c r="F383" s="544">
        <v>4123</v>
      </c>
      <c r="G383" s="471"/>
      <c r="I383" s="496"/>
      <c r="J383" s="497"/>
      <c r="K383" s="498"/>
    </row>
    <row r="384" spans="1:11" ht="15.75" x14ac:dyDescent="0.25">
      <c r="A384" s="491">
        <v>42324</v>
      </c>
      <c r="B384" s="533" t="s">
        <v>604</v>
      </c>
      <c r="C384" s="535">
        <v>1561.5561399999999</v>
      </c>
      <c r="D384" s="546">
        <v>1561556.14</v>
      </c>
      <c r="E384" s="494">
        <v>86005</v>
      </c>
      <c r="F384" s="544">
        <v>4123</v>
      </c>
      <c r="G384" s="471"/>
      <c r="I384" s="496"/>
      <c r="J384" s="497"/>
      <c r="K384" s="498"/>
    </row>
    <row r="385" spans="1:11" ht="15.75" x14ac:dyDescent="0.25">
      <c r="A385" s="491"/>
      <c r="B385" s="522"/>
      <c r="C385" s="535"/>
      <c r="D385" s="553"/>
      <c r="E385" s="494"/>
      <c r="F385" s="544"/>
      <c r="G385" s="471"/>
      <c r="I385" s="496"/>
      <c r="J385" s="497"/>
      <c r="K385" s="498"/>
    </row>
    <row r="386" spans="1:11" ht="15.75" x14ac:dyDescent="0.25">
      <c r="A386" s="491"/>
      <c r="B386" s="554" t="s">
        <v>52</v>
      </c>
      <c r="C386" s="506">
        <v>2377</v>
      </c>
      <c r="D386" s="506">
        <v>2400018.1000000006</v>
      </c>
      <c r="E386" s="494"/>
      <c r="F386" s="544"/>
      <c r="G386" s="471"/>
      <c r="I386" s="496"/>
      <c r="J386" s="497"/>
      <c r="K386" s="498"/>
    </row>
    <row r="387" spans="1:11" ht="15.75" x14ac:dyDescent="0.25">
      <c r="A387" s="491">
        <v>42075</v>
      </c>
      <c r="B387" s="547" t="s">
        <v>124</v>
      </c>
      <c r="C387" s="529">
        <v>582</v>
      </c>
      <c r="D387" s="546">
        <v>581714.24</v>
      </c>
      <c r="E387" s="494"/>
      <c r="F387" s="544">
        <v>4152</v>
      </c>
      <c r="G387" s="471"/>
      <c r="I387" s="496"/>
      <c r="J387" s="497"/>
      <c r="K387" s="498"/>
    </row>
    <row r="388" spans="1:11" ht="15.75" x14ac:dyDescent="0.25">
      <c r="A388" s="491">
        <v>42174</v>
      </c>
      <c r="B388" s="547" t="s">
        <v>244</v>
      </c>
      <c r="C388" s="529">
        <v>1795</v>
      </c>
      <c r="D388" s="546">
        <v>1794728.87</v>
      </c>
      <c r="E388" s="494"/>
      <c r="F388" s="544">
        <v>4152</v>
      </c>
      <c r="G388" s="471"/>
      <c r="I388" s="496"/>
      <c r="J388" s="497"/>
      <c r="K388" s="498"/>
    </row>
    <row r="389" spans="1:11" ht="15.75" x14ac:dyDescent="0.25">
      <c r="A389" s="491">
        <v>42233</v>
      </c>
      <c r="B389" s="547" t="s">
        <v>402</v>
      </c>
      <c r="C389" s="529">
        <v>0</v>
      </c>
      <c r="D389" s="546">
        <v>23574.99</v>
      </c>
      <c r="E389" s="494"/>
      <c r="F389" s="544">
        <v>4152</v>
      </c>
      <c r="G389" s="471"/>
      <c r="I389" s="496"/>
      <c r="J389" s="497"/>
      <c r="K389" s="498"/>
    </row>
    <row r="390" spans="1:11" ht="15.75" x14ac:dyDescent="0.25">
      <c r="A390" s="491"/>
      <c r="B390" s="533"/>
      <c r="C390" s="535"/>
      <c r="D390" s="546"/>
      <c r="E390" s="494"/>
      <c r="F390" s="544"/>
      <c r="G390" s="471"/>
      <c r="I390" s="496"/>
      <c r="J390" s="497"/>
      <c r="K390" s="498"/>
    </row>
    <row r="391" spans="1:11" ht="15.75" x14ac:dyDescent="0.25">
      <c r="A391" s="491"/>
      <c r="B391" s="555" t="s">
        <v>53</v>
      </c>
      <c r="C391" s="493">
        <v>326829.80862999998</v>
      </c>
      <c r="D391" s="493">
        <v>322636678.73000002</v>
      </c>
      <c r="E391" s="556"/>
      <c r="F391" s="501"/>
      <c r="G391" s="471"/>
      <c r="I391" s="496"/>
      <c r="J391" s="497"/>
      <c r="K391" s="498"/>
    </row>
    <row r="392" spans="1:11" ht="16.5" thickBot="1" x14ac:dyDescent="0.3">
      <c r="A392" s="557"/>
      <c r="B392" s="558"/>
      <c r="C392" s="559"/>
      <c r="D392" s="559"/>
      <c r="E392" s="560"/>
      <c r="F392" s="561"/>
      <c r="G392" s="471"/>
      <c r="I392" s="496"/>
      <c r="J392" s="497"/>
      <c r="K392" s="498"/>
    </row>
    <row r="393" spans="1:11" ht="15.75" x14ac:dyDescent="0.25">
      <c r="A393" s="562"/>
      <c r="B393" s="483"/>
      <c r="C393" s="563"/>
      <c r="D393" s="563"/>
      <c r="E393" s="564"/>
      <c r="F393" s="564"/>
      <c r="G393" s="471"/>
      <c r="I393" s="496"/>
      <c r="J393" s="497"/>
      <c r="K393" s="498"/>
    </row>
    <row r="394" spans="1:11" ht="16.5" thickBot="1" x14ac:dyDescent="0.3">
      <c r="A394" s="562"/>
      <c r="B394" s="483"/>
      <c r="C394" s="563"/>
      <c r="D394" s="563"/>
      <c r="E394" s="564"/>
      <c r="F394" s="564"/>
      <c r="G394" s="471"/>
      <c r="I394" s="496"/>
      <c r="J394" s="497"/>
      <c r="K394" s="498"/>
    </row>
    <row r="395" spans="1:11" ht="31.5" x14ac:dyDescent="0.25">
      <c r="A395" s="645" t="s">
        <v>141</v>
      </c>
      <c r="B395" s="479"/>
      <c r="C395" s="480"/>
      <c r="D395" s="480"/>
      <c r="E395" s="565"/>
      <c r="F395" s="565"/>
      <c r="G395" s="471"/>
      <c r="I395" s="496"/>
      <c r="J395" s="497"/>
      <c r="K395" s="498"/>
    </row>
    <row r="396" spans="1:11" ht="16.5" thickBot="1" x14ac:dyDescent="0.3">
      <c r="A396" s="646"/>
      <c r="B396" s="484" t="s">
        <v>54</v>
      </c>
      <c r="C396" s="485" t="s">
        <v>3</v>
      </c>
      <c r="D396" s="485" t="s">
        <v>4</v>
      </c>
      <c r="E396" s="566" t="s">
        <v>5</v>
      </c>
      <c r="F396" s="566" t="s">
        <v>6</v>
      </c>
      <c r="G396" s="471"/>
      <c r="I396" s="496"/>
      <c r="J396" s="497"/>
      <c r="K396" s="498"/>
    </row>
    <row r="397" spans="1:11" ht="15.75" x14ac:dyDescent="0.25">
      <c r="A397" s="491"/>
      <c r="B397" s="492" t="s">
        <v>14</v>
      </c>
      <c r="C397" s="524">
        <v>4158.3324600000005</v>
      </c>
      <c r="D397" s="524">
        <v>4158332.4600000004</v>
      </c>
      <c r="E397" s="544"/>
      <c r="F397" s="544"/>
      <c r="G397" s="471"/>
      <c r="I397" s="496"/>
      <c r="J397" s="497"/>
      <c r="K397" s="498"/>
    </row>
    <row r="398" spans="1:11" ht="15.75" x14ac:dyDescent="0.25">
      <c r="A398" s="491">
        <v>42069</v>
      </c>
      <c r="B398" s="499" t="s">
        <v>114</v>
      </c>
      <c r="C398" s="529">
        <v>141.55572000000001</v>
      </c>
      <c r="D398" s="505">
        <v>141555.72</v>
      </c>
      <c r="E398" s="544">
        <v>90877</v>
      </c>
      <c r="F398" s="544">
        <v>4213</v>
      </c>
      <c r="G398" s="471"/>
      <c r="I398" s="496"/>
      <c r="J398" s="497"/>
      <c r="K398" s="498"/>
    </row>
    <row r="399" spans="1:11" ht="15.75" x14ac:dyDescent="0.25">
      <c r="A399" s="491">
        <v>42114</v>
      </c>
      <c r="B399" s="499" t="s">
        <v>156</v>
      </c>
      <c r="C399" s="529">
        <v>47.117789999999999</v>
      </c>
      <c r="D399" s="505">
        <v>47117.79</v>
      </c>
      <c r="E399" s="544">
        <v>90877</v>
      </c>
      <c r="F399" s="544">
        <v>4213</v>
      </c>
      <c r="G399" s="471"/>
      <c r="I399" s="496"/>
      <c r="J399" s="497"/>
      <c r="K399" s="498"/>
    </row>
    <row r="400" spans="1:11" ht="15.75" x14ac:dyDescent="0.25">
      <c r="A400" s="491">
        <v>42142</v>
      </c>
      <c r="B400" s="499" t="s">
        <v>169</v>
      </c>
      <c r="C400" s="529">
        <v>21.145890000000001</v>
      </c>
      <c r="D400" s="505">
        <v>21145.89</v>
      </c>
      <c r="E400" s="544">
        <v>90877</v>
      </c>
      <c r="F400" s="544">
        <v>4213</v>
      </c>
      <c r="G400" s="471"/>
      <c r="I400" s="496"/>
      <c r="J400" s="497"/>
      <c r="K400" s="498"/>
    </row>
    <row r="401" spans="1:11" ht="15.75" x14ac:dyDescent="0.25">
      <c r="A401" s="491">
        <v>42150</v>
      </c>
      <c r="B401" s="499" t="s">
        <v>218</v>
      </c>
      <c r="C401" s="529">
        <v>32.193080000000002</v>
      </c>
      <c r="D401" s="505">
        <v>32193.08</v>
      </c>
      <c r="E401" s="544">
        <v>90877</v>
      </c>
      <c r="F401" s="544">
        <v>4213</v>
      </c>
      <c r="G401" s="471"/>
      <c r="I401" s="496"/>
      <c r="J401" s="497"/>
      <c r="K401" s="498"/>
    </row>
    <row r="402" spans="1:11" ht="15.75" x14ac:dyDescent="0.25">
      <c r="A402" s="491">
        <v>42150</v>
      </c>
      <c r="B402" s="499" t="s">
        <v>219</v>
      </c>
      <c r="C402" s="529">
        <v>21.296060000000001</v>
      </c>
      <c r="D402" s="505">
        <v>21296.06</v>
      </c>
      <c r="E402" s="544">
        <v>90877</v>
      </c>
      <c r="F402" s="544">
        <v>4213</v>
      </c>
      <c r="G402" s="471"/>
      <c r="I402" s="496"/>
      <c r="J402" s="497"/>
      <c r="K402" s="498"/>
    </row>
    <row r="403" spans="1:11" ht="15.75" x14ac:dyDescent="0.25">
      <c r="A403" s="491">
        <v>42167</v>
      </c>
      <c r="B403" s="499" t="s">
        <v>232</v>
      </c>
      <c r="C403" s="529">
        <v>28.64677</v>
      </c>
      <c r="D403" s="505">
        <v>28646.77</v>
      </c>
      <c r="E403" s="544">
        <v>90877</v>
      </c>
      <c r="F403" s="544">
        <v>4213</v>
      </c>
      <c r="G403" s="471"/>
      <c r="I403" s="496"/>
      <c r="J403" s="497"/>
      <c r="K403" s="498"/>
    </row>
    <row r="404" spans="1:11" ht="15.75" x14ac:dyDescent="0.25">
      <c r="A404" s="491">
        <v>42199</v>
      </c>
      <c r="B404" s="499" t="s">
        <v>280</v>
      </c>
      <c r="C404" s="529">
        <v>120.05096</v>
      </c>
      <c r="D404" s="505">
        <v>120050.96</v>
      </c>
      <c r="E404" s="544">
        <v>90877</v>
      </c>
      <c r="F404" s="544">
        <v>4213</v>
      </c>
      <c r="G404" s="471"/>
      <c r="I404" s="496"/>
      <c r="J404" s="497"/>
      <c r="K404" s="498"/>
    </row>
    <row r="405" spans="1:11" ht="15.75" x14ac:dyDescent="0.25">
      <c r="A405" s="491">
        <v>42195</v>
      </c>
      <c r="B405" s="499" t="s">
        <v>294</v>
      </c>
      <c r="C405" s="529">
        <v>20.106369999999998</v>
      </c>
      <c r="D405" s="505">
        <v>20106.37</v>
      </c>
      <c r="E405" s="544">
        <v>90877</v>
      </c>
      <c r="F405" s="544">
        <v>4213</v>
      </c>
      <c r="G405" s="471"/>
      <c r="I405" s="496"/>
      <c r="J405" s="497"/>
      <c r="K405" s="498"/>
    </row>
    <row r="406" spans="1:11" ht="15.75" x14ac:dyDescent="0.25">
      <c r="A406" s="491">
        <v>42205</v>
      </c>
      <c r="B406" s="499" t="s">
        <v>303</v>
      </c>
      <c r="C406" s="529">
        <v>19.5185</v>
      </c>
      <c r="D406" s="505">
        <v>19518.5</v>
      </c>
      <c r="E406" s="544">
        <v>90877</v>
      </c>
      <c r="F406" s="544">
        <v>4213</v>
      </c>
      <c r="G406" s="471"/>
      <c r="I406" s="496"/>
      <c r="J406" s="497"/>
      <c r="K406" s="498"/>
    </row>
    <row r="407" spans="1:11" ht="15.75" x14ac:dyDescent="0.25">
      <c r="A407" s="491">
        <v>42209</v>
      </c>
      <c r="B407" s="499" t="s">
        <v>330</v>
      </c>
      <c r="C407" s="529">
        <v>20.354620000000001</v>
      </c>
      <c r="D407" s="505">
        <v>20354.62</v>
      </c>
      <c r="E407" s="544">
        <v>90877</v>
      </c>
      <c r="F407" s="544">
        <v>4213</v>
      </c>
      <c r="G407" s="471"/>
      <c r="I407" s="496"/>
      <c r="J407" s="497"/>
      <c r="K407" s="498"/>
    </row>
    <row r="408" spans="1:11" ht="15.75" x14ac:dyDescent="0.25">
      <c r="A408" s="491">
        <v>42220</v>
      </c>
      <c r="B408" s="499" t="s">
        <v>343</v>
      </c>
      <c r="C408" s="529">
        <v>72.443290000000005</v>
      </c>
      <c r="D408" s="505">
        <v>72443.289999999994</v>
      </c>
      <c r="E408" s="544">
        <v>90877</v>
      </c>
      <c r="F408" s="544">
        <v>4213</v>
      </c>
      <c r="G408" s="471"/>
      <c r="I408" s="496"/>
      <c r="J408" s="497"/>
      <c r="K408" s="498"/>
    </row>
    <row r="409" spans="1:11" ht="15.75" x14ac:dyDescent="0.25">
      <c r="A409" s="491">
        <v>42222</v>
      </c>
      <c r="B409" s="499" t="s">
        <v>368</v>
      </c>
      <c r="C409" s="529">
        <v>214.12066999999999</v>
      </c>
      <c r="D409" s="505">
        <v>214120.67</v>
      </c>
      <c r="E409" s="544">
        <v>90877</v>
      </c>
      <c r="F409" s="544">
        <v>4213</v>
      </c>
      <c r="G409" s="471"/>
      <c r="I409" s="496"/>
      <c r="J409" s="497"/>
      <c r="K409" s="498"/>
    </row>
    <row r="410" spans="1:11" ht="15.75" x14ac:dyDescent="0.25">
      <c r="A410" s="491">
        <v>42226</v>
      </c>
      <c r="B410" s="499" t="s">
        <v>218</v>
      </c>
      <c r="C410" s="529">
        <v>7.7073600000000004</v>
      </c>
      <c r="D410" s="505">
        <v>7707.36</v>
      </c>
      <c r="E410" s="544">
        <v>90877</v>
      </c>
      <c r="F410" s="544">
        <v>4213</v>
      </c>
      <c r="G410" s="471"/>
      <c r="I410" s="496"/>
      <c r="J410" s="497"/>
      <c r="K410" s="498"/>
    </row>
    <row r="411" spans="1:11" ht="15.75" x14ac:dyDescent="0.25">
      <c r="A411" s="491">
        <v>42251</v>
      </c>
      <c r="B411" s="499" t="s">
        <v>330</v>
      </c>
      <c r="C411" s="505">
        <v>0.30249999999999999</v>
      </c>
      <c r="D411" s="505">
        <v>302.5</v>
      </c>
      <c r="E411" s="544">
        <v>90877</v>
      </c>
      <c r="F411" s="544">
        <v>4213</v>
      </c>
      <c r="G411" s="471"/>
      <c r="I411" s="496"/>
      <c r="J411" s="497"/>
      <c r="K411" s="498"/>
    </row>
    <row r="412" spans="1:11" ht="15.75" x14ac:dyDescent="0.25">
      <c r="A412" s="491">
        <v>42283</v>
      </c>
      <c r="B412" s="499" t="s">
        <v>232</v>
      </c>
      <c r="C412" s="505">
        <v>0.30249999999999999</v>
      </c>
      <c r="D412" s="505">
        <v>302.5</v>
      </c>
      <c r="E412" s="544">
        <v>90877</v>
      </c>
      <c r="F412" s="544">
        <v>4213</v>
      </c>
      <c r="G412" s="471"/>
      <c r="I412" s="496"/>
      <c r="J412" s="497"/>
      <c r="K412" s="498"/>
    </row>
    <row r="413" spans="1:11" ht="15.75" x14ac:dyDescent="0.25">
      <c r="A413" s="491">
        <v>42283</v>
      </c>
      <c r="B413" s="499" t="s">
        <v>536</v>
      </c>
      <c r="C413" s="505">
        <v>10.69867</v>
      </c>
      <c r="D413" s="505">
        <v>10698.67</v>
      </c>
      <c r="E413" s="544">
        <v>90877</v>
      </c>
      <c r="F413" s="544">
        <v>4213</v>
      </c>
      <c r="G413" s="471"/>
      <c r="I413" s="496"/>
      <c r="J413" s="497"/>
      <c r="K413" s="498"/>
    </row>
    <row r="414" spans="1:11" ht="15.75" x14ac:dyDescent="0.25">
      <c r="A414" s="491">
        <v>42334</v>
      </c>
      <c r="B414" s="499" t="s">
        <v>615</v>
      </c>
      <c r="C414" s="505">
        <v>26.439350000000001</v>
      </c>
      <c r="D414" s="505">
        <v>26439.35</v>
      </c>
      <c r="E414" s="544">
        <v>90877</v>
      </c>
      <c r="F414" s="544">
        <v>4213</v>
      </c>
      <c r="G414" s="471"/>
      <c r="I414" s="496"/>
      <c r="J414" s="497"/>
      <c r="K414" s="498"/>
    </row>
    <row r="415" spans="1:11" ht="15.75" x14ac:dyDescent="0.25">
      <c r="A415" s="491">
        <v>42335</v>
      </c>
      <c r="B415" s="499" t="s">
        <v>616</v>
      </c>
      <c r="C415" s="505">
        <v>113.10644000000001</v>
      </c>
      <c r="D415" s="505">
        <v>113106.44</v>
      </c>
      <c r="E415" s="544">
        <v>90877</v>
      </c>
      <c r="F415" s="544">
        <v>4213</v>
      </c>
      <c r="G415" s="471"/>
      <c r="I415" s="496"/>
      <c r="J415" s="497"/>
      <c r="K415" s="498"/>
    </row>
    <row r="416" spans="1:11" ht="15.75" x14ac:dyDescent="0.25">
      <c r="A416" s="491">
        <v>42349</v>
      </c>
      <c r="B416" s="499" t="s">
        <v>671</v>
      </c>
      <c r="C416" s="505">
        <v>33.109760000000001</v>
      </c>
      <c r="D416" s="505">
        <v>33109.760000000002</v>
      </c>
      <c r="E416" s="544">
        <v>90877</v>
      </c>
      <c r="F416" s="544">
        <v>4213</v>
      </c>
      <c r="G416" s="471"/>
      <c r="I416" s="496"/>
      <c r="J416" s="497"/>
      <c r="K416" s="498"/>
    </row>
    <row r="417" spans="1:11" ht="15.75" x14ac:dyDescent="0.25">
      <c r="A417" s="491">
        <v>42354</v>
      </c>
      <c r="B417" s="499" t="s">
        <v>655</v>
      </c>
      <c r="C417" s="505">
        <v>101.94318</v>
      </c>
      <c r="D417" s="505">
        <v>101943.18</v>
      </c>
      <c r="E417" s="544">
        <v>90877</v>
      </c>
      <c r="F417" s="544">
        <v>4213</v>
      </c>
      <c r="G417" s="471"/>
      <c r="I417" s="496"/>
      <c r="J417" s="497"/>
      <c r="K417" s="498"/>
    </row>
    <row r="418" spans="1:11" ht="15.75" x14ac:dyDescent="0.25">
      <c r="A418" s="491">
        <v>42354</v>
      </c>
      <c r="B418" s="499" t="s">
        <v>656</v>
      </c>
      <c r="C418" s="505">
        <v>151.29542000000001</v>
      </c>
      <c r="D418" s="505">
        <v>151295.42000000001</v>
      </c>
      <c r="E418" s="544">
        <v>90877</v>
      </c>
      <c r="F418" s="544">
        <v>4213</v>
      </c>
      <c r="G418" s="471"/>
      <c r="I418" s="496"/>
      <c r="J418" s="497"/>
      <c r="K418" s="498"/>
    </row>
    <row r="419" spans="1:11" ht="15.75" x14ac:dyDescent="0.25">
      <c r="A419" s="491">
        <v>42354</v>
      </c>
      <c r="B419" s="499" t="s">
        <v>657</v>
      </c>
      <c r="C419" s="505">
        <v>99.361320000000006</v>
      </c>
      <c r="D419" s="505">
        <v>99361.32</v>
      </c>
      <c r="E419" s="544">
        <v>90877</v>
      </c>
      <c r="F419" s="544">
        <v>4213</v>
      </c>
      <c r="G419" s="471"/>
      <c r="I419" s="496"/>
      <c r="J419" s="497"/>
      <c r="K419" s="498"/>
    </row>
    <row r="420" spans="1:11" ht="15.75" x14ac:dyDescent="0.25">
      <c r="A420" s="491">
        <v>42354</v>
      </c>
      <c r="B420" s="499" t="s">
        <v>667</v>
      </c>
      <c r="C420" s="505">
        <v>61.886699999999998</v>
      </c>
      <c r="D420" s="505">
        <v>61886.7</v>
      </c>
      <c r="E420" s="544">
        <v>90877</v>
      </c>
      <c r="F420" s="544">
        <v>4213</v>
      </c>
      <c r="G420" s="471"/>
      <c r="I420" s="496"/>
      <c r="J420" s="497"/>
      <c r="K420" s="498"/>
    </row>
    <row r="421" spans="1:11" ht="15.75" x14ac:dyDescent="0.25">
      <c r="A421" s="491">
        <v>42354</v>
      </c>
      <c r="B421" s="499" t="s">
        <v>668</v>
      </c>
      <c r="C421" s="505">
        <v>206.00523999999999</v>
      </c>
      <c r="D421" s="505">
        <v>206005.24</v>
      </c>
      <c r="E421" s="544">
        <v>90877</v>
      </c>
      <c r="F421" s="544">
        <v>4213</v>
      </c>
      <c r="G421" s="471"/>
      <c r="I421" s="496"/>
      <c r="J421" s="497"/>
      <c r="K421" s="498"/>
    </row>
    <row r="422" spans="1:11" ht="15.75" x14ac:dyDescent="0.25">
      <c r="A422" s="491">
        <v>42356</v>
      </c>
      <c r="B422" s="499" t="s">
        <v>669</v>
      </c>
      <c r="C422" s="505">
        <v>375.35138999999998</v>
      </c>
      <c r="D422" s="505">
        <v>375351.39</v>
      </c>
      <c r="E422" s="544">
        <v>90877</v>
      </c>
      <c r="F422" s="544">
        <v>4213</v>
      </c>
      <c r="G422" s="471"/>
      <c r="I422" s="496"/>
      <c r="J422" s="497"/>
      <c r="K422" s="498"/>
    </row>
    <row r="423" spans="1:11" ht="15.75" x14ac:dyDescent="0.25">
      <c r="A423" s="491">
        <v>42356</v>
      </c>
      <c r="B423" s="499" t="s">
        <v>631</v>
      </c>
      <c r="C423" s="505">
        <v>144.53725</v>
      </c>
      <c r="D423" s="505">
        <v>144537.25</v>
      </c>
      <c r="E423" s="544">
        <v>90877</v>
      </c>
      <c r="F423" s="544">
        <v>4213</v>
      </c>
      <c r="G423" s="471"/>
      <c r="I423" s="496"/>
      <c r="J423" s="497"/>
      <c r="K423" s="498"/>
    </row>
    <row r="424" spans="1:11" ht="15.75" x14ac:dyDescent="0.25">
      <c r="A424" s="491"/>
      <c r="B424" s="499" t="s">
        <v>380</v>
      </c>
      <c r="C424" s="500">
        <v>125.34887000000001</v>
      </c>
      <c r="D424" s="500">
        <v>125348.87000000001</v>
      </c>
      <c r="E424" s="544">
        <v>90877</v>
      </c>
      <c r="F424" s="544">
        <v>4213</v>
      </c>
      <c r="G424" s="503" t="s">
        <v>64</v>
      </c>
      <c r="I424" s="496">
        <v>125348.87000000001</v>
      </c>
      <c r="J424" s="497"/>
      <c r="K424" s="498"/>
    </row>
    <row r="425" spans="1:11" ht="15.75" x14ac:dyDescent="0.25">
      <c r="A425" s="491"/>
      <c r="B425" s="499" t="s">
        <v>121</v>
      </c>
      <c r="C425" s="500">
        <v>0.97499999999999998</v>
      </c>
      <c r="D425" s="500">
        <v>975</v>
      </c>
      <c r="E425" s="544">
        <v>90877</v>
      </c>
      <c r="F425" s="544">
        <v>4213</v>
      </c>
      <c r="G425" s="471"/>
      <c r="I425" s="496"/>
      <c r="J425" s="497">
        <v>975</v>
      </c>
      <c r="K425" s="498"/>
    </row>
    <row r="426" spans="1:11" ht="15.75" x14ac:dyDescent="0.25">
      <c r="A426" s="491"/>
      <c r="B426" s="499" t="s">
        <v>636</v>
      </c>
      <c r="C426" s="500">
        <v>112.23195</v>
      </c>
      <c r="D426" s="500">
        <v>112231.95</v>
      </c>
      <c r="E426" s="544">
        <v>90877</v>
      </c>
      <c r="F426" s="544">
        <v>4213</v>
      </c>
      <c r="G426" s="471"/>
      <c r="I426" s="496"/>
      <c r="J426" s="497">
        <v>112231.95</v>
      </c>
      <c r="K426" s="498"/>
    </row>
    <row r="427" spans="1:11" ht="15.75" x14ac:dyDescent="0.25">
      <c r="A427" s="491"/>
      <c r="B427" s="499" t="s">
        <v>645</v>
      </c>
      <c r="C427" s="500">
        <v>318.23723999999999</v>
      </c>
      <c r="D427" s="500">
        <v>318237.24</v>
      </c>
      <c r="E427" s="544">
        <v>90877</v>
      </c>
      <c r="F427" s="544">
        <v>4213</v>
      </c>
      <c r="G427" s="471"/>
      <c r="I427" s="496"/>
      <c r="J427" s="497">
        <v>318237.24</v>
      </c>
      <c r="K427" s="498"/>
    </row>
    <row r="428" spans="1:11" ht="15.75" x14ac:dyDescent="0.25">
      <c r="A428" s="491"/>
      <c r="B428" s="499" t="s">
        <v>301</v>
      </c>
      <c r="C428" s="500">
        <v>1.42302</v>
      </c>
      <c r="D428" s="500">
        <v>1423.02</v>
      </c>
      <c r="E428" s="544">
        <v>90877</v>
      </c>
      <c r="F428" s="544">
        <v>4213</v>
      </c>
      <c r="G428" s="471"/>
      <c r="I428" s="567"/>
      <c r="J428" s="497">
        <v>1423.02</v>
      </c>
      <c r="K428" s="498"/>
    </row>
    <row r="429" spans="1:11" ht="15.75" x14ac:dyDescent="0.25">
      <c r="A429" s="491"/>
      <c r="B429" s="499" t="s">
        <v>418</v>
      </c>
      <c r="C429" s="500">
        <v>96.3125</v>
      </c>
      <c r="D429" s="500">
        <v>96312.5</v>
      </c>
      <c r="E429" s="544">
        <v>90877</v>
      </c>
      <c r="F429" s="544">
        <v>4213</v>
      </c>
      <c r="G429" s="471"/>
      <c r="I429" s="567"/>
      <c r="J429" s="497">
        <v>96312.5</v>
      </c>
      <c r="K429" s="498"/>
    </row>
    <row r="430" spans="1:11" ht="15.75" x14ac:dyDescent="0.25">
      <c r="A430" s="491"/>
      <c r="B430" s="499" t="s">
        <v>110</v>
      </c>
      <c r="C430" s="500">
        <v>392.03399999999999</v>
      </c>
      <c r="D430" s="500">
        <v>392034</v>
      </c>
      <c r="E430" s="544">
        <v>90909</v>
      </c>
      <c r="F430" s="544">
        <v>4213</v>
      </c>
      <c r="G430" s="503" t="s">
        <v>64</v>
      </c>
      <c r="I430" s="567">
        <v>392034</v>
      </c>
      <c r="J430" s="497"/>
      <c r="K430" s="498"/>
    </row>
    <row r="431" spans="1:11" ht="15.75" x14ac:dyDescent="0.25">
      <c r="A431" s="491"/>
      <c r="B431" s="499" t="s">
        <v>538</v>
      </c>
      <c r="C431" s="500">
        <v>53.892980000000001</v>
      </c>
      <c r="D431" s="500">
        <v>53892.98</v>
      </c>
      <c r="E431" s="544">
        <v>90877</v>
      </c>
      <c r="F431" s="544">
        <v>4213</v>
      </c>
      <c r="G431" s="471"/>
      <c r="I431" s="567"/>
      <c r="J431" s="497">
        <v>53892.98</v>
      </c>
      <c r="K431" s="498"/>
    </row>
    <row r="432" spans="1:11" ht="15.75" x14ac:dyDescent="0.25">
      <c r="A432" s="491"/>
      <c r="B432" s="499" t="s">
        <v>630</v>
      </c>
      <c r="C432" s="500">
        <v>80.902780000000007</v>
      </c>
      <c r="D432" s="500">
        <v>80902.78</v>
      </c>
      <c r="E432" s="544">
        <v>90877</v>
      </c>
      <c r="F432" s="544">
        <v>4213</v>
      </c>
      <c r="G432" s="471"/>
      <c r="I432" s="567"/>
      <c r="J432" s="497">
        <v>80902.78</v>
      </c>
      <c r="K432" s="498"/>
    </row>
    <row r="433" spans="1:11" ht="15.75" x14ac:dyDescent="0.25">
      <c r="A433" s="491"/>
      <c r="B433" s="499" t="s">
        <v>283</v>
      </c>
      <c r="C433" s="500">
        <v>679.7410000000001</v>
      </c>
      <c r="D433" s="500">
        <v>679741</v>
      </c>
      <c r="E433" s="544">
        <v>90877</v>
      </c>
      <c r="F433" s="544">
        <v>4213</v>
      </c>
      <c r="G433" s="471"/>
      <c r="I433" s="496"/>
      <c r="J433" s="497">
        <v>679741</v>
      </c>
      <c r="K433" s="498"/>
    </row>
    <row r="434" spans="1:11" ht="15.75" x14ac:dyDescent="0.25">
      <c r="A434" s="491"/>
      <c r="B434" s="499" t="s">
        <v>499</v>
      </c>
      <c r="C434" s="500">
        <v>0.30249999999999999</v>
      </c>
      <c r="D434" s="500">
        <v>302.5</v>
      </c>
      <c r="E434" s="544">
        <v>90877</v>
      </c>
      <c r="F434" s="544">
        <v>4213</v>
      </c>
      <c r="G434" s="471"/>
      <c r="I434" s="496"/>
      <c r="J434" s="497">
        <v>302.5</v>
      </c>
      <c r="K434" s="498"/>
    </row>
    <row r="435" spans="1:11" ht="15.75" x14ac:dyDescent="0.25">
      <c r="A435" s="491"/>
      <c r="B435" s="499" t="s">
        <v>360</v>
      </c>
      <c r="C435" s="500">
        <v>9.3895999999999997</v>
      </c>
      <c r="D435" s="500">
        <v>9389.6</v>
      </c>
      <c r="E435" s="544">
        <v>90877</v>
      </c>
      <c r="F435" s="544">
        <v>4213</v>
      </c>
      <c r="G435" s="471"/>
      <c r="I435" s="496"/>
      <c r="J435" s="497">
        <v>9389.6</v>
      </c>
      <c r="K435" s="498"/>
    </row>
    <row r="436" spans="1:11" ht="15.75" x14ac:dyDescent="0.25">
      <c r="A436" s="491"/>
      <c r="B436" s="499" t="s">
        <v>228</v>
      </c>
      <c r="C436" s="500">
        <v>2.125</v>
      </c>
      <c r="D436" s="500">
        <v>2125</v>
      </c>
      <c r="E436" s="544">
        <v>90877</v>
      </c>
      <c r="F436" s="544">
        <v>4213</v>
      </c>
      <c r="G436" s="471"/>
      <c r="I436" s="496"/>
      <c r="J436" s="497">
        <v>2125</v>
      </c>
      <c r="K436" s="498"/>
    </row>
    <row r="437" spans="1:11" ht="15.75" x14ac:dyDescent="0.25">
      <c r="A437" s="491"/>
      <c r="B437" s="499" t="s">
        <v>230</v>
      </c>
      <c r="C437" s="500">
        <v>3.4999799999999999</v>
      </c>
      <c r="D437" s="500">
        <v>3499.98</v>
      </c>
      <c r="E437" s="544">
        <v>90877</v>
      </c>
      <c r="F437" s="544">
        <v>4213</v>
      </c>
      <c r="G437" s="471"/>
      <c r="I437" s="496"/>
      <c r="J437" s="497">
        <v>3499.98</v>
      </c>
      <c r="K437" s="498"/>
    </row>
    <row r="438" spans="1:11" ht="15.75" x14ac:dyDescent="0.25">
      <c r="A438" s="491"/>
      <c r="B438" s="499" t="s">
        <v>396</v>
      </c>
      <c r="C438" s="500">
        <v>77.736059999999995</v>
      </c>
      <c r="D438" s="500">
        <v>77736.06</v>
      </c>
      <c r="E438" s="544">
        <v>90877</v>
      </c>
      <c r="F438" s="544">
        <v>4213</v>
      </c>
      <c r="G438" s="503"/>
      <c r="I438" s="496"/>
      <c r="J438" s="497">
        <v>77736.06</v>
      </c>
      <c r="K438" s="498"/>
    </row>
    <row r="439" spans="1:11" ht="15.75" x14ac:dyDescent="0.25">
      <c r="A439" s="491"/>
      <c r="B439" s="499" t="s">
        <v>608</v>
      </c>
      <c r="C439" s="500">
        <v>68.21302</v>
      </c>
      <c r="D439" s="500">
        <v>68213.02</v>
      </c>
      <c r="E439" s="544">
        <v>90877</v>
      </c>
      <c r="F439" s="544">
        <v>4213</v>
      </c>
      <c r="G439" s="503"/>
      <c r="I439" s="496"/>
      <c r="J439" s="497">
        <v>68213.02</v>
      </c>
      <c r="K439" s="498"/>
    </row>
    <row r="440" spans="1:11" ht="15.75" x14ac:dyDescent="0.25">
      <c r="A440" s="491"/>
      <c r="B440" s="499" t="s">
        <v>642</v>
      </c>
      <c r="C440" s="500">
        <v>45.370159999999998</v>
      </c>
      <c r="D440" s="500">
        <v>45370.16</v>
      </c>
      <c r="E440" s="544">
        <v>90877</v>
      </c>
      <c r="F440" s="544">
        <v>4213</v>
      </c>
      <c r="G440" s="471"/>
      <c r="I440" s="496"/>
      <c r="J440" s="497">
        <v>45370.16</v>
      </c>
      <c r="K440" s="498"/>
    </row>
    <row r="441" spans="1:11" ht="15.75" x14ac:dyDescent="0.25">
      <c r="A441" s="491"/>
      <c r="B441" s="568"/>
      <c r="C441" s="505"/>
      <c r="D441" s="505"/>
      <c r="E441" s="544"/>
      <c r="F441" s="544"/>
      <c r="G441" s="471"/>
      <c r="I441" s="496"/>
      <c r="J441" s="497"/>
      <c r="K441" s="498"/>
    </row>
    <row r="442" spans="1:11" ht="15.75" x14ac:dyDescent="0.25">
      <c r="A442" s="491"/>
      <c r="B442" s="568"/>
      <c r="C442" s="505"/>
      <c r="D442" s="505"/>
      <c r="E442" s="544"/>
      <c r="F442" s="544"/>
      <c r="G442" s="471"/>
      <c r="I442" s="496"/>
      <c r="J442" s="497"/>
      <c r="K442" s="498"/>
    </row>
    <row r="443" spans="1:11" ht="15.75" x14ac:dyDescent="0.25">
      <c r="A443" s="491"/>
      <c r="B443" s="523" t="s">
        <v>33</v>
      </c>
      <c r="C443" s="524">
        <v>100</v>
      </c>
      <c r="D443" s="524">
        <v>100000</v>
      </c>
      <c r="E443" s="544"/>
      <c r="F443" s="544"/>
      <c r="G443" s="471"/>
      <c r="I443" s="496"/>
      <c r="J443" s="497"/>
      <c r="K443" s="498"/>
    </row>
    <row r="444" spans="1:11" ht="15.75" x14ac:dyDescent="0.25">
      <c r="A444" s="491">
        <v>42244</v>
      </c>
      <c r="B444" s="522" t="s">
        <v>322</v>
      </c>
      <c r="C444" s="505">
        <v>100</v>
      </c>
      <c r="D444" s="505">
        <v>100000</v>
      </c>
      <c r="E444" s="544">
        <v>34941</v>
      </c>
      <c r="F444" s="544">
        <v>4216</v>
      </c>
      <c r="G444" s="471"/>
      <c r="I444" s="496"/>
      <c r="J444" s="497"/>
      <c r="K444" s="498"/>
    </row>
    <row r="445" spans="1:11" ht="15.75" x14ac:dyDescent="0.25">
      <c r="A445" s="491"/>
      <c r="B445" s="522"/>
      <c r="C445" s="505"/>
      <c r="D445" s="524"/>
      <c r="E445" s="544"/>
      <c r="F445" s="544"/>
      <c r="G445" s="471"/>
      <c r="I445" s="496"/>
      <c r="J445" s="497"/>
      <c r="K445" s="498"/>
    </row>
    <row r="446" spans="1:11" ht="15.75" x14ac:dyDescent="0.25">
      <c r="A446" s="491"/>
      <c r="B446" s="492" t="s">
        <v>45</v>
      </c>
      <c r="C446" s="524">
        <v>83541.812479999964</v>
      </c>
      <c r="D446" s="524">
        <v>83541812.480000019</v>
      </c>
      <c r="E446" s="544"/>
      <c r="F446" s="544"/>
      <c r="G446" s="471"/>
      <c r="I446" s="496"/>
      <c r="J446" s="497"/>
      <c r="K446" s="498"/>
    </row>
    <row r="447" spans="1:11" ht="15.75" x14ac:dyDescent="0.25">
      <c r="A447" s="491">
        <v>42114</v>
      </c>
      <c r="B447" s="499" t="s">
        <v>156</v>
      </c>
      <c r="C447" s="529">
        <v>801.00243</v>
      </c>
      <c r="D447" s="505">
        <v>801002.43</v>
      </c>
      <c r="E447" s="544">
        <v>15827</v>
      </c>
      <c r="F447" s="544">
        <v>4216</v>
      </c>
      <c r="G447" s="471"/>
      <c r="I447" s="496"/>
      <c r="J447" s="497"/>
      <c r="K447" s="498"/>
    </row>
    <row r="448" spans="1:11" ht="15.75" x14ac:dyDescent="0.25">
      <c r="A448" s="491">
        <v>42139</v>
      </c>
      <c r="B448" s="499" t="s">
        <v>169</v>
      </c>
      <c r="C448" s="529">
        <v>359.48018999999999</v>
      </c>
      <c r="D448" s="505">
        <v>359480.19</v>
      </c>
      <c r="E448" s="544">
        <v>15835</v>
      </c>
      <c r="F448" s="544">
        <v>4216</v>
      </c>
      <c r="G448" s="471"/>
      <c r="I448" s="496"/>
      <c r="J448" s="497"/>
      <c r="K448" s="498"/>
    </row>
    <row r="449" spans="1:11" ht="15.75" x14ac:dyDescent="0.25">
      <c r="A449" s="491">
        <v>42150</v>
      </c>
      <c r="B449" s="499" t="s">
        <v>218</v>
      </c>
      <c r="C449" s="529">
        <v>547.28240000000005</v>
      </c>
      <c r="D449" s="505">
        <v>547282.4</v>
      </c>
      <c r="E449" s="544">
        <v>15835</v>
      </c>
      <c r="F449" s="544">
        <v>4216</v>
      </c>
      <c r="G449" s="545"/>
      <c r="I449" s="496"/>
      <c r="J449" s="497"/>
      <c r="K449" s="498"/>
    </row>
    <row r="450" spans="1:11" ht="15.75" x14ac:dyDescent="0.25">
      <c r="A450" s="491">
        <v>42150</v>
      </c>
      <c r="B450" s="499" t="s">
        <v>219</v>
      </c>
      <c r="C450" s="529">
        <v>362.03313000000003</v>
      </c>
      <c r="D450" s="505">
        <v>362033.13</v>
      </c>
      <c r="E450" s="544">
        <v>15835</v>
      </c>
      <c r="F450" s="544">
        <v>4216</v>
      </c>
      <c r="G450" s="545"/>
      <c r="I450" s="496"/>
      <c r="J450" s="497"/>
      <c r="K450" s="498"/>
    </row>
    <row r="451" spans="1:11" ht="15.75" x14ac:dyDescent="0.25">
      <c r="A451" s="491">
        <v>42167</v>
      </c>
      <c r="B451" s="499" t="s">
        <v>232</v>
      </c>
      <c r="C451" s="529">
        <v>486.99520000000001</v>
      </c>
      <c r="D451" s="505">
        <v>486995.20000000001</v>
      </c>
      <c r="E451" s="544">
        <v>15835</v>
      </c>
      <c r="F451" s="544">
        <v>4216</v>
      </c>
      <c r="G451" s="545"/>
      <c r="I451" s="496"/>
      <c r="J451" s="497"/>
      <c r="K451" s="498"/>
    </row>
    <row r="452" spans="1:11" ht="15.75" x14ac:dyDescent="0.25">
      <c r="A452" s="491">
        <v>42198</v>
      </c>
      <c r="B452" s="499" t="s">
        <v>280</v>
      </c>
      <c r="C452" s="529">
        <v>2040.8663899999999</v>
      </c>
      <c r="D452" s="505">
        <v>2040866.39</v>
      </c>
      <c r="E452" s="544">
        <v>15835</v>
      </c>
      <c r="F452" s="544">
        <v>4216</v>
      </c>
      <c r="G452" s="545"/>
      <c r="I452" s="496"/>
      <c r="J452" s="497"/>
      <c r="K452" s="498"/>
    </row>
    <row r="453" spans="1:11" ht="15.75" x14ac:dyDescent="0.25">
      <c r="A453" s="491">
        <v>42194</v>
      </c>
      <c r="B453" s="499" t="s">
        <v>294</v>
      </c>
      <c r="C453" s="529">
        <v>341.80831999999998</v>
      </c>
      <c r="D453" s="505">
        <v>341808.32</v>
      </c>
      <c r="E453" s="544">
        <v>15835</v>
      </c>
      <c r="F453" s="544">
        <v>4216</v>
      </c>
      <c r="G453" s="545"/>
      <c r="I453" s="496"/>
      <c r="J453" s="497"/>
      <c r="K453" s="498"/>
    </row>
    <row r="454" spans="1:11" ht="15.75" x14ac:dyDescent="0.25">
      <c r="A454" s="491">
        <v>42205</v>
      </c>
      <c r="B454" s="499" t="s">
        <v>303</v>
      </c>
      <c r="C454" s="529">
        <v>331.81452999999999</v>
      </c>
      <c r="D454" s="505">
        <v>331814.53000000003</v>
      </c>
      <c r="E454" s="544">
        <v>15835</v>
      </c>
      <c r="F454" s="544">
        <v>4216</v>
      </c>
      <c r="G454" s="471"/>
      <c r="I454" s="496"/>
      <c r="J454" s="497"/>
      <c r="K454" s="498"/>
    </row>
    <row r="455" spans="1:11" ht="15.75" x14ac:dyDescent="0.25">
      <c r="A455" s="491">
        <v>42209</v>
      </c>
      <c r="B455" s="499" t="s">
        <v>329</v>
      </c>
      <c r="C455" s="529">
        <v>346.02866999999998</v>
      </c>
      <c r="D455" s="505">
        <v>346028.67</v>
      </c>
      <c r="E455" s="544">
        <v>15835</v>
      </c>
      <c r="F455" s="544">
        <v>4216</v>
      </c>
      <c r="G455" s="471"/>
      <c r="I455" s="496"/>
      <c r="J455" s="497"/>
      <c r="K455" s="498"/>
    </row>
    <row r="456" spans="1:11" ht="15.75" x14ac:dyDescent="0.25">
      <c r="A456" s="491">
        <v>42220</v>
      </c>
      <c r="B456" s="499" t="s">
        <v>343</v>
      </c>
      <c r="C456" s="529">
        <v>1231.53595</v>
      </c>
      <c r="D456" s="505">
        <v>1231535.95</v>
      </c>
      <c r="E456" s="544">
        <v>15835</v>
      </c>
      <c r="F456" s="544">
        <v>4216</v>
      </c>
      <c r="G456" s="471"/>
      <c r="I456" s="496"/>
      <c r="J456" s="497"/>
      <c r="K456" s="498"/>
    </row>
    <row r="457" spans="1:11" ht="15.75" x14ac:dyDescent="0.25">
      <c r="A457" s="491">
        <v>42222</v>
      </c>
      <c r="B457" s="499" t="s">
        <v>368</v>
      </c>
      <c r="C457" s="529">
        <v>3640.0515500000001</v>
      </c>
      <c r="D457" s="505">
        <v>3640051.55</v>
      </c>
      <c r="E457" s="544">
        <v>15835</v>
      </c>
      <c r="F457" s="544">
        <v>4216</v>
      </c>
      <c r="G457" s="471"/>
      <c r="I457" s="496"/>
      <c r="J457" s="497"/>
      <c r="K457" s="498"/>
    </row>
    <row r="458" spans="1:11" ht="15.75" x14ac:dyDescent="0.25">
      <c r="A458" s="491">
        <v>42223</v>
      </c>
      <c r="B458" s="499" t="s">
        <v>218</v>
      </c>
      <c r="C458" s="529">
        <v>131.02522999999999</v>
      </c>
      <c r="D458" s="505">
        <v>131025.23</v>
      </c>
      <c r="E458" s="544">
        <v>15835</v>
      </c>
      <c r="F458" s="544">
        <v>4216</v>
      </c>
      <c r="G458" s="471"/>
      <c r="I458" s="496"/>
      <c r="J458" s="497"/>
      <c r="K458" s="498"/>
    </row>
    <row r="459" spans="1:11" ht="15.75" x14ac:dyDescent="0.25">
      <c r="A459" s="491">
        <v>42251</v>
      </c>
      <c r="B459" s="499" t="s">
        <v>329</v>
      </c>
      <c r="C459" s="529">
        <v>5.1425000000000001</v>
      </c>
      <c r="D459" s="505">
        <v>5142.5</v>
      </c>
      <c r="E459" s="544">
        <v>15835</v>
      </c>
      <c r="F459" s="544">
        <v>4216</v>
      </c>
      <c r="G459" s="471"/>
      <c r="I459" s="496"/>
      <c r="J459" s="497"/>
      <c r="K459" s="498"/>
    </row>
    <row r="460" spans="1:11" ht="15.75" x14ac:dyDescent="0.25">
      <c r="A460" s="491">
        <v>42279</v>
      </c>
      <c r="B460" s="499" t="s">
        <v>232</v>
      </c>
      <c r="C460" s="529">
        <v>5.1425000000000001</v>
      </c>
      <c r="D460" s="505">
        <v>5142.5</v>
      </c>
      <c r="E460" s="544">
        <v>15835</v>
      </c>
      <c r="F460" s="544">
        <v>4216</v>
      </c>
      <c r="G460" s="471"/>
      <c r="I460" s="496"/>
      <c r="J460" s="497"/>
      <c r="K460" s="498"/>
    </row>
    <row r="461" spans="1:11" ht="15.75" x14ac:dyDescent="0.25">
      <c r="A461" s="491">
        <v>42279</v>
      </c>
      <c r="B461" s="499" t="s">
        <v>536</v>
      </c>
      <c r="C461" s="529">
        <v>181.87738999999999</v>
      </c>
      <c r="D461" s="505">
        <v>181877.39</v>
      </c>
      <c r="E461" s="544">
        <v>15835</v>
      </c>
      <c r="F461" s="544">
        <v>4216</v>
      </c>
      <c r="G461" s="471"/>
      <c r="I461" s="496"/>
      <c r="J461" s="497"/>
      <c r="K461" s="498"/>
    </row>
    <row r="462" spans="1:11" ht="15.75" x14ac:dyDescent="0.25">
      <c r="A462" s="491">
        <v>42285</v>
      </c>
      <c r="B462" s="499" t="s">
        <v>537</v>
      </c>
      <c r="C462" s="529">
        <v>381.30919999999998</v>
      </c>
      <c r="D462" s="505">
        <v>381309.2</v>
      </c>
      <c r="E462" s="544">
        <v>15828</v>
      </c>
      <c r="F462" s="544">
        <v>4216</v>
      </c>
      <c r="G462" s="471"/>
      <c r="I462" s="496"/>
      <c r="J462" s="497"/>
      <c r="K462" s="498"/>
    </row>
    <row r="463" spans="1:11" ht="15.75" x14ac:dyDescent="0.25">
      <c r="A463" s="491">
        <v>42285</v>
      </c>
      <c r="B463" s="499" t="s">
        <v>537</v>
      </c>
      <c r="C463" s="529">
        <v>6482.2565699999996</v>
      </c>
      <c r="D463" s="505">
        <v>6482256.5700000003</v>
      </c>
      <c r="E463" s="544">
        <v>15829</v>
      </c>
      <c r="F463" s="544">
        <v>4216</v>
      </c>
      <c r="G463" s="471"/>
      <c r="I463" s="496"/>
      <c r="J463" s="497"/>
      <c r="K463" s="498"/>
    </row>
    <row r="464" spans="1:11" ht="15.75" x14ac:dyDescent="0.25">
      <c r="A464" s="491">
        <v>42334</v>
      </c>
      <c r="B464" s="499" t="s">
        <v>615</v>
      </c>
      <c r="C464" s="529">
        <v>449.47395</v>
      </c>
      <c r="D464" s="505">
        <v>449473.95</v>
      </c>
      <c r="E464" s="544">
        <v>15827</v>
      </c>
      <c r="F464" s="544">
        <v>4216</v>
      </c>
      <c r="G464" s="471"/>
      <c r="I464" s="496"/>
      <c r="J464" s="497"/>
      <c r="K464" s="498"/>
    </row>
    <row r="465" spans="1:11" ht="15.75" x14ac:dyDescent="0.25">
      <c r="A465" s="491">
        <v>42335</v>
      </c>
      <c r="B465" s="499" t="s">
        <v>616</v>
      </c>
      <c r="C465" s="529">
        <v>1922.80963</v>
      </c>
      <c r="D465" s="505">
        <v>1922809.63</v>
      </c>
      <c r="E465" s="544">
        <v>15827</v>
      </c>
      <c r="F465" s="544">
        <v>4216</v>
      </c>
      <c r="G465" s="471"/>
      <c r="I465" s="496"/>
      <c r="J465" s="497"/>
      <c r="K465" s="498"/>
    </row>
    <row r="466" spans="1:11" ht="15.75" x14ac:dyDescent="0.25">
      <c r="A466" s="491">
        <v>42349</v>
      </c>
      <c r="B466" s="499" t="s">
        <v>671</v>
      </c>
      <c r="C466" s="529">
        <v>463.53671000000003</v>
      </c>
      <c r="D466" s="505">
        <v>463536.71</v>
      </c>
      <c r="E466" s="544">
        <v>15827</v>
      </c>
      <c r="F466" s="544">
        <v>4216</v>
      </c>
      <c r="G466" s="471"/>
      <c r="I466" s="496"/>
      <c r="J466" s="497"/>
      <c r="K466" s="498"/>
    </row>
    <row r="467" spans="1:11" ht="15.75" x14ac:dyDescent="0.25">
      <c r="A467" s="491">
        <v>42354</v>
      </c>
      <c r="B467" s="499" t="s">
        <v>655</v>
      </c>
      <c r="C467" s="529">
        <v>1733.0340799999999</v>
      </c>
      <c r="D467" s="569">
        <v>1733034.08</v>
      </c>
      <c r="E467" s="544">
        <v>15835</v>
      </c>
      <c r="F467" s="544">
        <v>4216</v>
      </c>
      <c r="G467" s="471"/>
      <c r="I467" s="496"/>
      <c r="J467" s="497"/>
      <c r="K467" s="498"/>
    </row>
    <row r="468" spans="1:11" ht="15.75" x14ac:dyDescent="0.25">
      <c r="A468" s="491">
        <v>42354</v>
      </c>
      <c r="B468" s="499" t="s">
        <v>656</v>
      </c>
      <c r="C468" s="529">
        <v>2572.0222399999998</v>
      </c>
      <c r="D468" s="569">
        <v>2572022.2400000002</v>
      </c>
      <c r="E468" s="544">
        <v>15835</v>
      </c>
      <c r="F468" s="544">
        <v>4216</v>
      </c>
      <c r="G468" s="471"/>
      <c r="I468" s="496"/>
      <c r="J468" s="497"/>
      <c r="K468" s="498"/>
    </row>
    <row r="469" spans="1:11" ht="15.75" x14ac:dyDescent="0.25">
      <c r="A469" s="491">
        <v>42354</v>
      </c>
      <c r="B469" s="499" t="s">
        <v>657</v>
      </c>
      <c r="C469" s="529">
        <v>1689.14258</v>
      </c>
      <c r="D469" s="569">
        <v>1689142.58</v>
      </c>
      <c r="E469" s="544">
        <v>15835</v>
      </c>
      <c r="F469" s="544">
        <v>4216</v>
      </c>
      <c r="G469" s="471"/>
      <c r="I469" s="496"/>
      <c r="J469" s="497"/>
      <c r="K469" s="498"/>
    </row>
    <row r="470" spans="1:11" ht="15.75" x14ac:dyDescent="0.25">
      <c r="A470" s="491">
        <v>42354</v>
      </c>
      <c r="B470" s="499" t="s">
        <v>537</v>
      </c>
      <c r="C470" s="529">
        <v>81.832679999999996</v>
      </c>
      <c r="D470" s="505">
        <v>81832.679999999993</v>
      </c>
      <c r="E470" s="544">
        <v>15828</v>
      </c>
      <c r="F470" s="544">
        <v>4216</v>
      </c>
      <c r="G470" s="471"/>
      <c r="I470" s="496"/>
      <c r="J470" s="497"/>
      <c r="K470" s="498"/>
    </row>
    <row r="471" spans="1:11" ht="15.75" x14ac:dyDescent="0.25">
      <c r="A471" s="491">
        <v>42354</v>
      </c>
      <c r="B471" s="499" t="s">
        <v>537</v>
      </c>
      <c r="C471" s="529">
        <v>1391.1556800000001</v>
      </c>
      <c r="D471" s="505">
        <v>1391155.68</v>
      </c>
      <c r="E471" s="544">
        <v>15829</v>
      </c>
      <c r="F471" s="544">
        <v>4216</v>
      </c>
      <c r="G471" s="471"/>
      <c r="I471" s="496"/>
      <c r="J471" s="497"/>
      <c r="K471" s="498"/>
    </row>
    <row r="472" spans="1:11" ht="15.75" x14ac:dyDescent="0.25">
      <c r="A472" s="491">
        <v>42354</v>
      </c>
      <c r="B472" s="499" t="s">
        <v>665</v>
      </c>
      <c r="C472" s="529">
        <v>42.706600000000002</v>
      </c>
      <c r="D472" s="569">
        <v>42706.6</v>
      </c>
      <c r="E472" s="544">
        <v>15835</v>
      </c>
      <c r="F472" s="544">
        <v>4216</v>
      </c>
      <c r="G472" s="471"/>
      <c r="I472" s="496"/>
      <c r="J472" s="497"/>
      <c r="K472" s="498"/>
    </row>
    <row r="473" spans="1:11" ht="15.75" x14ac:dyDescent="0.25">
      <c r="A473" s="491">
        <v>42354</v>
      </c>
      <c r="B473" s="499" t="s">
        <v>666</v>
      </c>
      <c r="C473" s="529">
        <v>1274.1558600000001</v>
      </c>
      <c r="D473" s="569">
        <v>1274155.8600000001</v>
      </c>
      <c r="E473" s="544">
        <v>15835</v>
      </c>
      <c r="F473" s="544">
        <v>4216</v>
      </c>
      <c r="G473" s="471"/>
      <c r="I473" s="496"/>
      <c r="J473" s="497"/>
      <c r="K473" s="498"/>
    </row>
    <row r="474" spans="1:11" ht="15.75" x14ac:dyDescent="0.25">
      <c r="A474" s="491">
        <v>42356</v>
      </c>
      <c r="B474" s="499" t="s">
        <v>631</v>
      </c>
      <c r="C474" s="529">
        <v>2457.1332499999999</v>
      </c>
      <c r="D474" s="569">
        <v>2457133.25</v>
      </c>
      <c r="E474" s="544">
        <v>15835</v>
      </c>
      <c r="F474" s="544">
        <v>4216</v>
      </c>
      <c r="G474" s="471"/>
      <c r="I474" s="496"/>
      <c r="J474" s="497"/>
      <c r="K474" s="498"/>
    </row>
    <row r="475" spans="1:11" ht="15.75" x14ac:dyDescent="0.25">
      <c r="A475" s="491">
        <v>42354</v>
      </c>
      <c r="B475" s="499" t="s">
        <v>667</v>
      </c>
      <c r="C475" s="529">
        <v>1052.0739000000001</v>
      </c>
      <c r="D475" s="569">
        <v>1052073.8999999999</v>
      </c>
      <c r="E475" s="544">
        <v>15835</v>
      </c>
      <c r="F475" s="544">
        <v>4216</v>
      </c>
      <c r="G475" s="471"/>
      <c r="I475" s="496"/>
      <c r="J475" s="497"/>
      <c r="K475" s="498"/>
    </row>
    <row r="476" spans="1:11" ht="15.75" x14ac:dyDescent="0.25">
      <c r="A476" s="491">
        <v>42354</v>
      </c>
      <c r="B476" s="499" t="s">
        <v>668</v>
      </c>
      <c r="C476" s="529">
        <v>3502.0890899999999</v>
      </c>
      <c r="D476" s="569">
        <v>3502089.09</v>
      </c>
      <c r="E476" s="544">
        <v>15835</v>
      </c>
      <c r="F476" s="544">
        <v>4216</v>
      </c>
      <c r="G476" s="471"/>
      <c r="I476" s="496"/>
      <c r="J476" s="497"/>
      <c r="K476" s="498"/>
    </row>
    <row r="477" spans="1:11" ht="15.75" x14ac:dyDescent="0.25">
      <c r="A477" s="491">
        <v>42355</v>
      </c>
      <c r="B477" s="499" t="s">
        <v>670</v>
      </c>
      <c r="C477" s="529">
        <v>6380.9737100000002</v>
      </c>
      <c r="D477" s="569">
        <v>6380973.71</v>
      </c>
      <c r="E477" s="544">
        <v>15835</v>
      </c>
      <c r="F477" s="544">
        <v>4216</v>
      </c>
      <c r="G477" s="471"/>
      <c r="I477" s="496"/>
      <c r="J477" s="497"/>
      <c r="K477" s="498"/>
    </row>
    <row r="478" spans="1:11" ht="15.75" x14ac:dyDescent="0.25">
      <c r="A478" s="491"/>
      <c r="B478" s="499" t="s">
        <v>380</v>
      </c>
      <c r="C478" s="500">
        <v>2130.9309899999998</v>
      </c>
      <c r="D478" s="570">
        <v>2130930.9900000002</v>
      </c>
      <c r="E478" s="544">
        <v>15835</v>
      </c>
      <c r="F478" s="544">
        <v>4216</v>
      </c>
      <c r="G478" s="503" t="s">
        <v>64</v>
      </c>
      <c r="I478" s="496">
        <v>2130930.9900000002</v>
      </c>
      <c r="J478" s="497"/>
      <c r="K478" s="498"/>
    </row>
    <row r="479" spans="1:11" ht="15.75" x14ac:dyDescent="0.25">
      <c r="A479" s="491"/>
      <c r="B479" s="499" t="s">
        <v>121</v>
      </c>
      <c r="C479" s="500">
        <v>16.574999999999999</v>
      </c>
      <c r="D479" s="500">
        <v>16575</v>
      </c>
      <c r="E479" s="544">
        <v>15835</v>
      </c>
      <c r="F479" s="544">
        <v>4216</v>
      </c>
      <c r="G479" s="471"/>
      <c r="I479" s="496"/>
      <c r="J479" s="497">
        <v>16575</v>
      </c>
      <c r="K479" s="498"/>
    </row>
    <row r="480" spans="1:11" ht="15.75" x14ac:dyDescent="0.25">
      <c r="A480" s="491"/>
      <c r="B480" s="499" t="s">
        <v>636</v>
      </c>
      <c r="C480" s="500">
        <v>1907.9431500000001</v>
      </c>
      <c r="D480" s="500">
        <v>1907943.15</v>
      </c>
      <c r="E480" s="544">
        <v>15835</v>
      </c>
      <c r="F480" s="544">
        <v>4216</v>
      </c>
      <c r="G480" s="471"/>
      <c r="I480" s="496"/>
      <c r="J480" s="497">
        <v>1907943.15</v>
      </c>
      <c r="K480" s="498"/>
    </row>
    <row r="481" spans="1:11" ht="15.75" x14ac:dyDescent="0.25">
      <c r="A481" s="491"/>
      <c r="B481" s="499" t="s">
        <v>502</v>
      </c>
      <c r="C481" s="500">
        <v>24.19134</v>
      </c>
      <c r="D481" s="569">
        <v>24191.34</v>
      </c>
      <c r="E481" s="544">
        <v>15835</v>
      </c>
      <c r="F481" s="544">
        <v>4216</v>
      </c>
      <c r="G481" s="471"/>
      <c r="I481" s="496"/>
      <c r="J481" s="497">
        <v>24191.34</v>
      </c>
      <c r="K481" s="498"/>
    </row>
    <row r="482" spans="1:11" ht="15.75" x14ac:dyDescent="0.25">
      <c r="A482" s="491"/>
      <c r="B482" s="499" t="s">
        <v>503</v>
      </c>
      <c r="C482" s="500">
        <v>1637.3125</v>
      </c>
      <c r="D482" s="569">
        <v>1637312.5</v>
      </c>
      <c r="E482" s="544">
        <v>15835</v>
      </c>
      <c r="F482" s="544">
        <v>4216</v>
      </c>
      <c r="G482" s="471"/>
      <c r="I482" s="496"/>
      <c r="J482" s="497">
        <v>1637312.5</v>
      </c>
      <c r="K482" s="498"/>
    </row>
    <row r="483" spans="1:11" ht="15.75" x14ac:dyDescent="0.25">
      <c r="A483" s="491"/>
      <c r="B483" s="499" t="s">
        <v>595</v>
      </c>
      <c r="C483" s="500">
        <v>118.55658</v>
      </c>
      <c r="D483" s="500">
        <v>118556.58</v>
      </c>
      <c r="E483" s="544">
        <v>15828</v>
      </c>
      <c r="F483" s="544">
        <v>4216</v>
      </c>
      <c r="G483" s="471"/>
      <c r="I483" s="496"/>
      <c r="J483" s="497">
        <v>118556.58</v>
      </c>
      <c r="K483" s="498"/>
    </row>
    <row r="484" spans="1:11" ht="15.75" x14ac:dyDescent="0.25">
      <c r="A484" s="491"/>
      <c r="B484" s="499" t="s">
        <v>595</v>
      </c>
      <c r="C484" s="500">
        <v>2015.4618599999999</v>
      </c>
      <c r="D484" s="500">
        <v>2015461.8599999999</v>
      </c>
      <c r="E484" s="544">
        <v>15829</v>
      </c>
      <c r="F484" s="544">
        <v>4216</v>
      </c>
      <c r="G484" s="471"/>
      <c r="I484" s="496"/>
      <c r="J484" s="497">
        <v>2015461.8599999999</v>
      </c>
      <c r="K484" s="498"/>
    </row>
    <row r="485" spans="1:11" ht="15.75" x14ac:dyDescent="0.25">
      <c r="A485" s="491"/>
      <c r="B485" s="499" t="s">
        <v>596</v>
      </c>
      <c r="C485" s="500">
        <v>93.687080000000009</v>
      </c>
      <c r="D485" s="500">
        <v>93687.08</v>
      </c>
      <c r="E485" s="544">
        <v>15828</v>
      </c>
      <c r="F485" s="544">
        <v>4216</v>
      </c>
      <c r="G485" s="471"/>
      <c r="I485" s="496"/>
      <c r="J485" s="497">
        <v>93687.08</v>
      </c>
      <c r="K485" s="498"/>
    </row>
    <row r="486" spans="1:11" ht="15.75" x14ac:dyDescent="0.25">
      <c r="A486" s="491"/>
      <c r="B486" s="499" t="s">
        <v>596</v>
      </c>
      <c r="C486" s="500">
        <v>1592.68039</v>
      </c>
      <c r="D486" s="500">
        <v>1592680.39</v>
      </c>
      <c r="E486" s="544">
        <v>15829</v>
      </c>
      <c r="F486" s="544">
        <v>4216</v>
      </c>
      <c r="G486" s="471"/>
      <c r="I486" s="496"/>
      <c r="J486" s="497">
        <v>1592680.39</v>
      </c>
      <c r="K486" s="498"/>
    </row>
    <row r="487" spans="1:11" ht="15.75" x14ac:dyDescent="0.25">
      <c r="A487" s="491"/>
      <c r="B487" s="499" t="s">
        <v>645</v>
      </c>
      <c r="C487" s="500">
        <v>5410.0392700000002</v>
      </c>
      <c r="D487" s="569">
        <v>5410039.2699999996</v>
      </c>
      <c r="E487" s="544">
        <v>15835</v>
      </c>
      <c r="F487" s="544">
        <v>4216</v>
      </c>
      <c r="G487" s="471"/>
      <c r="I487" s="496"/>
      <c r="J487" s="497">
        <v>5410039.2699999996</v>
      </c>
      <c r="K487" s="498"/>
    </row>
    <row r="488" spans="1:11" ht="15.75" x14ac:dyDescent="0.25">
      <c r="A488" s="491"/>
      <c r="B488" s="499" t="s">
        <v>624</v>
      </c>
      <c r="C488" s="500">
        <v>3741.9147899999998</v>
      </c>
      <c r="D488" s="569">
        <v>3741914.79</v>
      </c>
      <c r="E488" s="544">
        <v>15835</v>
      </c>
      <c r="F488" s="544">
        <v>4216</v>
      </c>
      <c r="G488" s="471"/>
      <c r="I488" s="496"/>
      <c r="J488" s="497">
        <v>3741914.79</v>
      </c>
      <c r="K488" s="498"/>
    </row>
    <row r="489" spans="1:11" ht="15.75" x14ac:dyDescent="0.25">
      <c r="A489" s="491"/>
      <c r="B489" s="499" t="s">
        <v>538</v>
      </c>
      <c r="C489" s="500">
        <v>808.39481999999998</v>
      </c>
      <c r="D489" s="500">
        <v>808394.82</v>
      </c>
      <c r="E489" s="544">
        <v>15827</v>
      </c>
      <c r="F489" s="544">
        <v>4216</v>
      </c>
      <c r="G489" s="471"/>
      <c r="I489" s="496"/>
      <c r="J489" s="497">
        <v>808394.82</v>
      </c>
      <c r="K489" s="498"/>
    </row>
    <row r="490" spans="1:11" ht="15.75" x14ac:dyDescent="0.25">
      <c r="A490" s="491"/>
      <c r="B490" s="499" t="s">
        <v>630</v>
      </c>
      <c r="C490" s="500">
        <v>1375.3473100000001</v>
      </c>
      <c r="D490" s="505">
        <v>1375347.31</v>
      </c>
      <c r="E490" s="544">
        <v>15835</v>
      </c>
      <c r="F490" s="544">
        <v>4216</v>
      </c>
      <c r="G490" s="471"/>
      <c r="I490" s="496"/>
      <c r="J490" s="497">
        <v>1375347.31</v>
      </c>
      <c r="K490" s="498"/>
    </row>
    <row r="491" spans="1:11" ht="15.75" x14ac:dyDescent="0.25">
      <c r="A491" s="491"/>
      <c r="B491" s="499" t="s">
        <v>284</v>
      </c>
      <c r="C491" s="500">
        <v>11555.599999999999</v>
      </c>
      <c r="D491" s="569">
        <v>11555600</v>
      </c>
      <c r="E491" s="544">
        <v>15835</v>
      </c>
      <c r="F491" s="544">
        <v>4216</v>
      </c>
      <c r="G491" s="503"/>
      <c r="I491" s="496"/>
      <c r="J491" s="497">
        <v>11555600</v>
      </c>
      <c r="K491" s="498"/>
    </row>
    <row r="492" spans="1:11" ht="15.75" x14ac:dyDescent="0.25">
      <c r="A492" s="491"/>
      <c r="B492" s="499" t="s">
        <v>637</v>
      </c>
      <c r="C492" s="500">
        <v>94.424949999999995</v>
      </c>
      <c r="D492" s="500">
        <v>94424.95</v>
      </c>
      <c r="E492" s="544">
        <v>15828</v>
      </c>
      <c r="F492" s="544">
        <v>4216</v>
      </c>
      <c r="G492" s="503"/>
      <c r="I492" s="496"/>
      <c r="J492" s="497">
        <v>94424.95</v>
      </c>
      <c r="K492" s="498"/>
    </row>
    <row r="493" spans="1:11" ht="15.75" x14ac:dyDescent="0.25">
      <c r="A493" s="491"/>
      <c r="B493" s="499" t="s">
        <v>637</v>
      </c>
      <c r="C493" s="500">
        <v>1605.22415</v>
      </c>
      <c r="D493" s="500">
        <v>1605224.15</v>
      </c>
      <c r="E493" s="544">
        <v>15829</v>
      </c>
      <c r="F493" s="544">
        <v>4216</v>
      </c>
      <c r="G493" s="503"/>
      <c r="I493" s="496"/>
      <c r="J493" s="497">
        <v>1605224.15</v>
      </c>
      <c r="K493" s="498"/>
    </row>
    <row r="494" spans="1:11" ht="15.75" x14ac:dyDescent="0.25">
      <c r="A494" s="491"/>
      <c r="B494" s="499" t="s">
        <v>638</v>
      </c>
      <c r="C494" s="500">
        <v>91.780799999999999</v>
      </c>
      <c r="D494" s="500">
        <v>91780.800000000003</v>
      </c>
      <c r="E494" s="544">
        <v>15828</v>
      </c>
      <c r="F494" s="544">
        <v>4216</v>
      </c>
      <c r="G494" s="503"/>
      <c r="I494" s="496"/>
      <c r="J494" s="497">
        <v>91780.800000000003</v>
      </c>
      <c r="K494" s="498"/>
    </row>
    <row r="495" spans="1:11" ht="15.75" x14ac:dyDescent="0.25">
      <c r="A495" s="491"/>
      <c r="B495" s="499" t="s">
        <v>638</v>
      </c>
      <c r="C495" s="500">
        <v>1560.2736</v>
      </c>
      <c r="D495" s="500">
        <v>1560273.6</v>
      </c>
      <c r="E495" s="544">
        <v>15829</v>
      </c>
      <c r="F495" s="544">
        <v>4216</v>
      </c>
      <c r="G495" s="503"/>
      <c r="I495" s="496"/>
      <c r="J495" s="497">
        <v>1560273.6</v>
      </c>
      <c r="K495" s="498"/>
    </row>
    <row r="496" spans="1:11" ht="15.75" x14ac:dyDescent="0.25">
      <c r="A496" s="491"/>
      <c r="B496" s="499" t="s">
        <v>639</v>
      </c>
      <c r="C496" s="500">
        <v>94.275679999999994</v>
      </c>
      <c r="D496" s="500">
        <v>94275.68</v>
      </c>
      <c r="E496" s="544">
        <v>15828</v>
      </c>
      <c r="F496" s="544">
        <v>4216</v>
      </c>
      <c r="G496" s="503"/>
      <c r="I496" s="496"/>
      <c r="J496" s="497">
        <v>94275.68</v>
      </c>
      <c r="K496" s="498"/>
    </row>
    <row r="497" spans="1:11" ht="15.75" x14ac:dyDescent="0.25">
      <c r="A497" s="491"/>
      <c r="B497" s="499" t="s">
        <v>639</v>
      </c>
      <c r="C497" s="500">
        <v>1602.68685</v>
      </c>
      <c r="D497" s="500">
        <v>1602686.85</v>
      </c>
      <c r="E497" s="544">
        <v>15829</v>
      </c>
      <c r="F497" s="544">
        <v>4216</v>
      </c>
      <c r="G497" s="503"/>
      <c r="I497" s="496"/>
      <c r="J497" s="497">
        <v>1602686.85</v>
      </c>
      <c r="K497" s="498"/>
    </row>
    <row r="498" spans="1:11" ht="15.75" x14ac:dyDescent="0.25">
      <c r="A498" s="491"/>
      <c r="B498" s="499" t="s">
        <v>499</v>
      </c>
      <c r="C498" s="500">
        <v>5.1425000000000001</v>
      </c>
      <c r="D498" s="569">
        <v>5142.5</v>
      </c>
      <c r="E498" s="544">
        <v>15835</v>
      </c>
      <c r="F498" s="544">
        <v>4216</v>
      </c>
      <c r="G498" s="503"/>
      <c r="I498" s="496"/>
      <c r="J498" s="497">
        <v>5142.5</v>
      </c>
      <c r="K498" s="498"/>
    </row>
    <row r="499" spans="1:11" ht="15.75" x14ac:dyDescent="0.25">
      <c r="A499" s="491"/>
      <c r="B499" s="499" t="s">
        <v>360</v>
      </c>
      <c r="C499" s="500">
        <v>159.6232</v>
      </c>
      <c r="D499" s="569">
        <v>159623.20000000001</v>
      </c>
      <c r="E499" s="544">
        <v>15835</v>
      </c>
      <c r="F499" s="544">
        <v>4216</v>
      </c>
      <c r="G499" s="471"/>
      <c r="I499" s="496"/>
      <c r="J499" s="497">
        <v>159623.20000000001</v>
      </c>
      <c r="K499" s="498"/>
    </row>
    <row r="500" spans="1:11" ht="15.75" x14ac:dyDescent="0.25">
      <c r="A500" s="491"/>
      <c r="B500" s="499" t="s">
        <v>228</v>
      </c>
      <c r="C500" s="500">
        <v>36.125</v>
      </c>
      <c r="D500" s="569">
        <v>36125</v>
      </c>
      <c r="E500" s="544">
        <v>15835</v>
      </c>
      <c r="F500" s="544">
        <v>4216</v>
      </c>
      <c r="G500" s="471"/>
      <c r="I500" s="496"/>
      <c r="J500" s="497">
        <v>36125</v>
      </c>
      <c r="K500" s="498"/>
    </row>
    <row r="501" spans="1:11" ht="15.75" x14ac:dyDescent="0.25">
      <c r="A501" s="491"/>
      <c r="B501" s="499" t="s">
        <v>230</v>
      </c>
      <c r="C501" s="500">
        <v>59.499980000000001</v>
      </c>
      <c r="D501" s="569">
        <v>59499.98</v>
      </c>
      <c r="E501" s="544">
        <v>15835</v>
      </c>
      <c r="F501" s="544">
        <v>4216</v>
      </c>
      <c r="G501" s="471"/>
      <c r="I501" s="496"/>
      <c r="J501" s="497">
        <v>59499.98</v>
      </c>
      <c r="K501" s="498"/>
    </row>
    <row r="502" spans="1:11" ht="15.75" x14ac:dyDescent="0.25">
      <c r="A502" s="491"/>
      <c r="B502" s="499" t="s">
        <v>504</v>
      </c>
      <c r="C502" s="500">
        <v>1321.5131100000001</v>
      </c>
      <c r="D502" s="569">
        <v>1321513.1100000001</v>
      </c>
      <c r="E502" s="544">
        <v>15835</v>
      </c>
      <c r="F502" s="544">
        <v>4216</v>
      </c>
      <c r="G502" s="503"/>
      <c r="I502" s="496"/>
      <c r="J502" s="497">
        <v>1321513.1100000001</v>
      </c>
      <c r="K502" s="498"/>
    </row>
    <row r="503" spans="1:11" ht="15.75" x14ac:dyDescent="0.25">
      <c r="A503" s="491"/>
      <c r="B503" s="499" t="s">
        <v>608</v>
      </c>
      <c r="C503" s="539">
        <v>1159.63302</v>
      </c>
      <c r="D503" s="569">
        <v>1159633.02</v>
      </c>
      <c r="E503" s="544">
        <v>15835</v>
      </c>
      <c r="F503" s="544">
        <v>4216</v>
      </c>
      <c r="G503" s="471"/>
      <c r="I503" s="496"/>
      <c r="J503" s="497">
        <v>1159633.02</v>
      </c>
      <c r="K503" s="498"/>
    </row>
    <row r="504" spans="1:11" ht="15.75" x14ac:dyDescent="0.25">
      <c r="A504" s="491"/>
      <c r="B504" s="499" t="s">
        <v>642</v>
      </c>
      <c r="C504" s="539">
        <v>635.18245000000002</v>
      </c>
      <c r="D504" s="500">
        <v>635182.44999999995</v>
      </c>
      <c r="E504" s="544">
        <v>15827</v>
      </c>
      <c r="F504" s="544">
        <v>4216</v>
      </c>
      <c r="G504" s="471"/>
      <c r="I504" s="496"/>
      <c r="J504" s="497">
        <v>635182.44999999995</v>
      </c>
      <c r="K504" s="498"/>
    </row>
    <row r="505" spans="1:11" ht="15.75" x14ac:dyDescent="0.25">
      <c r="A505" s="491"/>
      <c r="B505" s="533"/>
      <c r="C505" s="505"/>
      <c r="D505" s="505"/>
      <c r="E505" s="544"/>
      <c r="F505" s="544"/>
      <c r="G505" s="471"/>
      <c r="I505" s="496"/>
      <c r="J505" s="497"/>
      <c r="K505" s="498"/>
    </row>
    <row r="506" spans="1:11" ht="15.75" x14ac:dyDescent="0.25">
      <c r="A506" s="491"/>
      <c r="B506" s="523" t="s">
        <v>91</v>
      </c>
      <c r="C506" s="524">
        <v>38835.1636</v>
      </c>
      <c r="D506" s="524">
        <v>38835163.599999994</v>
      </c>
      <c r="E506" s="544"/>
      <c r="F506" s="544"/>
      <c r="G506" s="471"/>
      <c r="I506" s="496"/>
      <c r="J506" s="497"/>
      <c r="K506" s="498"/>
    </row>
    <row r="507" spans="1:11" ht="15.75" x14ac:dyDescent="0.25">
      <c r="A507" s="491">
        <v>42034</v>
      </c>
      <c r="B507" s="533" t="s">
        <v>103</v>
      </c>
      <c r="C507" s="505">
        <v>4395.5924400000004</v>
      </c>
      <c r="D507" s="505">
        <v>4395592.4400000004</v>
      </c>
      <c r="E507" s="544">
        <v>17871</v>
      </c>
      <c r="F507" s="544">
        <v>4216</v>
      </c>
      <c r="G507" s="471"/>
      <c r="I507" s="496"/>
      <c r="J507" s="497"/>
      <c r="K507" s="498"/>
    </row>
    <row r="508" spans="1:11" ht="15.75" x14ac:dyDescent="0.25">
      <c r="A508" s="491">
        <v>42034</v>
      </c>
      <c r="B508" s="533" t="s">
        <v>103</v>
      </c>
      <c r="C508" s="505">
        <v>775.69277999999997</v>
      </c>
      <c r="D508" s="505">
        <v>775692.78</v>
      </c>
      <c r="E508" s="544">
        <v>17870</v>
      </c>
      <c r="F508" s="544">
        <v>4216</v>
      </c>
      <c r="G508" s="471"/>
      <c r="I508" s="496"/>
      <c r="J508" s="497"/>
      <c r="K508" s="498"/>
    </row>
    <row r="509" spans="1:11" ht="15.75" x14ac:dyDescent="0.25">
      <c r="A509" s="491">
        <v>42151</v>
      </c>
      <c r="B509" s="533" t="s">
        <v>220</v>
      </c>
      <c r="C509" s="505">
        <v>22777.845359999999</v>
      </c>
      <c r="D509" s="505">
        <v>22777845.359999999</v>
      </c>
      <c r="E509" s="544">
        <v>17871</v>
      </c>
      <c r="F509" s="544">
        <v>4216</v>
      </c>
      <c r="G509" s="471"/>
      <c r="I509" s="496"/>
      <c r="J509" s="497"/>
      <c r="K509" s="498"/>
    </row>
    <row r="510" spans="1:11" ht="15.75" x14ac:dyDescent="0.25">
      <c r="A510" s="491">
        <v>42250</v>
      </c>
      <c r="B510" s="533" t="s">
        <v>419</v>
      </c>
      <c r="C510" s="505">
        <v>1153.07475</v>
      </c>
      <c r="D510" s="505">
        <v>1153074.75</v>
      </c>
      <c r="E510" s="544">
        <v>17870</v>
      </c>
      <c r="F510" s="544">
        <v>4216</v>
      </c>
      <c r="G510" s="471"/>
      <c r="I510" s="496"/>
      <c r="J510" s="497"/>
      <c r="K510" s="498"/>
    </row>
    <row r="511" spans="1:11" ht="15.75" x14ac:dyDescent="0.25">
      <c r="A511" s="491">
        <v>42250</v>
      </c>
      <c r="B511" s="533" t="s">
        <v>419</v>
      </c>
      <c r="C511" s="505">
        <v>6534.0902699999997</v>
      </c>
      <c r="D511" s="505">
        <v>6534090.2699999996</v>
      </c>
      <c r="E511" s="544">
        <v>17871</v>
      </c>
      <c r="F511" s="544">
        <v>4216</v>
      </c>
      <c r="G511" s="471"/>
      <c r="I511" s="496"/>
      <c r="J511" s="497"/>
      <c r="K511" s="498"/>
    </row>
    <row r="512" spans="1:11" ht="15.75" x14ac:dyDescent="0.25">
      <c r="A512" s="491"/>
      <c r="B512" s="533" t="s">
        <v>541</v>
      </c>
      <c r="C512" s="500">
        <v>3198.8679999999999</v>
      </c>
      <c r="D512" s="500">
        <v>3198868</v>
      </c>
      <c r="E512" s="544">
        <v>17880</v>
      </c>
      <c r="F512" s="544">
        <v>4216</v>
      </c>
      <c r="G512" s="503"/>
      <c r="I512" s="496"/>
      <c r="J512" s="497">
        <v>3198868</v>
      </c>
      <c r="K512" s="498"/>
    </row>
    <row r="513" spans="1:11" ht="15.75" x14ac:dyDescent="0.25">
      <c r="A513" s="491"/>
      <c r="B513" s="533"/>
      <c r="C513" s="505"/>
      <c r="D513" s="505"/>
      <c r="E513" s="544"/>
      <c r="F513" s="544"/>
      <c r="G513" s="471"/>
      <c r="I513" s="496"/>
      <c r="J513" s="497"/>
      <c r="K513" s="498"/>
    </row>
    <row r="514" spans="1:11" ht="15.75" x14ac:dyDescent="0.25">
      <c r="A514" s="491"/>
      <c r="B514" s="538" t="s">
        <v>149</v>
      </c>
      <c r="C514" s="524">
        <v>450</v>
      </c>
      <c r="D514" s="524">
        <v>450000</v>
      </c>
      <c r="E514" s="544"/>
      <c r="F514" s="544"/>
      <c r="G514" s="471"/>
      <c r="I514" s="496"/>
      <c r="J514" s="497"/>
      <c r="K514" s="498"/>
    </row>
    <row r="515" spans="1:11" ht="15.75" x14ac:dyDescent="0.25">
      <c r="A515" s="491">
        <v>42121</v>
      </c>
      <c r="B515" s="533" t="s">
        <v>155</v>
      </c>
      <c r="C515" s="505">
        <v>450</v>
      </c>
      <c r="D515" s="505">
        <v>450000</v>
      </c>
      <c r="E515" s="544">
        <v>35674</v>
      </c>
      <c r="F515" s="544">
        <v>4216</v>
      </c>
      <c r="G515" s="471"/>
      <c r="I515" s="496"/>
      <c r="J515" s="497"/>
      <c r="K515" s="498"/>
    </row>
    <row r="516" spans="1:11" ht="15.75" x14ac:dyDescent="0.25">
      <c r="A516" s="491"/>
      <c r="B516" s="492"/>
      <c r="C516" s="524"/>
      <c r="D516" s="524"/>
      <c r="E516" s="544"/>
      <c r="F516" s="544"/>
      <c r="G516" s="471"/>
      <c r="I516" s="496"/>
      <c r="J516" s="497"/>
      <c r="K516" s="498"/>
    </row>
    <row r="517" spans="1:11" ht="15.75" x14ac:dyDescent="0.25">
      <c r="A517" s="491"/>
      <c r="B517" s="492" t="s">
        <v>48</v>
      </c>
      <c r="C517" s="524">
        <v>6388.9557999999997</v>
      </c>
      <c r="D517" s="524">
        <v>6388955.7999999998</v>
      </c>
      <c r="E517" s="544"/>
      <c r="F517" s="544"/>
      <c r="G517" s="471"/>
      <c r="I517" s="496"/>
      <c r="J517" s="497"/>
      <c r="K517" s="498"/>
    </row>
    <row r="518" spans="1:11" ht="15.75" x14ac:dyDescent="0.25">
      <c r="A518" s="491">
        <v>42356</v>
      </c>
      <c r="B518" s="534" t="s">
        <v>202</v>
      </c>
      <c r="C518" s="505">
        <v>218.95579999999998</v>
      </c>
      <c r="D518" s="505">
        <v>218955.8</v>
      </c>
      <c r="E518" s="544">
        <v>33926</v>
      </c>
      <c r="F518" s="544">
        <v>4222</v>
      </c>
      <c r="G518" s="471"/>
      <c r="I518" s="496"/>
      <c r="J518" s="497"/>
      <c r="K518" s="498"/>
    </row>
    <row r="519" spans="1:11" ht="15.75" x14ac:dyDescent="0.25">
      <c r="A519" s="491"/>
      <c r="B519" s="571" t="s">
        <v>308</v>
      </c>
      <c r="C519" s="500">
        <v>200</v>
      </c>
      <c r="D519" s="549">
        <v>200000</v>
      </c>
      <c r="E519" s="544">
        <v>551</v>
      </c>
      <c r="F519" s="544">
        <v>4222</v>
      </c>
      <c r="G519" s="471"/>
      <c r="I519" s="496"/>
      <c r="J519" s="497">
        <v>200000</v>
      </c>
      <c r="K519" s="550"/>
    </row>
    <row r="520" spans="1:11" ht="15.75" x14ac:dyDescent="0.25">
      <c r="A520" s="491"/>
      <c r="B520" s="571" t="s">
        <v>305</v>
      </c>
      <c r="C520" s="500">
        <v>500</v>
      </c>
      <c r="D520" s="549">
        <v>500000</v>
      </c>
      <c r="E520" s="544">
        <v>551</v>
      </c>
      <c r="F520" s="544">
        <v>4222</v>
      </c>
      <c r="G520" s="471"/>
      <c r="I520" s="496"/>
      <c r="J520" s="497">
        <v>500000</v>
      </c>
      <c r="K520" s="550"/>
    </row>
    <row r="521" spans="1:11" ht="15.75" x14ac:dyDescent="0.25">
      <c r="A521" s="491"/>
      <c r="B521" s="571" t="s">
        <v>312</v>
      </c>
      <c r="C521" s="500">
        <v>90</v>
      </c>
      <c r="D521" s="549">
        <v>90000</v>
      </c>
      <c r="E521" s="544">
        <v>551</v>
      </c>
      <c r="F521" s="544">
        <v>4222</v>
      </c>
      <c r="G521" s="471"/>
      <c r="I521" s="496"/>
      <c r="J521" s="497">
        <v>90000</v>
      </c>
      <c r="K521" s="550"/>
    </row>
    <row r="522" spans="1:11" ht="15.75" x14ac:dyDescent="0.25">
      <c r="A522" s="491"/>
      <c r="B522" s="571" t="s">
        <v>676</v>
      </c>
      <c r="C522" s="500">
        <v>1850</v>
      </c>
      <c r="D522" s="549">
        <v>1850000</v>
      </c>
      <c r="E522" s="544">
        <v>341</v>
      </c>
      <c r="F522" s="544">
        <v>4222</v>
      </c>
      <c r="G522" s="528" t="s">
        <v>64</v>
      </c>
      <c r="I522" s="496">
        <v>1850000</v>
      </c>
      <c r="J522" s="497"/>
      <c r="K522" s="550"/>
    </row>
    <row r="523" spans="1:11" ht="15.75" x14ac:dyDescent="0.25">
      <c r="A523" s="491"/>
      <c r="B523" s="571" t="s">
        <v>659</v>
      </c>
      <c r="C523" s="500">
        <v>250</v>
      </c>
      <c r="D523" s="549">
        <v>250000</v>
      </c>
      <c r="E523" s="544">
        <v>551</v>
      </c>
      <c r="F523" s="544">
        <v>4222</v>
      </c>
      <c r="G523" s="471"/>
      <c r="I523" s="496"/>
      <c r="J523" s="497">
        <v>250000</v>
      </c>
      <c r="K523" s="550"/>
    </row>
    <row r="524" spans="1:11" ht="15.75" x14ac:dyDescent="0.25">
      <c r="A524" s="491"/>
      <c r="B524" s="571" t="s">
        <v>658</v>
      </c>
      <c r="C524" s="500">
        <v>500</v>
      </c>
      <c r="D524" s="549">
        <v>500000</v>
      </c>
      <c r="E524" s="544">
        <v>551</v>
      </c>
      <c r="F524" s="544">
        <v>4222</v>
      </c>
      <c r="G524" s="471"/>
      <c r="I524" s="496"/>
      <c r="J524" s="497">
        <v>500000</v>
      </c>
      <c r="K524" s="550"/>
    </row>
    <row r="525" spans="1:11" ht="15.75" x14ac:dyDescent="0.25">
      <c r="A525" s="491"/>
      <c r="B525" s="571" t="s">
        <v>306</v>
      </c>
      <c r="C525" s="500">
        <v>300</v>
      </c>
      <c r="D525" s="549">
        <v>300000</v>
      </c>
      <c r="E525" s="544">
        <v>551</v>
      </c>
      <c r="F525" s="544">
        <v>4222</v>
      </c>
      <c r="G525" s="471"/>
      <c r="I525" s="496"/>
      <c r="J525" s="497">
        <v>300000</v>
      </c>
      <c r="K525" s="550"/>
    </row>
    <row r="526" spans="1:11" ht="15.75" x14ac:dyDescent="0.25">
      <c r="A526" s="491"/>
      <c r="B526" s="571" t="s">
        <v>313</v>
      </c>
      <c r="C526" s="500">
        <v>700</v>
      </c>
      <c r="D526" s="549">
        <v>700000</v>
      </c>
      <c r="E526" s="544">
        <v>551</v>
      </c>
      <c r="F526" s="544">
        <v>4222</v>
      </c>
      <c r="G526" s="471"/>
      <c r="I526" s="496"/>
      <c r="J526" s="497">
        <v>700000</v>
      </c>
      <c r="K526" s="550"/>
    </row>
    <row r="527" spans="1:11" ht="15.75" x14ac:dyDescent="0.25">
      <c r="A527" s="491"/>
      <c r="B527" s="571" t="s">
        <v>302</v>
      </c>
      <c r="C527" s="543">
        <v>30</v>
      </c>
      <c r="D527" s="549">
        <v>30000</v>
      </c>
      <c r="E527" s="544">
        <v>433</v>
      </c>
      <c r="F527" s="544">
        <v>4222</v>
      </c>
      <c r="G527" s="471"/>
      <c r="I527" s="496"/>
      <c r="J527" s="497">
        <v>30000</v>
      </c>
      <c r="K527" s="498"/>
    </row>
    <row r="528" spans="1:11" ht="15.75" x14ac:dyDescent="0.25">
      <c r="A528" s="491"/>
      <c r="B528" s="571" t="s">
        <v>561</v>
      </c>
      <c r="C528" s="500">
        <v>350</v>
      </c>
      <c r="D528" s="549">
        <v>350000</v>
      </c>
      <c r="E528" s="544">
        <v>439</v>
      </c>
      <c r="F528" s="544">
        <v>4222</v>
      </c>
      <c r="G528" s="528" t="s">
        <v>64</v>
      </c>
      <c r="I528" s="496">
        <v>350000</v>
      </c>
      <c r="J528" s="497"/>
      <c r="K528" s="498"/>
    </row>
    <row r="529" spans="1:11" ht="15.75" x14ac:dyDescent="0.25">
      <c r="A529" s="491"/>
      <c r="B529" s="571" t="s">
        <v>660</v>
      </c>
      <c r="C529" s="500">
        <v>1000</v>
      </c>
      <c r="D529" s="549">
        <v>1000000</v>
      </c>
      <c r="E529" s="544">
        <v>311</v>
      </c>
      <c r="F529" s="544">
        <v>4222</v>
      </c>
      <c r="G529" s="528" t="s">
        <v>64</v>
      </c>
      <c r="I529" s="496">
        <v>1000000</v>
      </c>
      <c r="J529" s="497"/>
      <c r="K529" s="498"/>
    </row>
    <row r="530" spans="1:11" ht="15.75" x14ac:dyDescent="0.25">
      <c r="A530" s="491"/>
      <c r="B530" s="571" t="s">
        <v>307</v>
      </c>
      <c r="C530" s="500">
        <v>400</v>
      </c>
      <c r="D530" s="549">
        <v>400000</v>
      </c>
      <c r="E530" s="544">
        <v>551</v>
      </c>
      <c r="F530" s="544">
        <v>4222</v>
      </c>
      <c r="G530" s="471"/>
      <c r="I530" s="496"/>
      <c r="J530" s="497">
        <v>400000</v>
      </c>
      <c r="K530" s="550"/>
    </row>
    <row r="531" spans="1:11" ht="15.75" x14ac:dyDescent="0.25">
      <c r="A531" s="491"/>
      <c r="B531" s="533"/>
      <c r="C531" s="529"/>
      <c r="D531" s="546"/>
      <c r="E531" s="501"/>
      <c r="F531" s="544"/>
      <c r="G531" s="471"/>
      <c r="I531" s="496"/>
      <c r="J531" s="497"/>
      <c r="K531" s="498"/>
    </row>
    <row r="532" spans="1:11" ht="15.75" x14ac:dyDescent="0.25">
      <c r="A532" s="491"/>
      <c r="B532" s="538" t="s">
        <v>50</v>
      </c>
      <c r="C532" s="506">
        <v>208449.826</v>
      </c>
      <c r="D532" s="506">
        <v>208449826</v>
      </c>
      <c r="E532" s="544"/>
      <c r="F532" s="544"/>
      <c r="G532" s="471"/>
      <c r="I532" s="496"/>
      <c r="J532" s="497"/>
      <c r="K532" s="498"/>
    </row>
    <row r="533" spans="1:11" ht="15.75" x14ac:dyDescent="0.25">
      <c r="A533" s="491">
        <v>42073</v>
      </c>
      <c r="B533" s="533" t="s">
        <v>112</v>
      </c>
      <c r="C533" s="505">
        <v>24568.326000000001</v>
      </c>
      <c r="D533" s="505">
        <v>24568326</v>
      </c>
      <c r="E533" s="544">
        <v>86505</v>
      </c>
      <c r="F533" s="544">
        <v>4223</v>
      </c>
      <c r="G533" s="471"/>
      <c r="I533" s="496"/>
      <c r="J533" s="497"/>
      <c r="K533" s="498"/>
    </row>
    <row r="534" spans="1:11" ht="15.75" x14ac:dyDescent="0.25">
      <c r="A534" s="491">
        <v>42073</v>
      </c>
      <c r="B534" s="533" t="s">
        <v>112</v>
      </c>
      <c r="C534" s="505">
        <v>2167.7934799999998</v>
      </c>
      <c r="D534" s="505">
        <v>2167793.48</v>
      </c>
      <c r="E534" s="544">
        <v>86501</v>
      </c>
      <c r="F534" s="544">
        <v>4223</v>
      </c>
      <c r="G534" s="471"/>
      <c r="I534" s="496"/>
      <c r="J534" s="497"/>
      <c r="K534" s="498"/>
    </row>
    <row r="535" spans="1:11" ht="15.75" x14ac:dyDescent="0.25">
      <c r="A535" s="491">
        <v>42087</v>
      </c>
      <c r="B535" s="522" t="s">
        <v>123</v>
      </c>
      <c r="C535" s="535">
        <v>17507.565600000002</v>
      </c>
      <c r="D535" s="535">
        <v>17507565.600000001</v>
      </c>
      <c r="E535" s="501">
        <v>86505</v>
      </c>
      <c r="F535" s="544">
        <v>4223</v>
      </c>
      <c r="G535" s="471"/>
      <c r="I535" s="496"/>
      <c r="J535" s="497"/>
      <c r="K535" s="498"/>
    </row>
    <row r="536" spans="1:11" ht="15.75" x14ac:dyDescent="0.25">
      <c r="A536" s="491">
        <v>42101</v>
      </c>
      <c r="B536" s="522" t="s">
        <v>138</v>
      </c>
      <c r="C536" s="535">
        <v>3893.92481</v>
      </c>
      <c r="D536" s="535">
        <v>3893924.81</v>
      </c>
      <c r="E536" s="501">
        <v>86505</v>
      </c>
      <c r="F536" s="544">
        <v>4223</v>
      </c>
      <c r="G536" s="471"/>
      <c r="I536" s="496"/>
      <c r="J536" s="497"/>
      <c r="K536" s="498"/>
    </row>
    <row r="537" spans="1:11" ht="15.75" x14ac:dyDescent="0.25">
      <c r="A537" s="491">
        <v>42122</v>
      </c>
      <c r="B537" s="522" t="s">
        <v>152</v>
      </c>
      <c r="C537" s="535">
        <v>4191.1944100000001</v>
      </c>
      <c r="D537" s="535">
        <v>4191194.41</v>
      </c>
      <c r="E537" s="501">
        <v>86505</v>
      </c>
      <c r="F537" s="544">
        <v>4223</v>
      </c>
      <c r="G537" s="471"/>
      <c r="I537" s="496"/>
      <c r="J537" s="497"/>
      <c r="K537" s="498"/>
    </row>
    <row r="538" spans="1:11" ht="15.75" x14ac:dyDescent="0.25">
      <c r="A538" s="491">
        <v>42143</v>
      </c>
      <c r="B538" s="522" t="s">
        <v>171</v>
      </c>
      <c r="C538" s="535">
        <v>18985.09273</v>
      </c>
      <c r="D538" s="505">
        <v>18985092.73</v>
      </c>
      <c r="E538" s="501">
        <v>86505</v>
      </c>
      <c r="F538" s="544">
        <v>4223</v>
      </c>
      <c r="G538" s="471"/>
      <c r="I538" s="496"/>
      <c r="J538" s="497"/>
      <c r="K538" s="498"/>
    </row>
    <row r="539" spans="1:11" ht="15.75" x14ac:dyDescent="0.25">
      <c r="A539" s="491">
        <v>42178</v>
      </c>
      <c r="B539" s="522" t="s">
        <v>245</v>
      </c>
      <c r="C539" s="535">
        <v>10777.64892</v>
      </c>
      <c r="D539" s="505">
        <v>10777648.92</v>
      </c>
      <c r="E539" s="501">
        <v>86505</v>
      </c>
      <c r="F539" s="544">
        <v>4223</v>
      </c>
      <c r="G539" s="471"/>
      <c r="I539" s="496"/>
      <c r="J539" s="497"/>
      <c r="K539" s="498"/>
    </row>
    <row r="540" spans="1:11" ht="15.75" x14ac:dyDescent="0.25">
      <c r="A540" s="491">
        <v>42242</v>
      </c>
      <c r="B540" s="522" t="s">
        <v>393</v>
      </c>
      <c r="C540" s="535">
        <v>9577.3184600000004</v>
      </c>
      <c r="D540" s="505">
        <v>9577318.4600000009</v>
      </c>
      <c r="E540" s="501">
        <v>86505</v>
      </c>
      <c r="F540" s="544">
        <v>4223</v>
      </c>
      <c r="G540" s="471"/>
      <c r="I540" s="496"/>
      <c r="J540" s="497"/>
      <c r="K540" s="498"/>
    </row>
    <row r="541" spans="1:11" ht="15.75" x14ac:dyDescent="0.25">
      <c r="A541" s="491">
        <v>42290</v>
      </c>
      <c r="B541" s="522" t="s">
        <v>539</v>
      </c>
      <c r="C541" s="535">
        <v>8424.0829799999992</v>
      </c>
      <c r="D541" s="505">
        <v>8424082.9800000004</v>
      </c>
      <c r="E541" s="501">
        <v>86505</v>
      </c>
      <c r="F541" s="544">
        <v>4223</v>
      </c>
      <c r="G541" s="471"/>
      <c r="I541" s="496"/>
      <c r="J541" s="497"/>
      <c r="K541" s="498"/>
    </row>
    <row r="542" spans="1:11" ht="15.75" x14ac:dyDescent="0.25">
      <c r="A542" s="491">
        <v>42312</v>
      </c>
      <c r="B542" s="522" t="s">
        <v>602</v>
      </c>
      <c r="C542" s="535">
        <v>9406.7392</v>
      </c>
      <c r="D542" s="505">
        <v>9406739.1999999993</v>
      </c>
      <c r="E542" s="501">
        <v>86505</v>
      </c>
      <c r="F542" s="544">
        <v>4223</v>
      </c>
      <c r="G542" s="471"/>
      <c r="I542" s="496"/>
      <c r="J542" s="497"/>
      <c r="K542" s="498"/>
    </row>
    <row r="543" spans="1:11" ht="15.75" x14ac:dyDescent="0.25">
      <c r="A543" s="491">
        <v>42324</v>
      </c>
      <c r="B543" s="522" t="s">
        <v>603</v>
      </c>
      <c r="C543" s="535">
        <v>9908.8551700000007</v>
      </c>
      <c r="D543" s="505">
        <v>9908855.1699999999</v>
      </c>
      <c r="E543" s="501">
        <v>86505</v>
      </c>
      <c r="F543" s="544">
        <v>4223</v>
      </c>
      <c r="G543" s="471"/>
      <c r="I543" s="496"/>
      <c r="J543" s="497"/>
      <c r="K543" s="498"/>
    </row>
    <row r="544" spans="1:11" ht="15.75" x14ac:dyDescent="0.25">
      <c r="A544" s="491">
        <v>42324</v>
      </c>
      <c r="B544" s="522" t="s">
        <v>604</v>
      </c>
      <c r="C544" s="535">
        <v>6220.0527199999997</v>
      </c>
      <c r="D544" s="505">
        <v>6220052.7199999997</v>
      </c>
      <c r="E544" s="501">
        <v>86505</v>
      </c>
      <c r="F544" s="544">
        <v>4223</v>
      </c>
      <c r="G544" s="471"/>
      <c r="I544" s="496"/>
      <c r="J544" s="497"/>
      <c r="K544" s="498"/>
    </row>
    <row r="545" spans="1:11" ht="15.75" x14ac:dyDescent="0.25">
      <c r="A545" s="491">
        <v>42331</v>
      </c>
      <c r="B545" s="522" t="s">
        <v>609</v>
      </c>
      <c r="C545" s="535">
        <v>51656.28239</v>
      </c>
      <c r="D545" s="505">
        <v>51656282.390000001</v>
      </c>
      <c r="E545" s="501">
        <v>86505</v>
      </c>
      <c r="F545" s="544">
        <v>4223</v>
      </c>
      <c r="G545" s="471"/>
      <c r="I545" s="496"/>
      <c r="J545" s="497"/>
      <c r="K545" s="498"/>
    </row>
    <row r="546" spans="1:11" ht="15.75" x14ac:dyDescent="0.25">
      <c r="A546" s="491">
        <v>42348</v>
      </c>
      <c r="B546" s="522" t="s">
        <v>632</v>
      </c>
      <c r="C546" s="535">
        <v>6308.3000700000002</v>
      </c>
      <c r="D546" s="505">
        <v>6308300.0700000003</v>
      </c>
      <c r="E546" s="501">
        <v>86505</v>
      </c>
      <c r="F546" s="544">
        <v>4223</v>
      </c>
      <c r="G546" s="471"/>
      <c r="I546" s="496"/>
      <c r="J546" s="497"/>
      <c r="K546" s="498"/>
    </row>
    <row r="547" spans="1:11" ht="15.75" x14ac:dyDescent="0.25">
      <c r="A547" s="491">
        <v>42348</v>
      </c>
      <c r="B547" s="522" t="s">
        <v>635</v>
      </c>
      <c r="C547" s="535">
        <v>7372.81765</v>
      </c>
      <c r="D547" s="505">
        <v>7372817.6500000004</v>
      </c>
      <c r="E547" s="501">
        <v>86505</v>
      </c>
      <c r="F547" s="544">
        <v>4223</v>
      </c>
      <c r="G547" s="471"/>
      <c r="I547" s="496"/>
      <c r="J547" s="497"/>
      <c r="K547" s="498"/>
    </row>
    <row r="548" spans="1:11" ht="15.75" x14ac:dyDescent="0.25">
      <c r="A548" s="491"/>
      <c r="B548" s="522" t="s">
        <v>675</v>
      </c>
      <c r="C548" s="543">
        <v>7886.4049199999999</v>
      </c>
      <c r="D548" s="500">
        <v>7886404.9199999999</v>
      </c>
      <c r="E548" s="501">
        <v>86505</v>
      </c>
      <c r="F548" s="544">
        <v>4223</v>
      </c>
      <c r="G548" s="503" t="s">
        <v>351</v>
      </c>
      <c r="I548" s="496">
        <v>7886404.9199999999</v>
      </c>
      <c r="J548" s="497"/>
      <c r="K548" s="498"/>
    </row>
    <row r="549" spans="1:11" ht="15.75" x14ac:dyDescent="0.25">
      <c r="A549" s="491"/>
      <c r="B549" s="522" t="s">
        <v>437</v>
      </c>
      <c r="C549" s="543">
        <v>3985.4986899999999</v>
      </c>
      <c r="D549" s="500">
        <v>3985498.69</v>
      </c>
      <c r="E549" s="501">
        <v>86505</v>
      </c>
      <c r="F549" s="544">
        <v>4223</v>
      </c>
      <c r="G549" s="503" t="s">
        <v>351</v>
      </c>
      <c r="I549" s="496">
        <v>3985498.69</v>
      </c>
      <c r="J549" s="497"/>
      <c r="K549" s="498"/>
    </row>
    <row r="550" spans="1:11" ht="15.75" x14ac:dyDescent="0.25">
      <c r="A550" s="491"/>
      <c r="B550" s="522" t="s">
        <v>262</v>
      </c>
      <c r="C550" s="543">
        <v>5611.9278000000004</v>
      </c>
      <c r="D550" s="500">
        <v>5611927.7999999998</v>
      </c>
      <c r="E550" s="501">
        <v>86505</v>
      </c>
      <c r="F550" s="544">
        <v>4223</v>
      </c>
      <c r="G550" s="503" t="s">
        <v>351</v>
      </c>
      <c r="I550" s="567">
        <v>5611927.7999999998</v>
      </c>
      <c r="J550" s="497"/>
      <c r="K550" s="498"/>
    </row>
    <row r="551" spans="1:11" ht="15.75" x14ac:dyDescent="0.25">
      <c r="A551" s="491"/>
      <c r="B551" s="572"/>
      <c r="C551" s="535"/>
      <c r="D551" s="505"/>
      <c r="E551" s="501"/>
      <c r="F551" s="544"/>
      <c r="G551" s="471"/>
      <c r="I551" s="496"/>
      <c r="J551" s="497"/>
      <c r="K551" s="498"/>
    </row>
    <row r="552" spans="1:11" ht="15.75" x14ac:dyDescent="0.25">
      <c r="A552" s="491"/>
      <c r="B552" s="554" t="s">
        <v>52</v>
      </c>
      <c r="C552" s="524">
        <v>877</v>
      </c>
      <c r="D552" s="524">
        <v>876199.86</v>
      </c>
      <c r="E552" s="501"/>
      <c r="F552" s="544"/>
      <c r="G552" s="471"/>
      <c r="I552" s="496"/>
      <c r="J552" s="497"/>
      <c r="K552" s="498"/>
    </row>
    <row r="553" spans="1:11" ht="15.75" x14ac:dyDescent="0.25">
      <c r="A553" s="491">
        <v>42174</v>
      </c>
      <c r="B553" s="522" t="s">
        <v>244</v>
      </c>
      <c r="C553" s="535">
        <v>877</v>
      </c>
      <c r="D553" s="505">
        <v>876199.86</v>
      </c>
      <c r="E553" s="501"/>
      <c r="F553" s="544">
        <v>4232</v>
      </c>
      <c r="G553" s="471"/>
      <c r="I553" s="496"/>
      <c r="J553" s="497"/>
      <c r="K553" s="498"/>
    </row>
    <row r="554" spans="1:11" ht="15.75" x14ac:dyDescent="0.25">
      <c r="A554" s="491"/>
      <c r="B554" s="533"/>
      <c r="C554" s="535"/>
      <c r="D554" s="573"/>
      <c r="E554" s="544"/>
      <c r="F554" s="544"/>
      <c r="I554" s="496"/>
      <c r="J554" s="497"/>
      <c r="K554" s="498"/>
    </row>
    <row r="555" spans="1:11" ht="15.75" x14ac:dyDescent="0.25">
      <c r="A555" s="491"/>
      <c r="B555" s="555" t="s">
        <v>55</v>
      </c>
      <c r="C555" s="493">
        <v>342801.09033999994</v>
      </c>
      <c r="D555" s="493">
        <v>342800290.19999999</v>
      </c>
      <c r="E555" s="556"/>
      <c r="F555" s="494"/>
      <c r="I555" s="496"/>
      <c r="J555" s="497"/>
      <c r="K555" s="498"/>
    </row>
    <row r="556" spans="1:11" ht="16.5" thickBot="1" x14ac:dyDescent="0.3">
      <c r="A556" s="557"/>
      <c r="B556" s="558"/>
      <c r="C556" s="559"/>
      <c r="D556" s="559"/>
      <c r="E556" s="560"/>
      <c r="F556" s="560"/>
      <c r="I556" s="496"/>
      <c r="J556" s="497"/>
      <c r="K556" s="498"/>
    </row>
    <row r="557" spans="1:11" ht="16.5" thickBot="1" x14ac:dyDescent="0.3">
      <c r="I557" s="575"/>
      <c r="J557" s="576"/>
      <c r="K557" s="577"/>
    </row>
    <row r="558" spans="1:11" ht="16.5" thickBot="1" x14ac:dyDescent="0.3">
      <c r="A558" s="578"/>
      <c r="B558" s="579"/>
      <c r="C558" s="580"/>
      <c r="D558" s="580"/>
      <c r="E558" s="581"/>
      <c r="F558" s="581"/>
      <c r="I558" s="582">
        <v>42408777.269999996</v>
      </c>
      <c r="J558" s="583">
        <v>122415580.60000002</v>
      </c>
      <c r="K558" s="490">
        <v>0</v>
      </c>
    </row>
    <row r="559" spans="1:11" ht="15.75" x14ac:dyDescent="0.25">
      <c r="A559" s="584"/>
      <c r="B559" s="585"/>
      <c r="C559" s="586"/>
      <c r="D559" s="480"/>
      <c r="E559" s="587"/>
      <c r="F559" s="588"/>
      <c r="G559" s="589"/>
      <c r="H559" s="470"/>
    </row>
    <row r="560" spans="1:11" ht="16.5" thickBot="1" x14ac:dyDescent="0.3">
      <c r="A560" s="584"/>
      <c r="B560" s="484" t="s">
        <v>56</v>
      </c>
      <c r="C560" s="485" t="s">
        <v>3</v>
      </c>
      <c r="D560" s="485" t="s">
        <v>4</v>
      </c>
      <c r="E560" s="587"/>
      <c r="F560" s="588"/>
      <c r="G560" s="589"/>
      <c r="H560" s="470"/>
    </row>
    <row r="561" spans="1:14" ht="15.75" x14ac:dyDescent="0.25">
      <c r="A561" s="584"/>
      <c r="B561" s="590"/>
      <c r="C561" s="591"/>
      <c r="D561" s="592"/>
      <c r="E561" s="587"/>
      <c r="F561" s="588"/>
      <c r="G561" s="589"/>
      <c r="H561" s="470"/>
    </row>
    <row r="562" spans="1:14" ht="15.75" x14ac:dyDescent="0.25">
      <c r="A562" s="593"/>
      <c r="B562" s="594" t="s">
        <v>57</v>
      </c>
      <c r="C562" s="595">
        <v>326829.80862999998</v>
      </c>
      <c r="D562" s="541">
        <v>322636678.73000002</v>
      </c>
      <c r="E562" s="587"/>
      <c r="F562" s="588"/>
      <c r="G562" s="589" t="s">
        <v>61</v>
      </c>
      <c r="H562" s="470">
        <v>951693271.66000009</v>
      </c>
      <c r="I562" s="596"/>
    </row>
    <row r="563" spans="1:14" ht="15.75" x14ac:dyDescent="0.25">
      <c r="A563" s="593"/>
      <c r="B563" s="594" t="s">
        <v>58</v>
      </c>
      <c r="C563" s="595">
        <v>342801.09033999994</v>
      </c>
      <c r="D563" s="595">
        <v>342800290.19999999</v>
      </c>
      <c r="E563" s="587"/>
      <c r="F563" s="588"/>
      <c r="G563" s="589" t="s">
        <v>62</v>
      </c>
      <c r="H563" s="470">
        <v>328665080</v>
      </c>
    </row>
    <row r="564" spans="1:14" ht="15.75" x14ac:dyDescent="0.25">
      <c r="A564" s="593"/>
      <c r="B564" s="594"/>
      <c r="C564" s="595"/>
      <c r="D564" s="541"/>
      <c r="E564" s="587"/>
      <c r="F564" s="588"/>
      <c r="G564" s="589" t="s">
        <v>64</v>
      </c>
      <c r="H564" s="470">
        <v>42408777.270000003</v>
      </c>
    </row>
    <row r="565" spans="1:14" ht="15.75" x14ac:dyDescent="0.25">
      <c r="A565" s="593"/>
      <c r="B565" s="597" t="s">
        <v>59</v>
      </c>
      <c r="C565" s="598">
        <v>669630.89896999998</v>
      </c>
      <c r="D565" s="493">
        <v>665436968.93000007</v>
      </c>
      <c r="E565" s="587"/>
      <c r="F565" s="588"/>
      <c r="G565" s="471" t="s">
        <v>63</v>
      </c>
      <c r="H565" s="470">
        <v>665436968.93000007</v>
      </c>
    </row>
    <row r="566" spans="1:14" ht="16.5" thickBot="1" x14ac:dyDescent="0.3">
      <c r="A566" s="593"/>
      <c r="B566" s="599"/>
      <c r="C566" s="600"/>
      <c r="D566" s="600"/>
      <c r="E566" s="601"/>
      <c r="F566" s="564"/>
      <c r="G566" s="471"/>
      <c r="H566" s="470">
        <v>0</v>
      </c>
      <c r="I566" s="596"/>
      <c r="K566" s="602"/>
    </row>
    <row r="567" spans="1:14" ht="15.75" x14ac:dyDescent="0.25">
      <c r="B567" s="471">
        <v>5445</v>
      </c>
      <c r="C567" s="603"/>
      <c r="D567" s="604"/>
      <c r="E567" s="478"/>
      <c r="F567" s="574"/>
      <c r="H567" s="470">
        <v>0</v>
      </c>
      <c r="I567" s="605"/>
    </row>
    <row r="568" spans="1:14" ht="16.5" thickBot="1" x14ac:dyDescent="0.3">
      <c r="B568" s="606">
        <v>5145</v>
      </c>
      <c r="C568" s="607"/>
      <c r="D568" s="607"/>
      <c r="E568" s="608"/>
      <c r="F568" s="608"/>
      <c r="H568" s="470">
        <v>0</v>
      </c>
      <c r="I568" s="471" t="s">
        <v>672</v>
      </c>
    </row>
    <row r="569" spans="1:14" ht="16.5" thickBot="1" x14ac:dyDescent="0.3">
      <c r="B569" s="609" t="s">
        <v>79</v>
      </c>
      <c r="C569" s="610" t="s">
        <v>80</v>
      </c>
      <c r="D569" s="610" t="s">
        <v>80</v>
      </c>
      <c r="E569" s="610" t="s">
        <v>82</v>
      </c>
      <c r="F569" s="610" t="s">
        <v>81</v>
      </c>
      <c r="G569" s="611" t="s">
        <v>83</v>
      </c>
      <c r="H569" s="612" t="s">
        <v>84</v>
      </c>
    </row>
    <row r="570" spans="1:14" ht="15.75" x14ac:dyDescent="0.25">
      <c r="A570" s="613"/>
      <c r="B570" s="467">
        <v>4111</v>
      </c>
      <c r="C570" s="614"/>
      <c r="D570" s="615"/>
      <c r="E570" s="616">
        <v>0</v>
      </c>
      <c r="F570" s="616">
        <v>0</v>
      </c>
      <c r="G570" s="617">
        <v>0</v>
      </c>
      <c r="H570" s="468">
        <v>0</v>
      </c>
      <c r="I570" s="618"/>
      <c r="J570" s="619"/>
      <c r="K570" s="619"/>
      <c r="L570" s="471"/>
      <c r="M570" s="471"/>
      <c r="N570" s="471"/>
    </row>
    <row r="571" spans="1:14" ht="15.75" x14ac:dyDescent="0.25">
      <c r="B571" s="467">
        <v>4113</v>
      </c>
      <c r="C571" s="614">
        <v>6496416.3600000003</v>
      </c>
      <c r="D571" s="614">
        <v>5386021.3600000003</v>
      </c>
      <c r="E571" s="621">
        <v>6496.4163599999993</v>
      </c>
      <c r="F571" s="616">
        <v>5386021.3600000003</v>
      </c>
      <c r="G571" s="617">
        <v>0</v>
      </c>
      <c r="H571" s="468">
        <v>0</v>
      </c>
      <c r="I571" s="618"/>
      <c r="J571" s="619"/>
      <c r="K571" s="619"/>
    </row>
    <row r="572" spans="1:14" ht="15.75" x14ac:dyDescent="0.25">
      <c r="B572" s="467">
        <v>4116</v>
      </c>
      <c r="C572" s="614">
        <v>185014436.19</v>
      </c>
      <c r="D572" s="614">
        <v>181908683.19</v>
      </c>
      <c r="E572" s="621">
        <v>185014.43619000004</v>
      </c>
      <c r="F572" s="616">
        <v>181908683.18999997</v>
      </c>
      <c r="G572" s="617">
        <v>0</v>
      </c>
      <c r="H572" s="468">
        <v>0</v>
      </c>
      <c r="I572" s="618">
        <v>185014.43619000004</v>
      </c>
      <c r="J572" s="619"/>
      <c r="K572" s="619"/>
    </row>
    <row r="573" spans="1:14" ht="15.75" x14ac:dyDescent="0.25">
      <c r="B573" s="467">
        <v>4119</v>
      </c>
      <c r="C573" s="614"/>
      <c r="D573" s="614"/>
      <c r="E573" s="621">
        <v>0</v>
      </c>
      <c r="F573" s="616">
        <v>0</v>
      </c>
      <c r="G573" s="617">
        <v>0</v>
      </c>
      <c r="H573" s="468">
        <v>0</v>
      </c>
      <c r="I573" s="618"/>
      <c r="J573" s="619"/>
      <c r="K573" s="619"/>
    </row>
    <row r="574" spans="1:14" ht="15.75" x14ac:dyDescent="0.25">
      <c r="B574" s="467">
        <v>4122</v>
      </c>
      <c r="C574" s="614">
        <v>129571747.73</v>
      </c>
      <c r="D574" s="614">
        <v>129571747.73</v>
      </c>
      <c r="E574" s="621">
        <v>129571.74773000002</v>
      </c>
      <c r="F574" s="616">
        <v>129571747.73</v>
      </c>
      <c r="G574" s="617">
        <v>0</v>
      </c>
      <c r="H574" s="468">
        <v>0</v>
      </c>
      <c r="I574" s="618"/>
      <c r="J574" s="619"/>
      <c r="K574" s="619"/>
    </row>
    <row r="575" spans="1:14" ht="15.75" x14ac:dyDescent="0.25">
      <c r="B575" s="467">
        <v>4123</v>
      </c>
      <c r="C575" s="614">
        <v>3370208.35</v>
      </c>
      <c r="D575" s="614">
        <v>3370208.35</v>
      </c>
      <c r="E575" s="621">
        <v>3370.2083499999999</v>
      </c>
      <c r="F575" s="616">
        <v>3370208.3499999996</v>
      </c>
      <c r="G575" s="617">
        <v>0</v>
      </c>
      <c r="H575" s="468">
        <v>0</v>
      </c>
      <c r="I575" s="618"/>
      <c r="J575" s="619"/>
      <c r="K575" s="619"/>
    </row>
    <row r="576" spans="1:14" ht="15.75" x14ac:dyDescent="0.25">
      <c r="B576" s="467">
        <v>4151</v>
      </c>
      <c r="C576" s="614"/>
      <c r="D576" s="614"/>
      <c r="E576" s="621">
        <v>0</v>
      </c>
      <c r="F576" s="616">
        <v>0</v>
      </c>
      <c r="G576" s="617">
        <v>0</v>
      </c>
      <c r="H576" s="468">
        <v>0</v>
      </c>
      <c r="I576" s="618"/>
      <c r="J576" s="619"/>
      <c r="K576" s="619"/>
    </row>
    <row r="577" spans="2:11" ht="15.75" x14ac:dyDescent="0.25">
      <c r="B577" s="467">
        <v>4152</v>
      </c>
      <c r="C577" s="614">
        <v>2377000</v>
      </c>
      <c r="D577" s="615">
        <v>2400018.1</v>
      </c>
      <c r="E577" s="621">
        <v>2377</v>
      </c>
      <c r="F577" s="616">
        <v>2400018.1000000006</v>
      </c>
      <c r="G577" s="617">
        <v>0</v>
      </c>
      <c r="H577" s="468">
        <v>0</v>
      </c>
      <c r="I577" s="618"/>
      <c r="J577" s="619"/>
      <c r="K577" s="619"/>
    </row>
    <row r="578" spans="2:11" ht="15.75" x14ac:dyDescent="0.25">
      <c r="B578" s="467">
        <v>4213</v>
      </c>
      <c r="C578" s="614">
        <v>4158332.46</v>
      </c>
      <c r="D578" s="614">
        <v>4158332.46</v>
      </c>
      <c r="E578" s="621">
        <v>4158.3324600000005</v>
      </c>
      <c r="F578" s="616">
        <v>4158332.4600000004</v>
      </c>
      <c r="G578" s="617">
        <v>0</v>
      </c>
      <c r="H578" s="468">
        <v>0</v>
      </c>
      <c r="I578" s="618"/>
      <c r="J578" s="619"/>
      <c r="K578" s="619"/>
    </row>
    <row r="579" spans="2:11" ht="15.75" x14ac:dyDescent="0.25">
      <c r="B579" s="467">
        <v>4216</v>
      </c>
      <c r="C579" s="614">
        <v>122926976.08</v>
      </c>
      <c r="D579" s="614">
        <v>122926976.08</v>
      </c>
      <c r="E579" s="621">
        <v>122926.97607999996</v>
      </c>
      <c r="F579" s="616">
        <v>122926976.08000001</v>
      </c>
      <c r="G579" s="617">
        <v>0</v>
      </c>
      <c r="H579" s="468">
        <v>0</v>
      </c>
      <c r="I579" s="618"/>
      <c r="J579" s="619"/>
      <c r="K579" s="619"/>
    </row>
    <row r="580" spans="2:11" ht="15.75" x14ac:dyDescent="0.25">
      <c r="B580" s="467">
        <v>4222</v>
      </c>
      <c r="C580" s="614">
        <v>6388955.7999999998</v>
      </c>
      <c r="D580" s="614">
        <v>6388955.7999999998</v>
      </c>
      <c r="E580" s="621">
        <v>6388.9557999999997</v>
      </c>
      <c r="F580" s="616">
        <v>6388955.7999999998</v>
      </c>
      <c r="G580" s="617">
        <v>0</v>
      </c>
      <c r="H580" s="468">
        <v>0</v>
      </c>
      <c r="I580" s="618"/>
      <c r="J580" s="619"/>
      <c r="K580" s="619"/>
    </row>
    <row r="581" spans="2:11" ht="15.75" x14ac:dyDescent="0.25">
      <c r="B581" s="467">
        <v>4223</v>
      </c>
      <c r="C581" s="614">
        <v>208449826</v>
      </c>
      <c r="D581" s="614">
        <v>208449826</v>
      </c>
      <c r="E581" s="621">
        <v>208449.826</v>
      </c>
      <c r="F581" s="616">
        <v>208449826</v>
      </c>
      <c r="G581" s="617">
        <v>0</v>
      </c>
      <c r="H581" s="468">
        <v>0</v>
      </c>
      <c r="I581" s="618"/>
      <c r="J581" s="619"/>
      <c r="K581" s="619"/>
    </row>
    <row r="582" spans="2:11" ht="15.75" x14ac:dyDescent="0.25">
      <c r="B582" s="467">
        <v>4232</v>
      </c>
      <c r="C582" s="614">
        <v>877000</v>
      </c>
      <c r="D582" s="614">
        <v>876199.86</v>
      </c>
      <c r="E582" s="621">
        <v>877</v>
      </c>
      <c r="F582" s="616">
        <v>876199.86</v>
      </c>
      <c r="G582" s="617">
        <v>0</v>
      </c>
      <c r="H582" s="468">
        <v>0</v>
      </c>
      <c r="I582" s="618"/>
      <c r="J582" s="619"/>
      <c r="K582" s="619"/>
    </row>
    <row r="583" spans="2:11" ht="15.75" x14ac:dyDescent="0.25">
      <c r="B583" s="622"/>
      <c r="C583" s="623">
        <v>669630898.97000003</v>
      </c>
      <c r="D583" s="623">
        <v>665436968.93000007</v>
      </c>
      <c r="E583" s="623">
        <v>669630.89896999998</v>
      </c>
      <c r="F583" s="623">
        <v>665436968.92999995</v>
      </c>
      <c r="G583" s="617"/>
      <c r="H583" s="468"/>
      <c r="I583" s="618"/>
      <c r="J583" s="619"/>
      <c r="K583" s="619"/>
    </row>
    <row r="584" spans="2:11" ht="16.5" thickBot="1" x14ac:dyDescent="0.3">
      <c r="B584" s="624"/>
      <c r="C584" s="625">
        <v>0</v>
      </c>
      <c r="D584" s="625">
        <v>0</v>
      </c>
      <c r="E584" s="626"/>
      <c r="F584" s="626">
        <v>0</v>
      </c>
      <c r="G584" s="627"/>
      <c r="H584" s="628"/>
      <c r="I584" s="618"/>
      <c r="J584" s="619"/>
      <c r="K584" s="619"/>
    </row>
    <row r="585" spans="2:11" ht="15.75" x14ac:dyDescent="0.25">
      <c r="C585" s="574">
        <v>185014436.19000003</v>
      </c>
      <c r="I585" s="618"/>
      <c r="J585" s="619"/>
      <c r="K585" s="619"/>
    </row>
    <row r="586" spans="2:11" x14ac:dyDescent="0.2">
      <c r="B586" s="629"/>
      <c r="C586" s="630" t="s">
        <v>543</v>
      </c>
      <c r="D586" s="631"/>
      <c r="E586" s="631"/>
      <c r="F586" s="631"/>
      <c r="G586" s="632"/>
      <c r="H586" s="629"/>
      <c r="I586" s="618"/>
      <c r="J586" s="619"/>
      <c r="K586" s="619"/>
    </row>
    <row r="587" spans="2:11" ht="15.75" x14ac:dyDescent="0.25">
      <c r="B587" s="629"/>
      <c r="C587" s="633"/>
      <c r="D587" s="631" t="s">
        <v>542</v>
      </c>
      <c r="E587" s="631"/>
      <c r="F587" s="631"/>
      <c r="G587" s="629"/>
      <c r="H587" s="632"/>
      <c r="I587" s="618"/>
      <c r="J587" s="619"/>
      <c r="K587" s="619"/>
    </row>
    <row r="588" spans="2:11" ht="15.75" x14ac:dyDescent="0.25">
      <c r="B588" s="629"/>
      <c r="C588" s="634"/>
      <c r="D588" s="631" t="s">
        <v>677</v>
      </c>
      <c r="E588" s="631"/>
      <c r="F588" s="631"/>
      <c r="G588" s="632"/>
      <c r="I588" s="618"/>
      <c r="J588" s="619"/>
      <c r="K588" s="619"/>
    </row>
    <row r="589" spans="2:11" x14ac:dyDescent="0.2">
      <c r="B589" s="629"/>
      <c r="C589" s="630"/>
      <c r="D589" s="631" t="s">
        <v>678</v>
      </c>
      <c r="E589" s="631"/>
      <c r="F589" s="631"/>
      <c r="G589" s="632"/>
      <c r="I589" s="618"/>
      <c r="J589" s="619"/>
      <c r="K589" s="619"/>
    </row>
    <row r="590" spans="2:11" x14ac:dyDescent="0.2">
      <c r="B590" s="629"/>
      <c r="C590" s="635"/>
      <c r="D590" s="631" t="s">
        <v>679</v>
      </c>
      <c r="E590" s="631"/>
      <c r="F590" s="631"/>
      <c r="G590" s="632"/>
      <c r="H590" s="629"/>
      <c r="I590" s="618"/>
      <c r="J590" s="619"/>
      <c r="K590" s="619"/>
    </row>
    <row r="591" spans="2:11" x14ac:dyDescent="0.2">
      <c r="B591" s="629"/>
      <c r="C591" s="630"/>
      <c r="D591" s="631"/>
      <c r="E591" s="631"/>
      <c r="F591" s="631"/>
      <c r="G591" s="632"/>
      <c r="H591" s="629"/>
      <c r="I591" s="618"/>
      <c r="J591" s="619"/>
      <c r="K591" s="619"/>
    </row>
    <row r="592" spans="2:11" x14ac:dyDescent="0.2">
      <c r="B592" s="629"/>
      <c r="C592" s="630"/>
      <c r="D592" s="631"/>
      <c r="E592" s="631"/>
      <c r="F592" s="631"/>
      <c r="G592" s="629"/>
      <c r="H592" s="629"/>
      <c r="I592" s="618"/>
      <c r="J592" s="619"/>
      <c r="K592" s="619"/>
    </row>
    <row r="593" spans="2:11" x14ac:dyDescent="0.2">
      <c r="B593" s="629"/>
      <c r="C593" s="630"/>
      <c r="D593" s="631"/>
      <c r="E593" s="631"/>
      <c r="F593" s="631"/>
      <c r="G593" s="632"/>
      <c r="H593" s="629"/>
      <c r="I593" s="618"/>
      <c r="J593" s="619"/>
      <c r="K593" s="619"/>
    </row>
    <row r="594" spans="2:11" x14ac:dyDescent="0.2">
      <c r="B594" s="629"/>
      <c r="C594" s="630"/>
      <c r="D594" s="631"/>
      <c r="E594" s="636"/>
      <c r="F594" s="631"/>
      <c r="G594" s="632"/>
      <c r="H594" s="629"/>
      <c r="I594" s="618"/>
      <c r="J594" s="619"/>
      <c r="K594" s="619"/>
    </row>
    <row r="595" spans="2:11" x14ac:dyDescent="0.2">
      <c r="B595" s="629"/>
      <c r="C595" s="630"/>
      <c r="D595" s="631"/>
      <c r="E595" s="636"/>
      <c r="F595" s="631"/>
      <c r="G595" s="632"/>
      <c r="H595" s="629"/>
      <c r="I595" s="618"/>
      <c r="J595" s="619"/>
      <c r="K595" s="619"/>
    </row>
    <row r="596" spans="2:11" x14ac:dyDescent="0.2">
      <c r="B596" s="629"/>
      <c r="C596" s="630"/>
      <c r="D596" s="630"/>
      <c r="E596" s="636"/>
      <c r="F596" s="631"/>
      <c r="G596" s="632"/>
      <c r="H596" s="629"/>
      <c r="I596" s="618"/>
      <c r="J596" s="619"/>
      <c r="K596" s="619"/>
    </row>
    <row r="597" spans="2:11" x14ac:dyDescent="0.2">
      <c r="B597" s="629"/>
      <c r="C597" s="630"/>
      <c r="D597" s="630"/>
      <c r="E597" s="636"/>
      <c r="F597" s="631"/>
      <c r="G597" s="632"/>
      <c r="H597" s="629"/>
      <c r="I597" s="618"/>
      <c r="J597" s="619"/>
      <c r="K597" s="619"/>
    </row>
    <row r="598" spans="2:11" x14ac:dyDescent="0.2">
      <c r="B598" s="629"/>
      <c r="C598" s="630"/>
      <c r="D598" s="630"/>
      <c r="E598" s="636"/>
      <c r="F598" s="631"/>
      <c r="G598" s="632"/>
      <c r="H598" s="629"/>
      <c r="I598" s="618"/>
      <c r="J598" s="619"/>
      <c r="K598" s="619"/>
    </row>
    <row r="599" spans="2:11" x14ac:dyDescent="0.2">
      <c r="B599" s="629"/>
      <c r="C599" s="630"/>
      <c r="D599" s="630"/>
      <c r="E599" s="636"/>
      <c r="F599" s="631"/>
      <c r="G599" s="632"/>
      <c r="H599" s="629"/>
      <c r="I599" s="618"/>
      <c r="J599" s="619"/>
      <c r="K599" s="619"/>
    </row>
    <row r="600" spans="2:11" x14ac:dyDescent="0.2">
      <c r="B600" s="629"/>
      <c r="C600" s="630"/>
      <c r="D600" s="630"/>
      <c r="E600" s="636"/>
      <c r="F600" s="631"/>
      <c r="G600" s="632"/>
      <c r="H600" s="629"/>
      <c r="I600" s="618"/>
      <c r="J600" s="619"/>
      <c r="K600" s="619"/>
    </row>
    <row r="601" spans="2:11" x14ac:dyDescent="0.2">
      <c r="B601" s="629"/>
      <c r="C601" s="630"/>
      <c r="D601" s="630"/>
      <c r="E601" s="636"/>
      <c r="F601" s="630"/>
      <c r="G601" s="632"/>
      <c r="H601" s="629"/>
      <c r="I601" s="618"/>
      <c r="J601" s="619"/>
      <c r="K601" s="619"/>
    </row>
    <row r="602" spans="2:11" x14ac:dyDescent="0.2">
      <c r="B602" s="629"/>
      <c r="C602" s="630"/>
      <c r="D602" s="630"/>
      <c r="E602" s="636"/>
      <c r="F602" s="631"/>
      <c r="G602" s="632"/>
      <c r="H602" s="629"/>
      <c r="I602" s="618"/>
      <c r="J602" s="619"/>
      <c r="K602" s="619"/>
    </row>
    <row r="603" spans="2:11" ht="15.75" x14ac:dyDescent="0.25">
      <c r="B603" s="629"/>
      <c r="C603" s="630"/>
      <c r="D603" s="630"/>
      <c r="E603" s="636"/>
      <c r="F603" s="631"/>
      <c r="G603" s="632"/>
      <c r="H603" s="629"/>
      <c r="I603" s="574"/>
      <c r="J603" s="619"/>
      <c r="K603" s="619"/>
    </row>
    <row r="604" spans="2:11" x14ac:dyDescent="0.2">
      <c r="B604" s="629"/>
      <c r="C604" s="630"/>
      <c r="D604" s="630"/>
      <c r="E604" s="636"/>
      <c r="F604" s="631"/>
      <c r="G604" s="632"/>
      <c r="H604" s="629"/>
      <c r="I604" s="620"/>
      <c r="J604" s="619"/>
      <c r="K604" s="619"/>
    </row>
    <row r="605" spans="2:11" x14ac:dyDescent="0.2">
      <c r="B605" s="629"/>
      <c r="C605" s="630"/>
      <c r="D605" s="630"/>
      <c r="E605" s="636"/>
      <c r="F605" s="630"/>
      <c r="G605" s="629"/>
      <c r="H605" s="629"/>
      <c r="J605" s="619"/>
      <c r="K605" s="619"/>
    </row>
    <row r="606" spans="2:11" x14ac:dyDescent="0.2">
      <c r="B606" s="629"/>
      <c r="C606" s="630"/>
      <c r="D606" s="630"/>
      <c r="E606" s="636"/>
      <c r="F606" s="631"/>
      <c r="G606" s="629"/>
      <c r="H606" s="629"/>
      <c r="J606" s="619"/>
      <c r="K606" s="619"/>
    </row>
    <row r="607" spans="2:11" x14ac:dyDescent="0.2">
      <c r="B607" s="629"/>
      <c r="C607" s="630"/>
      <c r="D607" s="630"/>
      <c r="E607" s="636"/>
      <c r="F607" s="631"/>
      <c r="G607" s="632"/>
      <c r="H607" s="629"/>
      <c r="J607" s="619"/>
      <c r="K607" s="619"/>
    </row>
    <row r="608" spans="2:11" x14ac:dyDescent="0.2">
      <c r="B608" s="629"/>
      <c r="C608" s="630"/>
      <c r="D608" s="630"/>
      <c r="E608" s="636"/>
      <c r="F608" s="631"/>
      <c r="G608" s="632"/>
      <c r="H608" s="629"/>
      <c r="J608" s="619"/>
      <c r="K608" s="619"/>
    </row>
    <row r="609" spans="2:11" x14ac:dyDescent="0.2">
      <c r="B609" s="629"/>
      <c r="C609" s="630"/>
      <c r="D609" s="630"/>
      <c r="E609" s="636"/>
      <c r="F609" s="630"/>
      <c r="G609" s="632"/>
      <c r="H609" s="629"/>
      <c r="J609" s="619"/>
      <c r="K609" s="619"/>
    </row>
    <row r="610" spans="2:11" x14ac:dyDescent="0.2">
      <c r="B610" s="629"/>
      <c r="C610" s="630"/>
      <c r="D610" s="630"/>
      <c r="E610" s="636"/>
      <c r="F610" s="630"/>
      <c r="G610" s="632"/>
      <c r="H610" s="629"/>
      <c r="J610" s="619"/>
      <c r="K610" s="619"/>
    </row>
    <row r="611" spans="2:11" x14ac:dyDescent="0.2">
      <c r="B611" s="629"/>
      <c r="C611" s="630"/>
      <c r="D611" s="630"/>
      <c r="E611" s="631"/>
      <c r="F611" s="631"/>
      <c r="G611" s="632"/>
      <c r="H611" s="629"/>
      <c r="J611" s="619"/>
      <c r="K611" s="619"/>
    </row>
    <row r="612" spans="2:11" x14ac:dyDescent="0.2">
      <c r="B612" s="629"/>
      <c r="C612" s="630"/>
      <c r="D612" s="630"/>
      <c r="E612" s="630"/>
      <c r="F612" s="630"/>
      <c r="G612" s="632"/>
      <c r="H612" s="629"/>
      <c r="J612" s="619"/>
      <c r="K612" s="619"/>
    </row>
    <row r="613" spans="2:11" x14ac:dyDescent="0.2">
      <c r="B613" s="629"/>
      <c r="C613" s="630"/>
      <c r="D613" s="630"/>
      <c r="E613" s="630"/>
      <c r="F613" s="630"/>
      <c r="G613" s="629"/>
      <c r="H613" s="629"/>
      <c r="J613" s="619"/>
      <c r="K613" s="619"/>
    </row>
    <row r="614" spans="2:11" x14ac:dyDescent="0.2">
      <c r="B614" s="629"/>
      <c r="C614" s="630"/>
      <c r="D614" s="630"/>
      <c r="E614" s="630"/>
      <c r="F614" s="630"/>
      <c r="G614" s="629"/>
      <c r="H614" s="629"/>
      <c r="J614" s="619"/>
      <c r="K614" s="619"/>
    </row>
    <row r="615" spans="2:11" x14ac:dyDescent="0.2">
      <c r="B615" s="629"/>
      <c r="C615" s="630"/>
      <c r="D615" s="630"/>
      <c r="E615" s="630"/>
      <c r="F615" s="630"/>
      <c r="G615" s="632"/>
      <c r="H615" s="629"/>
      <c r="J615" s="619"/>
      <c r="K615" s="619"/>
    </row>
    <row r="616" spans="2:11" x14ac:dyDescent="0.2">
      <c r="B616" s="629"/>
      <c r="C616" s="630"/>
      <c r="D616" s="630"/>
      <c r="E616" s="630"/>
      <c r="F616" s="630"/>
      <c r="G616" s="629"/>
      <c r="H616" s="629"/>
      <c r="J616" s="619"/>
      <c r="K616" s="619"/>
    </row>
    <row r="617" spans="2:11" x14ac:dyDescent="0.2">
      <c r="B617" s="629"/>
      <c r="C617" s="630"/>
      <c r="D617" s="630"/>
      <c r="E617" s="630"/>
      <c r="F617" s="630"/>
      <c r="G617" s="629"/>
      <c r="H617" s="629"/>
      <c r="J617" s="619"/>
      <c r="K617" s="619"/>
    </row>
    <row r="618" spans="2:11" x14ac:dyDescent="0.2">
      <c r="J618" s="619"/>
      <c r="K618" s="619"/>
    </row>
    <row r="619" spans="2:11" x14ac:dyDescent="0.2">
      <c r="J619" s="619"/>
      <c r="K619" s="619"/>
    </row>
    <row r="620" spans="2:11" x14ac:dyDescent="0.2">
      <c r="J620" s="619"/>
      <c r="K620" s="619"/>
    </row>
    <row r="621" spans="2:11" x14ac:dyDescent="0.2">
      <c r="J621" s="619"/>
      <c r="K621" s="619"/>
    </row>
    <row r="622" spans="2:11" x14ac:dyDescent="0.2">
      <c r="J622" s="619"/>
      <c r="K622" s="619"/>
    </row>
    <row r="623" spans="2:11" x14ac:dyDescent="0.2">
      <c r="J623" s="619"/>
      <c r="K623" s="619"/>
    </row>
    <row r="624" spans="2:11" x14ac:dyDescent="0.2">
      <c r="J624" s="619"/>
      <c r="K624" s="619"/>
    </row>
    <row r="625" spans="10:11" x14ac:dyDescent="0.2">
      <c r="J625" s="619"/>
      <c r="K625" s="619"/>
    </row>
    <row r="626" spans="10:11" x14ac:dyDescent="0.2">
      <c r="J626" s="619"/>
      <c r="K626" s="619"/>
    </row>
    <row r="627" spans="10:11" x14ac:dyDescent="0.2">
      <c r="J627" s="619"/>
      <c r="K627" s="619"/>
    </row>
    <row r="628" spans="10:11" x14ac:dyDescent="0.2">
      <c r="J628" s="619"/>
      <c r="K628" s="619"/>
    </row>
    <row r="629" spans="10:11" x14ac:dyDescent="0.2">
      <c r="J629" s="619"/>
      <c r="K629" s="619"/>
    </row>
    <row r="630" spans="10:11" x14ac:dyDescent="0.2">
      <c r="J630" s="619"/>
      <c r="K630" s="619"/>
    </row>
    <row r="631" spans="10:11" x14ac:dyDescent="0.2">
      <c r="J631" s="619"/>
      <c r="K631" s="619"/>
    </row>
    <row r="632" spans="10:11" x14ac:dyDescent="0.2">
      <c r="J632" s="619"/>
      <c r="K632" s="619"/>
    </row>
    <row r="633" spans="10:11" x14ac:dyDescent="0.2">
      <c r="J633" s="619"/>
      <c r="K633" s="619"/>
    </row>
    <row r="634" spans="10:11" x14ac:dyDescent="0.2">
      <c r="J634" s="619"/>
      <c r="K634" s="619"/>
    </row>
    <row r="635" spans="10:11" x14ac:dyDescent="0.2">
      <c r="J635" s="619"/>
      <c r="K635" s="619"/>
    </row>
    <row r="636" spans="10:11" x14ac:dyDescent="0.2">
      <c r="J636" s="619"/>
      <c r="K636" s="619"/>
    </row>
    <row r="637" spans="10:11" x14ac:dyDescent="0.2">
      <c r="J637" s="619"/>
      <c r="K637" s="619"/>
    </row>
    <row r="638" spans="10:11" x14ac:dyDescent="0.2">
      <c r="J638" s="619"/>
      <c r="K638" s="619"/>
    </row>
    <row r="639" spans="10:11" x14ac:dyDescent="0.2">
      <c r="J639" s="619"/>
      <c r="K639" s="619"/>
    </row>
    <row r="640" spans="10:11" x14ac:dyDescent="0.2">
      <c r="J640" s="619"/>
      <c r="K640" s="619"/>
    </row>
    <row r="641" spans="1:11" x14ac:dyDescent="0.2">
      <c r="J641" s="619"/>
      <c r="K641" s="619"/>
    </row>
    <row r="642" spans="1:11" x14ac:dyDescent="0.2">
      <c r="J642" s="619"/>
      <c r="K642" s="619"/>
    </row>
    <row r="643" spans="1:11" x14ac:dyDescent="0.2">
      <c r="J643" s="619"/>
      <c r="K643" s="619"/>
    </row>
    <row r="644" spans="1:11" x14ac:dyDescent="0.2">
      <c r="J644" s="619"/>
      <c r="K644" s="619"/>
    </row>
    <row r="645" spans="1:11" x14ac:dyDescent="0.2">
      <c r="J645" s="619"/>
      <c r="K645" s="619"/>
    </row>
    <row r="646" spans="1:11" x14ac:dyDescent="0.2">
      <c r="J646" s="619"/>
      <c r="K646" s="619"/>
    </row>
    <row r="647" spans="1:11" x14ac:dyDescent="0.2">
      <c r="J647" s="619"/>
      <c r="K647" s="619"/>
    </row>
    <row r="648" spans="1:11" x14ac:dyDescent="0.2">
      <c r="J648" s="619"/>
      <c r="K648" s="619"/>
    </row>
    <row r="649" spans="1:11" x14ac:dyDescent="0.2">
      <c r="J649" s="619"/>
      <c r="K649" s="619"/>
    </row>
    <row r="650" spans="1:11" x14ac:dyDescent="0.2">
      <c r="J650" s="619"/>
      <c r="K650" s="619"/>
    </row>
    <row r="651" spans="1:11" x14ac:dyDescent="0.2">
      <c r="J651" s="619"/>
      <c r="K651" s="619"/>
    </row>
    <row r="652" spans="1:11" x14ac:dyDescent="0.2">
      <c r="J652" s="619"/>
      <c r="K652" s="619"/>
    </row>
    <row r="653" spans="1:11" x14ac:dyDescent="0.2">
      <c r="J653" s="619"/>
      <c r="K653" s="619"/>
    </row>
    <row r="654" spans="1:11" x14ac:dyDescent="0.2">
      <c r="A654" s="637"/>
      <c r="B654" s="638"/>
      <c r="C654" s="639"/>
      <c r="D654" s="640"/>
      <c r="E654" s="641"/>
      <c r="F654" s="642"/>
      <c r="G654" s="643"/>
      <c r="H654" s="644"/>
      <c r="J654" s="619"/>
      <c r="K654" s="619"/>
    </row>
    <row r="655" spans="1:11" x14ac:dyDescent="0.2">
      <c r="A655" s="637"/>
      <c r="B655" s="638"/>
      <c r="C655" s="639"/>
      <c r="D655" s="640"/>
      <c r="E655" s="641"/>
      <c r="F655" s="642"/>
      <c r="G655" s="643"/>
      <c r="H655" s="644"/>
      <c r="J655" s="619"/>
      <c r="K655" s="619"/>
    </row>
    <row r="656" spans="1:11" x14ac:dyDescent="0.2">
      <c r="A656" s="637"/>
      <c r="B656" s="638"/>
      <c r="C656" s="639"/>
      <c r="D656" s="640"/>
      <c r="E656" s="641"/>
      <c r="F656" s="642"/>
      <c r="G656" s="643"/>
      <c r="H656" s="644"/>
      <c r="J656" s="619"/>
      <c r="K656" s="619"/>
    </row>
    <row r="657" spans="1:11" x14ac:dyDescent="0.2">
      <c r="A657" s="637"/>
      <c r="B657" s="638"/>
      <c r="C657" s="639"/>
      <c r="D657" s="640"/>
      <c r="E657" s="641"/>
      <c r="F657" s="642"/>
      <c r="G657" s="643"/>
      <c r="H657" s="644"/>
      <c r="J657" s="619"/>
      <c r="K657" s="619"/>
    </row>
    <row r="658" spans="1:11" x14ac:dyDescent="0.2">
      <c r="A658" s="637"/>
      <c r="B658" s="638"/>
      <c r="C658" s="639"/>
      <c r="D658" s="640"/>
      <c r="E658" s="641"/>
      <c r="F658" s="642"/>
      <c r="G658" s="643"/>
      <c r="H658" s="644"/>
      <c r="J658" s="619"/>
      <c r="K658" s="619"/>
    </row>
    <row r="659" spans="1:11" x14ac:dyDescent="0.2">
      <c r="A659" s="637"/>
      <c r="B659" s="638"/>
      <c r="C659" s="639"/>
      <c r="D659" s="640"/>
      <c r="E659" s="641"/>
      <c r="F659" s="642"/>
      <c r="G659" s="643"/>
      <c r="H659" s="644"/>
      <c r="J659" s="619"/>
      <c r="K659" s="619"/>
    </row>
    <row r="660" spans="1:11" x14ac:dyDescent="0.2">
      <c r="A660" s="637"/>
      <c r="B660" s="638"/>
      <c r="C660" s="639"/>
      <c r="D660" s="640"/>
      <c r="E660" s="641"/>
      <c r="F660" s="642"/>
      <c r="G660" s="643"/>
      <c r="H660" s="644"/>
      <c r="J660" s="619"/>
      <c r="K660" s="619"/>
    </row>
    <row r="661" spans="1:11" x14ac:dyDescent="0.2">
      <c r="A661" s="637"/>
      <c r="B661" s="638"/>
      <c r="C661" s="639"/>
      <c r="D661" s="640"/>
      <c r="E661" s="641"/>
      <c r="F661" s="642"/>
      <c r="G661" s="643"/>
      <c r="H661" s="644"/>
      <c r="J661" s="619"/>
      <c r="K661" s="619"/>
    </row>
    <row r="662" spans="1:11" x14ac:dyDescent="0.2">
      <c r="A662" s="637"/>
      <c r="B662" s="638"/>
      <c r="C662" s="639"/>
      <c r="D662" s="640"/>
      <c r="E662" s="641"/>
      <c r="F662" s="642"/>
      <c r="G662" s="643"/>
      <c r="H662" s="644"/>
      <c r="J662" s="619"/>
      <c r="K662" s="619"/>
    </row>
    <row r="663" spans="1:11" x14ac:dyDescent="0.2">
      <c r="A663" s="637"/>
      <c r="B663" s="638"/>
      <c r="C663" s="639"/>
      <c r="D663" s="640"/>
      <c r="E663" s="641"/>
      <c r="F663" s="642"/>
      <c r="G663" s="643"/>
      <c r="H663" s="644"/>
      <c r="J663" s="619"/>
      <c r="K663" s="619"/>
    </row>
    <row r="664" spans="1:11" x14ac:dyDescent="0.2">
      <c r="A664" s="637"/>
      <c r="B664" s="638"/>
      <c r="C664" s="639"/>
      <c r="D664" s="640"/>
      <c r="E664" s="641"/>
      <c r="F664" s="642"/>
      <c r="G664" s="643"/>
      <c r="H664" s="644"/>
      <c r="J664" s="619"/>
      <c r="K664" s="619"/>
    </row>
    <row r="665" spans="1:11" x14ac:dyDescent="0.2">
      <c r="A665" s="637"/>
      <c r="B665" s="638"/>
      <c r="C665" s="639"/>
      <c r="D665" s="640"/>
      <c r="E665" s="641"/>
      <c r="F665" s="642"/>
      <c r="G665" s="643"/>
      <c r="H665" s="644"/>
      <c r="J665" s="619"/>
      <c r="K665" s="619"/>
    </row>
    <row r="666" spans="1:11" x14ac:dyDescent="0.2">
      <c r="A666" s="637"/>
      <c r="B666" s="638"/>
      <c r="C666" s="639"/>
      <c r="D666" s="640"/>
      <c r="E666" s="641"/>
      <c r="F666" s="642"/>
      <c r="G666" s="643"/>
      <c r="H666" s="644"/>
      <c r="J666" s="619"/>
      <c r="K666" s="619"/>
    </row>
    <row r="667" spans="1:11" x14ac:dyDescent="0.2">
      <c r="A667" s="637"/>
      <c r="B667" s="638"/>
      <c r="C667" s="639"/>
      <c r="D667" s="640"/>
      <c r="E667" s="641"/>
      <c r="F667" s="642"/>
      <c r="G667" s="643"/>
      <c r="H667" s="644"/>
      <c r="J667" s="619"/>
      <c r="K667" s="619"/>
    </row>
    <row r="668" spans="1:11" x14ac:dyDescent="0.2">
      <c r="A668" s="637"/>
      <c r="B668" s="638"/>
      <c r="C668" s="639"/>
      <c r="D668" s="640"/>
      <c r="E668" s="641"/>
      <c r="F668" s="642"/>
      <c r="G668" s="643"/>
      <c r="H668" s="644"/>
      <c r="J668" s="619"/>
      <c r="K668" s="619"/>
    </row>
    <row r="669" spans="1:11" x14ac:dyDescent="0.2">
      <c r="A669" s="637"/>
      <c r="B669" s="638"/>
      <c r="C669" s="639"/>
      <c r="D669" s="640"/>
      <c r="E669" s="641"/>
      <c r="F669" s="642"/>
      <c r="G669" s="643"/>
      <c r="H669" s="644"/>
      <c r="J669" s="619"/>
      <c r="K669" s="619"/>
    </row>
    <row r="670" spans="1:11" x14ac:dyDescent="0.2">
      <c r="A670" s="637"/>
      <c r="B670" s="638"/>
      <c r="C670" s="639"/>
      <c r="D670" s="640"/>
      <c r="E670" s="641"/>
      <c r="F670" s="642"/>
      <c r="G670" s="643"/>
      <c r="H670" s="644"/>
      <c r="J670" s="619"/>
      <c r="K670" s="619"/>
    </row>
    <row r="671" spans="1:11" x14ac:dyDescent="0.2">
      <c r="A671" s="637"/>
      <c r="B671" s="638"/>
      <c r="C671" s="639"/>
      <c r="D671" s="640"/>
      <c r="E671" s="641"/>
      <c r="F671" s="642"/>
      <c r="G671" s="643"/>
      <c r="H671" s="644"/>
      <c r="J671" s="619"/>
      <c r="K671" s="619"/>
    </row>
    <row r="672" spans="1:11" x14ac:dyDescent="0.2">
      <c r="A672" s="637"/>
      <c r="B672" s="638"/>
      <c r="C672" s="639"/>
      <c r="D672" s="640"/>
      <c r="E672" s="641"/>
      <c r="F672" s="642"/>
      <c r="G672" s="643"/>
      <c r="H672" s="644"/>
      <c r="J672" s="619"/>
      <c r="K672" s="619"/>
    </row>
    <row r="673" spans="1:11" x14ac:dyDescent="0.2">
      <c r="A673" s="637"/>
      <c r="B673" s="638"/>
      <c r="C673" s="639"/>
      <c r="D673" s="640"/>
      <c r="E673" s="641"/>
      <c r="F673" s="642"/>
      <c r="G673" s="643"/>
      <c r="H673" s="644"/>
      <c r="J673" s="619"/>
      <c r="K673" s="619"/>
    </row>
    <row r="674" spans="1:11" x14ac:dyDescent="0.2">
      <c r="A674" s="637"/>
      <c r="B674" s="638"/>
      <c r="C674" s="639"/>
      <c r="D674" s="640"/>
      <c r="E674" s="641"/>
      <c r="F674" s="642"/>
      <c r="G674" s="643"/>
      <c r="H674" s="644"/>
      <c r="J674" s="619"/>
      <c r="K674" s="619"/>
    </row>
    <row r="675" spans="1:11" x14ac:dyDescent="0.2">
      <c r="A675" s="637"/>
      <c r="B675" s="638"/>
      <c r="C675" s="639"/>
      <c r="D675" s="640"/>
      <c r="E675" s="641"/>
      <c r="F675" s="642"/>
      <c r="G675" s="643"/>
      <c r="H675" s="644"/>
      <c r="J675" s="619"/>
      <c r="K675" s="619"/>
    </row>
    <row r="676" spans="1:11" x14ac:dyDescent="0.2">
      <c r="A676" s="637"/>
      <c r="B676" s="638"/>
      <c r="C676" s="639"/>
      <c r="D676" s="640"/>
      <c r="E676" s="641"/>
      <c r="F676" s="642"/>
      <c r="G676" s="643"/>
      <c r="H676" s="644"/>
      <c r="J676" s="619"/>
      <c r="K676" s="619"/>
    </row>
    <row r="677" spans="1:11" x14ac:dyDescent="0.2">
      <c r="A677" s="637"/>
      <c r="B677" s="638"/>
      <c r="C677" s="639"/>
      <c r="D677" s="640"/>
      <c r="E677" s="641"/>
      <c r="F677" s="642"/>
      <c r="G677" s="643"/>
      <c r="H677" s="644"/>
      <c r="J677" s="619"/>
      <c r="K677" s="619"/>
    </row>
    <row r="678" spans="1:11" x14ac:dyDescent="0.2">
      <c r="A678" s="637"/>
      <c r="B678" s="638"/>
      <c r="C678" s="639"/>
      <c r="D678" s="640"/>
      <c r="E678" s="641"/>
      <c r="F678" s="642"/>
      <c r="G678" s="643"/>
      <c r="H678" s="644"/>
      <c r="J678" s="619"/>
      <c r="K678" s="619"/>
    </row>
    <row r="679" spans="1:11" x14ac:dyDescent="0.2">
      <c r="A679" s="637"/>
      <c r="B679" s="638"/>
      <c r="C679" s="639"/>
      <c r="D679" s="640"/>
      <c r="E679" s="641"/>
      <c r="F679" s="642"/>
      <c r="G679" s="643"/>
      <c r="H679" s="644"/>
      <c r="J679" s="619"/>
      <c r="K679" s="619"/>
    </row>
    <row r="680" spans="1:11" x14ac:dyDescent="0.2">
      <c r="A680" s="637"/>
      <c r="B680" s="638"/>
      <c r="C680" s="639"/>
      <c r="D680" s="640"/>
      <c r="E680" s="641"/>
      <c r="F680" s="642"/>
      <c r="G680" s="643"/>
      <c r="H680" s="644"/>
      <c r="J680" s="619"/>
      <c r="K680" s="619"/>
    </row>
    <row r="681" spans="1:11" x14ac:dyDescent="0.2">
      <c r="A681" s="637"/>
      <c r="B681" s="638"/>
      <c r="C681" s="639"/>
      <c r="D681" s="640"/>
      <c r="E681" s="641"/>
      <c r="F681" s="642"/>
      <c r="G681" s="643"/>
      <c r="H681" s="644"/>
      <c r="J681" s="619"/>
      <c r="K681" s="619"/>
    </row>
    <row r="682" spans="1:11" x14ac:dyDescent="0.2">
      <c r="A682" s="637"/>
      <c r="B682" s="638"/>
      <c r="C682" s="639"/>
      <c r="D682" s="640"/>
      <c r="E682" s="641"/>
      <c r="F682" s="642"/>
      <c r="G682" s="643"/>
      <c r="H682" s="644"/>
      <c r="J682" s="619"/>
      <c r="K682" s="619"/>
    </row>
    <row r="683" spans="1:11" x14ac:dyDescent="0.2">
      <c r="A683" s="637"/>
      <c r="B683" s="638"/>
      <c r="C683" s="639"/>
      <c r="D683" s="640"/>
      <c r="E683" s="641"/>
      <c r="F683" s="642"/>
      <c r="G683" s="643"/>
      <c r="H683" s="644"/>
      <c r="J683" s="619"/>
      <c r="K683" s="619"/>
    </row>
    <row r="684" spans="1:11" x14ac:dyDescent="0.2">
      <c r="A684" s="637"/>
      <c r="B684" s="638"/>
      <c r="C684" s="639"/>
      <c r="D684" s="640"/>
      <c r="E684" s="641"/>
      <c r="F684" s="642"/>
      <c r="G684" s="643"/>
      <c r="H684" s="644"/>
      <c r="J684" s="619"/>
      <c r="K684" s="619"/>
    </row>
    <row r="685" spans="1:11" x14ac:dyDescent="0.2">
      <c r="A685" s="637"/>
      <c r="B685" s="638"/>
      <c r="C685" s="639"/>
      <c r="D685" s="640"/>
      <c r="E685" s="641"/>
      <c r="F685" s="642"/>
      <c r="G685" s="643"/>
      <c r="H685" s="644"/>
      <c r="J685" s="619"/>
      <c r="K685" s="619"/>
    </row>
    <row r="686" spans="1:11" x14ac:dyDescent="0.2">
      <c r="A686" s="637"/>
      <c r="B686" s="638"/>
      <c r="C686" s="639"/>
      <c r="D686" s="640"/>
      <c r="E686" s="641"/>
      <c r="F686" s="642"/>
      <c r="G686" s="643"/>
      <c r="H686" s="644"/>
      <c r="J686" s="619"/>
      <c r="K686" s="619"/>
    </row>
    <row r="687" spans="1:11" x14ac:dyDescent="0.2">
      <c r="A687" s="637"/>
      <c r="B687" s="638"/>
      <c r="C687" s="639"/>
      <c r="D687" s="640"/>
      <c r="E687" s="641"/>
      <c r="F687" s="642"/>
      <c r="G687" s="643"/>
      <c r="H687" s="644"/>
      <c r="J687" s="619"/>
      <c r="K687" s="619"/>
    </row>
    <row r="688" spans="1:11" x14ac:dyDescent="0.2">
      <c r="A688" s="637"/>
      <c r="B688" s="638"/>
      <c r="C688" s="639"/>
      <c r="D688" s="640"/>
      <c r="E688" s="641"/>
      <c r="F688" s="642"/>
      <c r="G688" s="643"/>
      <c r="H688" s="644"/>
      <c r="J688" s="619"/>
      <c r="K688" s="619"/>
    </row>
    <row r="689" spans="1:8" x14ac:dyDescent="0.2">
      <c r="A689" s="637"/>
      <c r="B689" s="638"/>
      <c r="C689" s="639"/>
      <c r="D689" s="640"/>
      <c r="E689" s="641"/>
      <c r="F689" s="642"/>
      <c r="G689" s="643"/>
      <c r="H689" s="644"/>
    </row>
    <row r="690" spans="1:8" x14ac:dyDescent="0.2">
      <c r="A690" s="637"/>
      <c r="B690" s="638"/>
      <c r="C690" s="639"/>
      <c r="D690" s="640"/>
      <c r="E690" s="641"/>
      <c r="F690" s="642"/>
      <c r="G690" s="643"/>
      <c r="H690" s="644"/>
    </row>
    <row r="691" spans="1:8" x14ac:dyDescent="0.2">
      <c r="A691" s="637"/>
      <c r="B691" s="638"/>
      <c r="C691" s="639"/>
      <c r="D691" s="640"/>
      <c r="E691" s="641"/>
      <c r="F691" s="642"/>
      <c r="G691" s="643"/>
      <c r="H691" s="644"/>
    </row>
    <row r="692" spans="1:8" x14ac:dyDescent="0.2">
      <c r="A692" s="637"/>
      <c r="B692" s="638"/>
      <c r="C692" s="639"/>
      <c r="D692" s="640"/>
      <c r="E692" s="641"/>
      <c r="F692" s="642"/>
      <c r="G692" s="643"/>
      <c r="H692" s="644"/>
    </row>
    <row r="693" spans="1:8" x14ac:dyDescent="0.2">
      <c r="A693" s="637"/>
      <c r="B693" s="638"/>
      <c r="C693" s="639"/>
      <c r="D693" s="640"/>
      <c r="E693" s="641"/>
      <c r="F693" s="642"/>
      <c r="G693" s="643"/>
      <c r="H693" s="644"/>
    </row>
    <row r="694" spans="1:8" x14ac:dyDescent="0.2">
      <c r="A694" s="637"/>
      <c r="B694" s="638"/>
      <c r="C694" s="639"/>
      <c r="D694" s="640"/>
      <c r="E694" s="641"/>
      <c r="F694" s="642"/>
      <c r="G694" s="643"/>
      <c r="H694" s="644"/>
    </row>
    <row r="695" spans="1:8" x14ac:dyDescent="0.2">
      <c r="A695" s="637"/>
      <c r="B695" s="638"/>
      <c r="C695" s="639"/>
      <c r="D695" s="640"/>
      <c r="E695" s="641"/>
      <c r="F695" s="642"/>
      <c r="G695" s="643"/>
      <c r="H695" s="644"/>
    </row>
    <row r="696" spans="1:8" x14ac:dyDescent="0.2">
      <c r="A696" s="637"/>
      <c r="B696" s="638"/>
      <c r="C696" s="639"/>
      <c r="D696" s="640"/>
      <c r="E696" s="641"/>
      <c r="F696" s="642"/>
      <c r="G696" s="643"/>
      <c r="H696" s="644"/>
    </row>
    <row r="697" spans="1:8" x14ac:dyDescent="0.2">
      <c r="A697" s="637"/>
      <c r="B697" s="638"/>
      <c r="C697" s="639"/>
      <c r="D697" s="640"/>
      <c r="E697" s="641"/>
      <c r="F697" s="642"/>
      <c r="G697" s="643"/>
      <c r="H697" s="644"/>
    </row>
    <row r="698" spans="1:8" x14ac:dyDescent="0.2">
      <c r="A698" s="637"/>
      <c r="B698" s="638"/>
      <c r="C698" s="639"/>
      <c r="D698" s="640"/>
      <c r="E698" s="641"/>
      <c r="F698" s="642"/>
      <c r="G698" s="643"/>
      <c r="H698" s="644"/>
    </row>
    <row r="699" spans="1:8" x14ac:dyDescent="0.2">
      <c r="A699" s="637"/>
      <c r="B699" s="638"/>
      <c r="C699" s="639"/>
      <c r="D699" s="640"/>
      <c r="E699" s="641"/>
      <c r="F699" s="642"/>
      <c r="G699" s="643"/>
      <c r="H699" s="644"/>
    </row>
    <row r="700" spans="1:8" x14ac:dyDescent="0.2">
      <c r="A700" s="637"/>
      <c r="B700" s="638"/>
      <c r="C700" s="639"/>
      <c r="D700" s="640"/>
      <c r="E700" s="641"/>
      <c r="F700" s="642"/>
      <c r="G700" s="643"/>
      <c r="H700" s="644"/>
    </row>
    <row r="701" spans="1:8" x14ac:dyDescent="0.2">
      <c r="A701" s="637"/>
      <c r="B701" s="638"/>
      <c r="C701" s="639"/>
      <c r="D701" s="640"/>
      <c r="E701" s="641"/>
      <c r="F701" s="642"/>
      <c r="G701" s="643"/>
      <c r="H701" s="644"/>
    </row>
    <row r="702" spans="1:8" x14ac:dyDescent="0.2">
      <c r="A702" s="637"/>
      <c r="B702" s="638"/>
      <c r="C702" s="639"/>
      <c r="D702" s="640"/>
      <c r="E702" s="641"/>
      <c r="F702" s="642"/>
      <c r="G702" s="643"/>
      <c r="H702" s="644"/>
    </row>
    <row r="703" spans="1:8" x14ac:dyDescent="0.2">
      <c r="A703" s="637"/>
      <c r="B703" s="638"/>
      <c r="C703" s="639"/>
      <c r="D703" s="640"/>
      <c r="E703" s="641"/>
      <c r="F703" s="642"/>
      <c r="G703" s="643"/>
      <c r="H703" s="644"/>
    </row>
    <row r="704" spans="1:8" x14ac:dyDescent="0.2">
      <c r="A704" s="637"/>
      <c r="B704" s="638"/>
      <c r="C704" s="639"/>
      <c r="D704" s="640"/>
      <c r="E704" s="641"/>
      <c r="F704" s="642"/>
      <c r="G704" s="643"/>
      <c r="H704" s="644"/>
    </row>
    <row r="705" spans="1:8" x14ac:dyDescent="0.2">
      <c r="A705" s="637"/>
      <c r="B705" s="638"/>
      <c r="C705" s="639"/>
      <c r="D705" s="640"/>
      <c r="E705" s="641"/>
      <c r="F705" s="642"/>
      <c r="G705" s="643"/>
      <c r="H705" s="644"/>
    </row>
    <row r="706" spans="1:8" x14ac:dyDescent="0.2">
      <c r="A706" s="637"/>
      <c r="B706" s="638"/>
      <c r="C706" s="639"/>
      <c r="D706" s="640"/>
      <c r="E706" s="641"/>
      <c r="F706" s="642"/>
      <c r="G706" s="643"/>
      <c r="H706" s="644"/>
    </row>
    <row r="707" spans="1:8" x14ac:dyDescent="0.2">
      <c r="A707" s="637"/>
      <c r="B707" s="638"/>
      <c r="C707" s="639"/>
      <c r="D707" s="640"/>
      <c r="E707" s="641"/>
      <c r="F707" s="642"/>
      <c r="G707" s="643"/>
      <c r="H707" s="644"/>
    </row>
    <row r="708" spans="1:8" x14ac:dyDescent="0.2">
      <c r="A708" s="637"/>
      <c r="B708" s="638"/>
      <c r="C708" s="639"/>
      <c r="D708" s="640"/>
      <c r="E708" s="641"/>
      <c r="F708" s="642"/>
      <c r="G708" s="643"/>
      <c r="H708" s="644"/>
    </row>
    <row r="709" spans="1:8" x14ac:dyDescent="0.2">
      <c r="A709" s="637"/>
      <c r="B709" s="638"/>
      <c r="C709" s="639"/>
      <c r="D709" s="640"/>
      <c r="E709" s="641"/>
      <c r="F709" s="642"/>
      <c r="G709" s="643"/>
      <c r="H709" s="644"/>
    </row>
    <row r="710" spans="1:8" x14ac:dyDescent="0.2">
      <c r="A710" s="637"/>
      <c r="B710" s="638"/>
      <c r="C710" s="639"/>
      <c r="D710" s="640"/>
      <c r="E710" s="641"/>
      <c r="F710" s="642"/>
      <c r="G710" s="643"/>
      <c r="H710" s="644"/>
    </row>
    <row r="711" spans="1:8" x14ac:dyDescent="0.2">
      <c r="A711" s="637"/>
      <c r="B711" s="638"/>
      <c r="C711" s="639"/>
      <c r="D711" s="640"/>
      <c r="E711" s="641"/>
      <c r="F711" s="642"/>
      <c r="G711" s="643"/>
      <c r="H711" s="644"/>
    </row>
    <row r="712" spans="1:8" x14ac:dyDescent="0.2">
      <c r="A712" s="637"/>
      <c r="B712" s="638"/>
      <c r="C712" s="639"/>
      <c r="D712" s="640"/>
      <c r="E712" s="641"/>
      <c r="F712" s="642"/>
      <c r="G712" s="643"/>
      <c r="H712" s="644"/>
    </row>
    <row r="713" spans="1:8" x14ac:dyDescent="0.2">
      <c r="A713" s="637"/>
      <c r="B713" s="638"/>
      <c r="C713" s="639"/>
      <c r="D713" s="640"/>
      <c r="E713" s="641"/>
      <c r="F713" s="642"/>
      <c r="G713" s="643"/>
      <c r="H713" s="644"/>
    </row>
    <row r="714" spans="1:8" x14ac:dyDescent="0.2">
      <c r="A714" s="637"/>
      <c r="B714" s="638"/>
      <c r="C714" s="639"/>
      <c r="D714" s="640"/>
      <c r="E714" s="641"/>
      <c r="F714" s="642"/>
      <c r="G714" s="643"/>
      <c r="H714" s="644"/>
    </row>
    <row r="715" spans="1:8" x14ac:dyDescent="0.2">
      <c r="A715" s="637"/>
      <c r="B715" s="638"/>
      <c r="C715" s="639"/>
      <c r="D715" s="640"/>
      <c r="E715" s="641"/>
      <c r="F715" s="642"/>
      <c r="G715" s="643"/>
      <c r="H715" s="644"/>
    </row>
    <row r="716" spans="1:8" x14ac:dyDescent="0.2">
      <c r="A716" s="637"/>
      <c r="B716" s="638"/>
      <c r="C716" s="639"/>
      <c r="D716" s="640"/>
      <c r="E716" s="641"/>
      <c r="F716" s="642"/>
      <c r="G716" s="643"/>
      <c r="H716" s="644"/>
    </row>
    <row r="717" spans="1:8" x14ac:dyDescent="0.2">
      <c r="A717" s="637"/>
      <c r="B717" s="638"/>
      <c r="C717" s="639"/>
      <c r="D717" s="640"/>
      <c r="E717" s="641"/>
      <c r="F717" s="642"/>
      <c r="G717" s="643"/>
      <c r="H717" s="644"/>
    </row>
    <row r="718" spans="1:8" x14ac:dyDescent="0.2">
      <c r="A718" s="637"/>
      <c r="B718" s="638"/>
      <c r="C718" s="639"/>
      <c r="D718" s="640"/>
      <c r="E718" s="641"/>
      <c r="F718" s="642"/>
      <c r="G718" s="643"/>
      <c r="H718" s="644"/>
    </row>
    <row r="719" spans="1:8" x14ac:dyDescent="0.2">
      <c r="A719" s="637"/>
      <c r="B719" s="638"/>
      <c r="C719" s="639"/>
      <c r="D719" s="640"/>
      <c r="E719" s="641"/>
      <c r="F719" s="642"/>
      <c r="G719" s="643"/>
      <c r="H719" s="644"/>
    </row>
    <row r="720" spans="1:8" x14ac:dyDescent="0.2">
      <c r="A720" s="637"/>
      <c r="B720" s="638"/>
      <c r="C720" s="639"/>
      <c r="D720" s="640"/>
      <c r="E720" s="641"/>
      <c r="F720" s="642"/>
      <c r="G720" s="643"/>
      <c r="H720" s="644"/>
    </row>
    <row r="721" spans="1:8" x14ac:dyDescent="0.2">
      <c r="A721" s="637"/>
      <c r="B721" s="638"/>
      <c r="C721" s="639"/>
      <c r="D721" s="640"/>
      <c r="E721" s="641"/>
      <c r="F721" s="642"/>
      <c r="G721" s="643"/>
      <c r="H721" s="644"/>
    </row>
    <row r="722" spans="1:8" x14ac:dyDescent="0.2">
      <c r="A722" s="637"/>
      <c r="B722" s="638"/>
      <c r="C722" s="639"/>
      <c r="D722" s="640"/>
      <c r="E722" s="641"/>
      <c r="F722" s="642"/>
      <c r="G722" s="643"/>
      <c r="H722" s="644"/>
    </row>
    <row r="723" spans="1:8" x14ac:dyDescent="0.2">
      <c r="A723" s="637"/>
      <c r="B723" s="638"/>
      <c r="C723" s="639"/>
      <c r="D723" s="640"/>
      <c r="E723" s="641"/>
      <c r="F723" s="642"/>
      <c r="G723" s="643"/>
      <c r="H723" s="644"/>
    </row>
    <row r="724" spans="1:8" x14ac:dyDescent="0.2">
      <c r="A724" s="637"/>
      <c r="B724" s="638"/>
      <c r="C724" s="639"/>
      <c r="D724" s="640"/>
      <c r="E724" s="641"/>
      <c r="F724" s="642"/>
      <c r="G724" s="643"/>
      <c r="H724" s="644"/>
    </row>
    <row r="725" spans="1:8" x14ac:dyDescent="0.2">
      <c r="A725" s="637"/>
      <c r="B725" s="638"/>
      <c r="C725" s="639"/>
      <c r="D725" s="640"/>
      <c r="E725" s="641"/>
      <c r="F725" s="642"/>
      <c r="G725" s="643"/>
      <c r="H725" s="644"/>
    </row>
    <row r="726" spans="1:8" x14ac:dyDescent="0.2">
      <c r="A726" s="637"/>
      <c r="B726" s="638"/>
      <c r="C726" s="639"/>
      <c r="D726" s="640"/>
      <c r="E726" s="641"/>
      <c r="F726" s="642"/>
      <c r="G726" s="643"/>
      <c r="H726" s="644"/>
    </row>
    <row r="727" spans="1:8" x14ac:dyDescent="0.2">
      <c r="A727" s="637"/>
      <c r="B727" s="638"/>
      <c r="C727" s="639"/>
      <c r="D727" s="640"/>
      <c r="E727" s="641"/>
      <c r="F727" s="642"/>
      <c r="G727" s="643"/>
      <c r="H727" s="644"/>
    </row>
    <row r="728" spans="1:8" x14ac:dyDescent="0.2">
      <c r="A728" s="637"/>
      <c r="B728" s="638"/>
      <c r="C728" s="639"/>
      <c r="D728" s="640"/>
      <c r="E728" s="641"/>
      <c r="F728" s="642"/>
      <c r="G728" s="643"/>
      <c r="H728" s="644"/>
    </row>
    <row r="729" spans="1:8" x14ac:dyDescent="0.2">
      <c r="A729" s="637"/>
      <c r="B729" s="638"/>
      <c r="C729" s="639"/>
      <c r="D729" s="640"/>
      <c r="E729" s="641"/>
      <c r="F729" s="642"/>
      <c r="G729" s="643"/>
      <c r="H729" s="644"/>
    </row>
    <row r="730" spans="1:8" x14ac:dyDescent="0.2">
      <c r="A730" s="637"/>
      <c r="B730" s="638"/>
      <c r="C730" s="639"/>
      <c r="D730" s="640"/>
      <c r="E730" s="641"/>
      <c r="F730" s="642"/>
      <c r="G730" s="643"/>
      <c r="H730" s="644"/>
    </row>
    <row r="731" spans="1:8" x14ac:dyDescent="0.2">
      <c r="A731" s="637"/>
      <c r="B731" s="638"/>
      <c r="C731" s="639"/>
      <c r="D731" s="640"/>
      <c r="E731" s="641"/>
      <c r="F731" s="642"/>
      <c r="G731" s="643"/>
      <c r="H731" s="644"/>
    </row>
    <row r="732" spans="1:8" x14ac:dyDescent="0.2">
      <c r="A732" s="637"/>
      <c r="B732" s="638"/>
      <c r="C732" s="639"/>
      <c r="D732" s="640"/>
      <c r="E732" s="641"/>
      <c r="F732" s="642"/>
      <c r="G732" s="643"/>
      <c r="H732" s="644"/>
    </row>
    <row r="733" spans="1:8" x14ac:dyDescent="0.2">
      <c r="A733" s="637"/>
      <c r="B733" s="638"/>
      <c r="C733" s="639"/>
      <c r="D733" s="640"/>
      <c r="E733" s="641"/>
      <c r="F733" s="642"/>
      <c r="G733" s="643"/>
      <c r="H733" s="644"/>
    </row>
    <row r="734" spans="1:8" x14ac:dyDescent="0.2">
      <c r="A734" s="637"/>
      <c r="B734" s="638"/>
      <c r="C734" s="639"/>
      <c r="D734" s="640"/>
      <c r="E734" s="641"/>
      <c r="F734" s="642"/>
      <c r="G734" s="643"/>
      <c r="H734" s="644"/>
    </row>
    <row r="735" spans="1:8" x14ac:dyDescent="0.2">
      <c r="A735" s="637"/>
      <c r="B735" s="638"/>
      <c r="C735" s="639"/>
      <c r="D735" s="640"/>
      <c r="E735" s="641"/>
      <c r="F735" s="642"/>
      <c r="G735" s="643"/>
      <c r="H735" s="644"/>
    </row>
    <row r="736" spans="1:8" x14ac:dyDescent="0.2">
      <c r="A736" s="637"/>
      <c r="B736" s="638"/>
      <c r="C736" s="639"/>
      <c r="D736" s="640"/>
      <c r="E736" s="641"/>
      <c r="F736" s="642"/>
      <c r="G736" s="643"/>
      <c r="H736" s="644"/>
    </row>
    <row r="737" spans="1:8" x14ac:dyDescent="0.2">
      <c r="A737" s="637"/>
      <c r="B737" s="638"/>
      <c r="C737" s="639"/>
      <c r="D737" s="640"/>
      <c r="E737" s="641"/>
      <c r="F737" s="642"/>
      <c r="G737" s="643"/>
      <c r="H737" s="644"/>
    </row>
    <row r="738" spans="1:8" x14ac:dyDescent="0.2">
      <c r="A738" s="637"/>
      <c r="B738" s="638"/>
      <c r="C738" s="639"/>
      <c r="D738" s="640"/>
      <c r="E738" s="641"/>
      <c r="F738" s="642"/>
      <c r="G738" s="643"/>
      <c r="H738" s="644"/>
    </row>
    <row r="739" spans="1:8" x14ac:dyDescent="0.2">
      <c r="A739" s="637"/>
      <c r="B739" s="638"/>
      <c r="C739" s="639"/>
      <c r="D739" s="640"/>
      <c r="E739" s="641"/>
      <c r="F739" s="642"/>
      <c r="G739" s="643"/>
      <c r="H739" s="644"/>
    </row>
    <row r="740" spans="1:8" x14ac:dyDescent="0.2">
      <c r="A740" s="637"/>
      <c r="B740" s="638"/>
      <c r="C740" s="639"/>
      <c r="D740" s="640"/>
      <c r="E740" s="641"/>
      <c r="F740" s="642"/>
      <c r="G740" s="643"/>
      <c r="H740" s="644"/>
    </row>
    <row r="741" spans="1:8" x14ac:dyDescent="0.2">
      <c r="A741" s="637"/>
      <c r="B741" s="638"/>
      <c r="C741" s="639"/>
      <c r="D741" s="640"/>
      <c r="E741" s="641"/>
      <c r="F741" s="642"/>
      <c r="G741" s="643"/>
      <c r="H741" s="644"/>
    </row>
    <row r="742" spans="1:8" x14ac:dyDescent="0.2">
      <c r="A742" s="637"/>
      <c r="B742" s="638"/>
      <c r="C742" s="639"/>
      <c r="D742" s="640"/>
      <c r="E742" s="641"/>
      <c r="F742" s="642"/>
      <c r="G742" s="643"/>
      <c r="H742" s="644"/>
    </row>
    <row r="743" spans="1:8" x14ac:dyDescent="0.2">
      <c r="A743" s="637"/>
      <c r="B743" s="638"/>
      <c r="C743" s="639"/>
      <c r="D743" s="640"/>
      <c r="E743" s="641"/>
      <c r="F743" s="642"/>
      <c r="G743" s="643"/>
      <c r="H743" s="644"/>
    </row>
    <row r="744" spans="1:8" x14ac:dyDescent="0.2">
      <c r="A744" s="637"/>
      <c r="B744" s="638"/>
      <c r="C744" s="639"/>
      <c r="D744" s="640"/>
      <c r="E744" s="641"/>
      <c r="F744" s="642"/>
      <c r="G744" s="643"/>
      <c r="H744" s="644"/>
    </row>
    <row r="745" spans="1:8" x14ac:dyDescent="0.2">
      <c r="A745" s="637"/>
      <c r="B745" s="638"/>
      <c r="C745" s="639"/>
      <c r="D745" s="640"/>
      <c r="E745" s="641"/>
      <c r="F745" s="642"/>
      <c r="G745" s="643"/>
      <c r="H745" s="644"/>
    </row>
    <row r="746" spans="1:8" x14ac:dyDescent="0.2">
      <c r="A746" s="637"/>
      <c r="B746" s="638"/>
      <c r="C746" s="639"/>
      <c r="D746" s="640"/>
      <c r="E746" s="641"/>
      <c r="F746" s="642"/>
      <c r="G746" s="643"/>
      <c r="H746" s="644"/>
    </row>
    <row r="747" spans="1:8" x14ac:dyDescent="0.2">
      <c r="A747" s="637"/>
      <c r="B747" s="638"/>
      <c r="C747" s="639"/>
      <c r="D747" s="640"/>
      <c r="E747" s="641"/>
      <c r="F747" s="642"/>
      <c r="G747" s="643"/>
      <c r="H747" s="644"/>
    </row>
    <row r="748" spans="1:8" x14ac:dyDescent="0.2">
      <c r="A748" s="637"/>
      <c r="B748" s="638"/>
      <c r="C748" s="639"/>
      <c r="D748" s="640"/>
      <c r="E748" s="641"/>
      <c r="F748" s="642"/>
      <c r="G748" s="643"/>
      <c r="H748" s="644"/>
    </row>
    <row r="749" spans="1:8" x14ac:dyDescent="0.2">
      <c r="A749" s="637"/>
      <c r="B749" s="638"/>
      <c r="C749" s="639"/>
      <c r="D749" s="640"/>
      <c r="E749" s="641"/>
      <c r="F749" s="642"/>
      <c r="G749" s="643"/>
      <c r="H749" s="644"/>
    </row>
    <row r="750" spans="1:8" x14ac:dyDescent="0.2">
      <c r="A750" s="637"/>
      <c r="B750" s="638"/>
      <c r="C750" s="639"/>
      <c r="D750" s="640"/>
      <c r="E750" s="641"/>
      <c r="F750" s="642"/>
      <c r="G750" s="643"/>
      <c r="H750" s="644"/>
    </row>
    <row r="751" spans="1:8" x14ac:dyDescent="0.2">
      <c r="A751" s="637"/>
      <c r="B751" s="638"/>
      <c r="C751" s="639"/>
      <c r="D751" s="640"/>
      <c r="E751" s="641"/>
      <c r="F751" s="642"/>
      <c r="G751" s="643"/>
      <c r="H751" s="644"/>
    </row>
    <row r="752" spans="1:8" x14ac:dyDescent="0.2">
      <c r="A752" s="637"/>
      <c r="B752" s="638"/>
      <c r="C752" s="639"/>
      <c r="D752" s="640"/>
      <c r="E752" s="641"/>
      <c r="F752" s="642"/>
      <c r="G752" s="643"/>
      <c r="H752" s="644"/>
    </row>
    <row r="753" spans="1:8" x14ac:dyDescent="0.2">
      <c r="A753" s="637"/>
      <c r="B753" s="638"/>
      <c r="C753" s="639"/>
      <c r="D753" s="640"/>
      <c r="E753" s="641"/>
      <c r="F753" s="642"/>
      <c r="G753" s="643"/>
      <c r="H753" s="644"/>
    </row>
    <row r="754" spans="1:8" x14ac:dyDescent="0.2">
      <c r="A754" s="637"/>
      <c r="B754" s="638"/>
      <c r="C754" s="639"/>
      <c r="D754" s="640"/>
      <c r="E754" s="641"/>
      <c r="F754" s="642"/>
      <c r="G754" s="643"/>
      <c r="H754" s="644"/>
    </row>
    <row r="755" spans="1:8" x14ac:dyDescent="0.2">
      <c r="A755" s="637"/>
      <c r="B755" s="638"/>
      <c r="C755" s="639"/>
      <c r="D755" s="640"/>
      <c r="E755" s="641"/>
      <c r="F755" s="642"/>
      <c r="G755" s="643"/>
      <c r="H755" s="644"/>
    </row>
    <row r="756" spans="1:8" x14ac:dyDescent="0.2">
      <c r="A756" s="637"/>
      <c r="B756" s="638"/>
      <c r="C756" s="639"/>
      <c r="D756" s="640"/>
      <c r="E756" s="641"/>
      <c r="F756" s="642"/>
      <c r="G756" s="643"/>
      <c r="H756" s="644"/>
    </row>
    <row r="757" spans="1:8" x14ac:dyDescent="0.2">
      <c r="A757" s="637"/>
      <c r="B757" s="638"/>
      <c r="C757" s="639"/>
      <c r="D757" s="640"/>
      <c r="E757" s="641"/>
      <c r="F757" s="642"/>
      <c r="G757" s="643"/>
      <c r="H757" s="644"/>
    </row>
    <row r="758" spans="1:8" x14ac:dyDescent="0.2">
      <c r="A758" s="637"/>
      <c r="B758" s="638"/>
      <c r="C758" s="639"/>
      <c r="D758" s="640"/>
      <c r="E758" s="641"/>
      <c r="F758" s="642"/>
      <c r="G758" s="643"/>
      <c r="H758" s="644"/>
    </row>
    <row r="759" spans="1:8" x14ac:dyDescent="0.2">
      <c r="A759" s="637"/>
      <c r="B759" s="638"/>
      <c r="C759" s="639"/>
      <c r="D759" s="640"/>
      <c r="E759" s="641"/>
      <c r="F759" s="642"/>
      <c r="G759" s="643"/>
      <c r="H759" s="644"/>
    </row>
    <row r="760" spans="1:8" x14ac:dyDescent="0.2">
      <c r="A760" s="637"/>
      <c r="B760" s="638"/>
      <c r="C760" s="639"/>
      <c r="D760" s="640"/>
      <c r="E760" s="641"/>
      <c r="F760" s="642"/>
      <c r="G760" s="643"/>
      <c r="H760" s="644"/>
    </row>
    <row r="761" spans="1:8" x14ac:dyDescent="0.2">
      <c r="A761" s="637"/>
      <c r="B761" s="638"/>
      <c r="C761" s="639"/>
      <c r="D761" s="640"/>
      <c r="E761" s="641"/>
      <c r="F761" s="642"/>
      <c r="G761" s="643"/>
      <c r="H761" s="644"/>
    </row>
    <row r="762" spans="1:8" x14ac:dyDescent="0.2">
      <c r="A762" s="637"/>
      <c r="B762" s="638"/>
      <c r="C762" s="639"/>
      <c r="D762" s="640"/>
      <c r="E762" s="641"/>
      <c r="F762" s="642"/>
      <c r="G762" s="643"/>
      <c r="H762" s="644"/>
    </row>
    <row r="763" spans="1:8" x14ac:dyDescent="0.2">
      <c r="A763" s="637"/>
      <c r="B763" s="638"/>
      <c r="C763" s="639"/>
      <c r="D763" s="640"/>
      <c r="E763" s="641"/>
      <c r="F763" s="642"/>
      <c r="G763" s="643"/>
      <c r="H763" s="644"/>
    </row>
    <row r="764" spans="1:8" x14ac:dyDescent="0.2">
      <c r="A764" s="637"/>
      <c r="B764" s="638"/>
      <c r="C764" s="639"/>
      <c r="D764" s="640"/>
      <c r="E764" s="641"/>
      <c r="F764" s="642"/>
      <c r="G764" s="643"/>
      <c r="H764" s="644"/>
    </row>
    <row r="765" spans="1:8" x14ac:dyDescent="0.2">
      <c r="A765" s="637"/>
      <c r="B765" s="638"/>
      <c r="C765" s="639"/>
      <c r="D765" s="640"/>
      <c r="E765" s="641"/>
      <c r="F765" s="642"/>
      <c r="G765" s="643"/>
      <c r="H765" s="644"/>
    </row>
    <row r="766" spans="1:8" x14ac:dyDescent="0.2">
      <c r="A766" s="637"/>
      <c r="B766" s="638"/>
      <c r="C766" s="639"/>
      <c r="D766" s="640"/>
      <c r="E766" s="641"/>
      <c r="F766" s="642"/>
      <c r="G766" s="643"/>
      <c r="H766" s="644"/>
    </row>
    <row r="767" spans="1:8" x14ac:dyDescent="0.2">
      <c r="A767" s="637"/>
      <c r="B767" s="638"/>
      <c r="C767" s="639"/>
      <c r="D767" s="640"/>
      <c r="E767" s="641"/>
      <c r="F767" s="642"/>
      <c r="G767" s="643"/>
      <c r="H767" s="644"/>
    </row>
    <row r="768" spans="1:8" x14ac:dyDescent="0.2">
      <c r="A768" s="637"/>
      <c r="B768" s="638"/>
      <c r="C768" s="639"/>
      <c r="D768" s="640"/>
      <c r="E768" s="641"/>
      <c r="F768" s="642"/>
      <c r="G768" s="643"/>
      <c r="H768" s="644"/>
    </row>
    <row r="769" spans="1:8" x14ac:dyDescent="0.2">
      <c r="A769" s="637"/>
      <c r="B769" s="638"/>
      <c r="C769" s="639"/>
      <c r="D769" s="640"/>
      <c r="E769" s="641"/>
      <c r="F769" s="642"/>
      <c r="G769" s="643"/>
      <c r="H769" s="644"/>
    </row>
    <row r="770" spans="1:8" x14ac:dyDescent="0.2">
      <c r="A770" s="637"/>
      <c r="B770" s="638"/>
      <c r="C770" s="639"/>
      <c r="D770" s="640"/>
      <c r="E770" s="641"/>
      <c r="F770" s="642"/>
      <c r="G770" s="643"/>
      <c r="H770" s="644"/>
    </row>
    <row r="771" spans="1:8" x14ac:dyDescent="0.2">
      <c r="A771" s="637"/>
      <c r="B771" s="638"/>
      <c r="C771" s="639"/>
      <c r="D771" s="640"/>
      <c r="E771" s="641"/>
      <c r="F771" s="642"/>
      <c r="G771" s="643"/>
      <c r="H771" s="644"/>
    </row>
    <row r="772" spans="1:8" x14ac:dyDescent="0.2">
      <c r="A772" s="637"/>
      <c r="B772" s="638"/>
      <c r="C772" s="639"/>
      <c r="D772" s="640"/>
      <c r="E772" s="641"/>
      <c r="F772" s="642"/>
      <c r="G772" s="643"/>
      <c r="H772" s="644"/>
    </row>
    <row r="773" spans="1:8" x14ac:dyDescent="0.2">
      <c r="A773" s="637"/>
      <c r="B773" s="638"/>
      <c r="C773" s="639"/>
      <c r="D773" s="640"/>
      <c r="E773" s="641"/>
      <c r="F773" s="642"/>
      <c r="G773" s="643"/>
      <c r="H773" s="644"/>
    </row>
    <row r="774" spans="1:8" x14ac:dyDescent="0.2">
      <c r="A774" s="637"/>
      <c r="B774" s="638"/>
      <c r="C774" s="639"/>
      <c r="D774" s="640"/>
      <c r="E774" s="641"/>
      <c r="F774" s="642"/>
      <c r="G774" s="643"/>
      <c r="H774" s="644"/>
    </row>
    <row r="775" spans="1:8" x14ac:dyDescent="0.2">
      <c r="A775" s="637"/>
      <c r="B775" s="638"/>
      <c r="C775" s="639"/>
      <c r="D775" s="640"/>
      <c r="E775" s="641"/>
      <c r="F775" s="642"/>
      <c r="G775" s="643"/>
      <c r="H775" s="644"/>
    </row>
    <row r="776" spans="1:8" x14ac:dyDescent="0.2">
      <c r="A776" s="637"/>
      <c r="B776" s="638"/>
      <c r="C776" s="639"/>
      <c r="D776" s="640"/>
      <c r="E776" s="641"/>
      <c r="F776" s="642"/>
      <c r="G776" s="643"/>
      <c r="H776" s="644"/>
    </row>
    <row r="777" spans="1:8" x14ac:dyDescent="0.2">
      <c r="A777" s="637"/>
      <c r="B777" s="638"/>
      <c r="C777" s="639"/>
      <c r="D777" s="640"/>
      <c r="E777" s="641"/>
      <c r="F777" s="642"/>
      <c r="G777" s="643"/>
      <c r="H777" s="644"/>
    </row>
    <row r="778" spans="1:8" x14ac:dyDescent="0.2">
      <c r="A778" s="637"/>
      <c r="B778" s="638"/>
      <c r="C778" s="639"/>
      <c r="D778" s="640"/>
      <c r="E778" s="641"/>
      <c r="F778" s="642"/>
      <c r="G778" s="643"/>
      <c r="H778" s="644"/>
    </row>
    <row r="779" spans="1:8" x14ac:dyDescent="0.2">
      <c r="A779" s="637"/>
      <c r="B779" s="638"/>
      <c r="C779" s="639"/>
      <c r="D779" s="640"/>
      <c r="E779" s="641"/>
      <c r="F779" s="642"/>
      <c r="G779" s="643"/>
      <c r="H779" s="644"/>
    </row>
    <row r="780" spans="1:8" x14ac:dyDescent="0.2">
      <c r="A780" s="637"/>
      <c r="B780" s="638"/>
      <c r="C780" s="639"/>
      <c r="D780" s="640"/>
      <c r="E780" s="641"/>
      <c r="F780" s="642"/>
      <c r="G780" s="643"/>
      <c r="H780" s="644"/>
    </row>
    <row r="781" spans="1:8" x14ac:dyDescent="0.2">
      <c r="A781" s="637"/>
      <c r="B781" s="638"/>
      <c r="C781" s="639"/>
      <c r="D781" s="640"/>
      <c r="E781" s="641"/>
      <c r="F781" s="642"/>
      <c r="G781" s="643"/>
      <c r="H781" s="644"/>
    </row>
    <row r="782" spans="1:8" x14ac:dyDescent="0.2">
      <c r="A782" s="637"/>
      <c r="B782" s="638"/>
      <c r="C782" s="639"/>
      <c r="D782" s="640"/>
      <c r="E782" s="641"/>
      <c r="F782" s="642"/>
      <c r="G782" s="643"/>
      <c r="H782" s="644"/>
    </row>
    <row r="783" spans="1:8" x14ac:dyDescent="0.2">
      <c r="A783" s="637"/>
      <c r="B783" s="638"/>
      <c r="C783" s="639"/>
      <c r="D783" s="640"/>
      <c r="E783" s="641"/>
      <c r="F783" s="642"/>
      <c r="G783" s="643"/>
      <c r="H783" s="644"/>
    </row>
    <row r="784" spans="1:8" x14ac:dyDescent="0.2">
      <c r="A784" s="637"/>
      <c r="B784" s="638"/>
      <c r="C784" s="639"/>
      <c r="D784" s="640"/>
      <c r="E784" s="641"/>
      <c r="F784" s="642"/>
      <c r="G784" s="643"/>
      <c r="H784" s="644"/>
    </row>
    <row r="785" spans="1:8" x14ac:dyDescent="0.2">
      <c r="A785" s="637"/>
      <c r="B785" s="638"/>
      <c r="C785" s="639"/>
      <c r="D785" s="640"/>
      <c r="E785" s="641"/>
      <c r="F785" s="642"/>
      <c r="G785" s="643"/>
      <c r="H785" s="644"/>
    </row>
    <row r="786" spans="1:8" x14ac:dyDescent="0.2">
      <c r="A786" s="637"/>
      <c r="B786" s="638"/>
      <c r="C786" s="639"/>
      <c r="D786" s="640"/>
      <c r="E786" s="641"/>
      <c r="F786" s="642"/>
      <c r="G786" s="643"/>
      <c r="H786" s="644"/>
    </row>
    <row r="787" spans="1:8" x14ac:dyDescent="0.2">
      <c r="A787" s="637"/>
      <c r="B787" s="638"/>
      <c r="C787" s="639"/>
      <c r="D787" s="640"/>
      <c r="E787" s="641"/>
      <c r="F787" s="642"/>
      <c r="G787" s="643"/>
      <c r="H787" s="644"/>
    </row>
    <row r="788" spans="1:8" x14ac:dyDescent="0.2">
      <c r="A788" s="637"/>
      <c r="B788" s="638"/>
      <c r="C788" s="639"/>
      <c r="D788" s="640"/>
      <c r="E788" s="641"/>
      <c r="F788" s="642"/>
      <c r="G788" s="643"/>
      <c r="H788" s="644"/>
    </row>
    <row r="789" spans="1:8" x14ac:dyDescent="0.2">
      <c r="A789" s="637"/>
      <c r="B789" s="638"/>
      <c r="C789" s="639"/>
      <c r="D789" s="640"/>
      <c r="E789" s="641"/>
      <c r="F789" s="642"/>
      <c r="G789" s="643"/>
      <c r="H789" s="644"/>
    </row>
    <row r="790" spans="1:8" x14ac:dyDescent="0.2">
      <c r="A790" s="637"/>
      <c r="B790" s="638"/>
      <c r="C790" s="639"/>
      <c r="D790" s="640"/>
      <c r="E790" s="641"/>
      <c r="F790" s="642"/>
      <c r="G790" s="643"/>
      <c r="H790" s="644"/>
    </row>
    <row r="791" spans="1:8" x14ac:dyDescent="0.2">
      <c r="A791" s="637"/>
      <c r="B791" s="638"/>
      <c r="C791" s="639"/>
      <c r="D791" s="640"/>
      <c r="E791" s="641"/>
      <c r="F791" s="642"/>
      <c r="G791" s="643"/>
      <c r="H791" s="644"/>
    </row>
    <row r="792" spans="1:8" x14ac:dyDescent="0.2">
      <c r="A792" s="637"/>
      <c r="B792" s="638"/>
      <c r="C792" s="639"/>
      <c r="D792" s="640"/>
      <c r="E792" s="641"/>
      <c r="F792" s="642"/>
      <c r="G792" s="643"/>
      <c r="H792" s="644"/>
    </row>
    <row r="793" spans="1:8" x14ac:dyDescent="0.2">
      <c r="A793" s="637"/>
      <c r="B793" s="638"/>
      <c r="C793" s="639"/>
      <c r="D793" s="640"/>
      <c r="E793" s="641"/>
      <c r="F793" s="642"/>
      <c r="G793" s="643"/>
      <c r="H793" s="644"/>
    </row>
    <row r="794" spans="1:8" x14ac:dyDescent="0.2">
      <c r="A794" s="637"/>
      <c r="B794" s="638"/>
      <c r="C794" s="639"/>
      <c r="D794" s="640"/>
      <c r="E794" s="641"/>
      <c r="F794" s="642"/>
      <c r="G794" s="643"/>
      <c r="H794" s="644"/>
    </row>
    <row r="795" spans="1:8" x14ac:dyDescent="0.2">
      <c r="A795" s="637"/>
      <c r="B795" s="638"/>
      <c r="C795" s="639"/>
      <c r="D795" s="640"/>
      <c r="E795" s="641"/>
      <c r="F795" s="642"/>
      <c r="G795" s="643"/>
      <c r="H795" s="644"/>
    </row>
    <row r="796" spans="1:8" x14ac:dyDescent="0.2">
      <c r="A796" s="637"/>
      <c r="B796" s="638"/>
      <c r="C796" s="639"/>
      <c r="D796" s="640"/>
      <c r="E796" s="641"/>
      <c r="F796" s="642"/>
      <c r="G796" s="643"/>
      <c r="H796" s="644"/>
    </row>
    <row r="797" spans="1:8" x14ac:dyDescent="0.2">
      <c r="A797" s="637"/>
      <c r="B797" s="638"/>
      <c r="C797" s="639"/>
      <c r="D797" s="640"/>
      <c r="E797" s="641"/>
      <c r="F797" s="642"/>
      <c r="G797" s="643"/>
      <c r="H797" s="644"/>
    </row>
    <row r="798" spans="1:8" x14ac:dyDescent="0.2">
      <c r="A798" s="637"/>
      <c r="B798" s="638"/>
      <c r="C798" s="639"/>
      <c r="D798" s="640"/>
      <c r="E798" s="641"/>
      <c r="F798" s="642"/>
      <c r="G798" s="643"/>
      <c r="H798" s="644"/>
    </row>
    <row r="799" spans="1:8" x14ac:dyDescent="0.2">
      <c r="A799" s="637"/>
      <c r="B799" s="638"/>
      <c r="C799" s="639"/>
      <c r="D799" s="640"/>
      <c r="E799" s="641"/>
      <c r="F799" s="642"/>
      <c r="G799" s="643"/>
      <c r="H799" s="644"/>
    </row>
    <row r="800" spans="1:8" x14ac:dyDescent="0.2">
      <c r="A800" s="637"/>
      <c r="B800" s="638"/>
      <c r="C800" s="639"/>
      <c r="D800" s="640"/>
      <c r="E800" s="641"/>
      <c r="F800" s="642"/>
      <c r="G800" s="643"/>
      <c r="H800" s="644"/>
    </row>
    <row r="801" spans="1:8" x14ac:dyDescent="0.2">
      <c r="A801" s="637"/>
      <c r="B801" s="638"/>
      <c r="C801" s="639"/>
      <c r="D801" s="640"/>
      <c r="E801" s="641"/>
      <c r="F801" s="642"/>
      <c r="G801" s="643"/>
      <c r="H801" s="644"/>
    </row>
    <row r="802" spans="1:8" x14ac:dyDescent="0.2">
      <c r="A802" s="637"/>
      <c r="B802" s="638"/>
      <c r="C802" s="639"/>
      <c r="D802" s="640"/>
      <c r="E802" s="641"/>
      <c r="F802" s="642"/>
      <c r="G802" s="643"/>
      <c r="H802" s="644"/>
    </row>
    <row r="803" spans="1:8" x14ac:dyDescent="0.2">
      <c r="A803" s="637"/>
      <c r="B803" s="638"/>
      <c r="C803" s="639"/>
      <c r="D803" s="640"/>
      <c r="E803" s="641"/>
      <c r="F803" s="642"/>
      <c r="G803" s="643"/>
      <c r="H803" s="644"/>
    </row>
    <row r="804" spans="1:8" x14ac:dyDescent="0.2">
      <c r="A804" s="637"/>
      <c r="B804" s="638"/>
      <c r="C804" s="639"/>
      <c r="D804" s="640"/>
      <c r="E804" s="641"/>
      <c r="F804" s="642"/>
      <c r="G804" s="643"/>
      <c r="H804" s="644"/>
    </row>
    <row r="805" spans="1:8" x14ac:dyDescent="0.2">
      <c r="A805" s="637"/>
      <c r="B805" s="638"/>
      <c r="C805" s="639"/>
      <c r="D805" s="640"/>
      <c r="E805" s="641"/>
      <c r="F805" s="642"/>
      <c r="G805" s="643"/>
      <c r="H805" s="644"/>
    </row>
    <row r="806" spans="1:8" x14ac:dyDescent="0.2">
      <c r="A806" s="637"/>
      <c r="B806" s="638"/>
      <c r="C806" s="639"/>
      <c r="D806" s="640"/>
      <c r="E806" s="641"/>
      <c r="F806" s="642"/>
      <c r="G806" s="643"/>
      <c r="H806" s="644"/>
    </row>
    <row r="807" spans="1:8" x14ac:dyDescent="0.2">
      <c r="A807" s="637"/>
      <c r="B807" s="638"/>
      <c r="C807" s="639"/>
      <c r="D807" s="640"/>
      <c r="E807" s="641"/>
      <c r="F807" s="642"/>
      <c r="G807" s="643"/>
      <c r="H807" s="644"/>
    </row>
    <row r="808" spans="1:8" x14ac:dyDescent="0.2">
      <c r="A808" s="637"/>
      <c r="B808" s="638"/>
      <c r="C808" s="639"/>
      <c r="D808" s="640"/>
      <c r="E808" s="641"/>
      <c r="F808" s="642"/>
      <c r="G808" s="643"/>
      <c r="H808" s="644"/>
    </row>
    <row r="809" spans="1:8" x14ac:dyDescent="0.2">
      <c r="A809" s="637"/>
      <c r="B809" s="638"/>
      <c r="C809" s="639"/>
      <c r="D809" s="640"/>
      <c r="E809" s="641"/>
      <c r="F809" s="642"/>
      <c r="G809" s="643"/>
      <c r="H809" s="644"/>
    </row>
    <row r="810" spans="1:8" x14ac:dyDescent="0.2">
      <c r="A810" s="637"/>
      <c r="B810" s="638"/>
      <c r="C810" s="639"/>
      <c r="D810" s="640"/>
      <c r="E810" s="641"/>
      <c r="F810" s="642"/>
      <c r="G810" s="643"/>
      <c r="H810" s="644"/>
    </row>
    <row r="811" spans="1:8" x14ac:dyDescent="0.2">
      <c r="A811" s="637"/>
      <c r="B811" s="638"/>
      <c r="C811" s="639"/>
      <c r="D811" s="640"/>
      <c r="E811" s="641"/>
      <c r="F811" s="642"/>
      <c r="G811" s="643"/>
      <c r="H811" s="644"/>
    </row>
    <row r="812" spans="1:8" x14ac:dyDescent="0.2">
      <c r="A812" s="637"/>
      <c r="B812" s="638"/>
      <c r="C812" s="639"/>
      <c r="D812" s="640"/>
      <c r="E812" s="641"/>
      <c r="F812" s="642"/>
      <c r="G812" s="643"/>
      <c r="H812" s="644"/>
    </row>
    <row r="813" spans="1:8" x14ac:dyDescent="0.2">
      <c r="A813" s="637"/>
      <c r="B813" s="638"/>
      <c r="C813" s="639"/>
      <c r="D813" s="640"/>
      <c r="E813" s="641"/>
      <c r="F813" s="642"/>
      <c r="G813" s="643"/>
      <c r="H813" s="644"/>
    </row>
    <row r="814" spans="1:8" x14ac:dyDescent="0.2">
      <c r="A814" s="637"/>
      <c r="B814" s="638"/>
      <c r="C814" s="639"/>
      <c r="D814" s="640"/>
      <c r="E814" s="641"/>
      <c r="F814" s="642"/>
      <c r="G814" s="643"/>
      <c r="H814" s="644"/>
    </row>
    <row r="815" spans="1:8" x14ac:dyDescent="0.2">
      <c r="A815" s="637"/>
      <c r="B815" s="638"/>
      <c r="C815" s="639"/>
      <c r="D815" s="640"/>
      <c r="E815" s="641"/>
      <c r="F815" s="642"/>
      <c r="G815" s="643"/>
      <c r="H815" s="644"/>
    </row>
    <row r="816" spans="1:8" x14ac:dyDescent="0.2">
      <c r="A816" s="637"/>
      <c r="B816" s="638"/>
      <c r="C816" s="639"/>
      <c r="D816" s="640"/>
      <c r="E816" s="641"/>
      <c r="F816" s="642"/>
      <c r="G816" s="643"/>
      <c r="H816" s="644"/>
    </row>
    <row r="817" spans="1:8" x14ac:dyDescent="0.2">
      <c r="A817" s="637"/>
      <c r="B817" s="638"/>
      <c r="C817" s="639"/>
      <c r="D817" s="640"/>
      <c r="E817" s="641"/>
      <c r="F817" s="642"/>
      <c r="G817" s="643"/>
      <c r="H817" s="644"/>
    </row>
    <row r="818" spans="1:8" x14ac:dyDescent="0.2">
      <c r="A818" s="637"/>
      <c r="B818" s="638"/>
      <c r="C818" s="639"/>
      <c r="D818" s="640"/>
      <c r="E818" s="641"/>
      <c r="F818" s="642"/>
      <c r="G818" s="643"/>
      <c r="H818" s="644"/>
    </row>
    <row r="819" spans="1:8" x14ac:dyDescent="0.2">
      <c r="A819" s="637"/>
      <c r="B819" s="638"/>
      <c r="C819" s="639"/>
      <c r="D819" s="640"/>
      <c r="E819" s="641"/>
      <c r="F819" s="642"/>
      <c r="G819" s="643"/>
      <c r="H819" s="644"/>
    </row>
    <row r="820" spans="1:8" x14ac:dyDescent="0.2">
      <c r="A820" s="637"/>
      <c r="B820" s="638"/>
      <c r="C820" s="639"/>
      <c r="D820" s="640"/>
      <c r="E820" s="641"/>
      <c r="F820" s="642"/>
      <c r="G820" s="643"/>
      <c r="H820" s="644"/>
    </row>
    <row r="821" spans="1:8" x14ac:dyDescent="0.2">
      <c r="A821" s="637"/>
      <c r="B821" s="638"/>
      <c r="C821" s="639"/>
      <c r="D821" s="640"/>
      <c r="E821" s="641"/>
      <c r="F821" s="642"/>
      <c r="G821" s="643"/>
      <c r="H821" s="644"/>
    </row>
    <row r="822" spans="1:8" x14ac:dyDescent="0.2">
      <c r="A822" s="637"/>
      <c r="B822" s="638"/>
      <c r="C822" s="639"/>
      <c r="D822" s="640"/>
      <c r="E822" s="641"/>
      <c r="F822" s="642"/>
      <c r="G822" s="643"/>
      <c r="H822" s="644"/>
    </row>
    <row r="823" spans="1:8" x14ac:dyDescent="0.2">
      <c r="A823" s="637"/>
      <c r="B823" s="638"/>
      <c r="C823" s="639"/>
      <c r="D823" s="640"/>
      <c r="E823" s="641"/>
      <c r="F823" s="642"/>
      <c r="G823" s="643"/>
      <c r="H823" s="644"/>
    </row>
    <row r="824" spans="1:8" x14ac:dyDescent="0.2">
      <c r="A824" s="637"/>
      <c r="B824" s="638"/>
      <c r="C824" s="639"/>
      <c r="D824" s="640"/>
      <c r="E824" s="641"/>
      <c r="F824" s="642"/>
      <c r="G824" s="643"/>
      <c r="H824" s="644"/>
    </row>
    <row r="825" spans="1:8" x14ac:dyDescent="0.2">
      <c r="A825" s="637"/>
      <c r="B825" s="638"/>
      <c r="C825" s="639"/>
      <c r="D825" s="640"/>
      <c r="E825" s="641"/>
      <c r="F825" s="642"/>
      <c r="G825" s="643"/>
      <c r="H825" s="644"/>
    </row>
    <row r="826" spans="1:8" x14ac:dyDescent="0.2">
      <c r="A826" s="637"/>
      <c r="B826" s="638"/>
      <c r="C826" s="639"/>
      <c r="D826" s="640"/>
      <c r="E826" s="641"/>
      <c r="F826" s="642"/>
      <c r="G826" s="643"/>
      <c r="H826" s="644"/>
    </row>
    <row r="827" spans="1:8" x14ac:dyDescent="0.2">
      <c r="A827" s="637"/>
      <c r="B827" s="638"/>
      <c r="C827" s="639"/>
      <c r="D827" s="640"/>
      <c r="E827" s="641"/>
      <c r="F827" s="642"/>
      <c r="G827" s="643"/>
      <c r="H827" s="644"/>
    </row>
    <row r="828" spans="1:8" x14ac:dyDescent="0.2">
      <c r="A828" s="637"/>
      <c r="B828" s="638"/>
      <c r="C828" s="639"/>
      <c r="D828" s="640"/>
      <c r="E828" s="641"/>
      <c r="F828" s="642"/>
      <c r="G828" s="643"/>
      <c r="H828" s="644"/>
    </row>
    <row r="829" spans="1:8" x14ac:dyDescent="0.2">
      <c r="A829" s="637"/>
      <c r="B829" s="638"/>
      <c r="C829" s="639"/>
      <c r="D829" s="640"/>
      <c r="E829" s="641"/>
      <c r="F829" s="642"/>
      <c r="G829" s="643"/>
      <c r="H829" s="644"/>
    </row>
    <row r="830" spans="1:8" x14ac:dyDescent="0.2">
      <c r="A830" s="637"/>
      <c r="B830" s="638"/>
      <c r="C830" s="639"/>
      <c r="D830" s="640"/>
      <c r="E830" s="641"/>
      <c r="F830" s="642"/>
      <c r="G830" s="643"/>
      <c r="H830" s="644"/>
    </row>
    <row r="831" spans="1:8" x14ac:dyDescent="0.2">
      <c r="A831" s="637"/>
      <c r="B831" s="638"/>
      <c r="C831" s="639"/>
      <c r="D831" s="640"/>
      <c r="E831" s="641"/>
      <c r="F831" s="642"/>
      <c r="G831" s="643"/>
      <c r="H831" s="644"/>
    </row>
    <row r="832" spans="1:8" x14ac:dyDescent="0.2">
      <c r="A832" s="637"/>
      <c r="B832" s="638"/>
      <c r="C832" s="639"/>
      <c r="D832" s="640"/>
      <c r="E832" s="641"/>
      <c r="F832" s="642"/>
      <c r="G832" s="643"/>
      <c r="H832" s="644"/>
    </row>
    <row r="833" spans="1:8" x14ac:dyDescent="0.2">
      <c r="A833" s="637"/>
      <c r="B833" s="638"/>
      <c r="C833" s="639"/>
      <c r="D833" s="640"/>
      <c r="E833" s="641"/>
      <c r="F833" s="642"/>
      <c r="G833" s="643"/>
      <c r="H833" s="644"/>
    </row>
    <row r="834" spans="1:8" x14ac:dyDescent="0.2">
      <c r="A834" s="637"/>
      <c r="B834" s="638"/>
      <c r="C834" s="639"/>
      <c r="D834" s="640"/>
      <c r="E834" s="641"/>
      <c r="F834" s="642"/>
      <c r="G834" s="643"/>
      <c r="H834" s="644"/>
    </row>
    <row r="835" spans="1:8" x14ac:dyDescent="0.2">
      <c r="A835" s="637"/>
      <c r="B835" s="638"/>
      <c r="C835" s="639"/>
      <c r="D835" s="640"/>
      <c r="E835" s="641"/>
      <c r="F835" s="642"/>
      <c r="G835" s="643"/>
      <c r="H835" s="644"/>
    </row>
    <row r="836" spans="1:8" x14ac:dyDescent="0.2">
      <c r="A836" s="637"/>
      <c r="B836" s="638"/>
      <c r="C836" s="639"/>
      <c r="D836" s="640"/>
      <c r="E836" s="641"/>
      <c r="F836" s="642"/>
      <c r="G836" s="643"/>
      <c r="H836" s="644"/>
    </row>
    <row r="837" spans="1:8" x14ac:dyDescent="0.2">
      <c r="A837" s="637"/>
      <c r="B837" s="638"/>
      <c r="C837" s="639"/>
      <c r="D837" s="640"/>
      <c r="E837" s="641"/>
      <c r="F837" s="642"/>
      <c r="G837" s="643"/>
      <c r="H837" s="644"/>
    </row>
    <row r="838" spans="1:8" x14ac:dyDescent="0.2">
      <c r="A838" s="637"/>
      <c r="B838" s="638"/>
      <c r="C838" s="639"/>
      <c r="D838" s="640"/>
      <c r="E838" s="641"/>
      <c r="F838" s="642"/>
      <c r="G838" s="643"/>
      <c r="H838" s="644"/>
    </row>
    <row r="839" spans="1:8" x14ac:dyDescent="0.2">
      <c r="A839" s="637"/>
      <c r="B839" s="638"/>
      <c r="C839" s="639"/>
      <c r="D839" s="640"/>
      <c r="E839" s="641"/>
      <c r="F839" s="642"/>
      <c r="G839" s="643"/>
      <c r="H839" s="644"/>
    </row>
    <row r="840" spans="1:8" x14ac:dyDescent="0.2">
      <c r="A840" s="637"/>
      <c r="B840" s="638"/>
      <c r="C840" s="639"/>
      <c r="D840" s="640"/>
      <c r="E840" s="641"/>
      <c r="F840" s="642"/>
      <c r="G840" s="643"/>
      <c r="H840" s="644"/>
    </row>
    <row r="841" spans="1:8" x14ac:dyDescent="0.2">
      <c r="A841" s="637"/>
      <c r="B841" s="638"/>
      <c r="C841" s="639"/>
      <c r="D841" s="640"/>
      <c r="E841" s="641"/>
      <c r="F841" s="642"/>
      <c r="G841" s="643"/>
      <c r="H841" s="644"/>
    </row>
    <row r="842" spans="1:8" x14ac:dyDescent="0.2">
      <c r="A842" s="637"/>
      <c r="B842" s="638"/>
      <c r="C842" s="639"/>
      <c r="D842" s="640"/>
      <c r="E842" s="641"/>
      <c r="F842" s="642"/>
      <c r="G842" s="643"/>
      <c r="H842" s="644"/>
    </row>
    <row r="843" spans="1:8" x14ac:dyDescent="0.2">
      <c r="A843" s="637"/>
      <c r="B843" s="638"/>
      <c r="C843" s="639"/>
      <c r="D843" s="640"/>
      <c r="E843" s="641"/>
      <c r="F843" s="642"/>
      <c r="G843" s="643"/>
      <c r="H843" s="644"/>
    </row>
    <row r="844" spans="1:8" x14ac:dyDescent="0.2">
      <c r="A844" s="637"/>
      <c r="B844" s="638"/>
      <c r="C844" s="639"/>
      <c r="D844" s="640"/>
      <c r="E844" s="641"/>
      <c r="F844" s="642"/>
      <c r="G844" s="643"/>
      <c r="H844" s="644"/>
    </row>
    <row r="845" spans="1:8" x14ac:dyDescent="0.2">
      <c r="A845" s="637"/>
      <c r="B845" s="638"/>
      <c r="C845" s="639"/>
      <c r="D845" s="640"/>
      <c r="E845" s="641"/>
      <c r="F845" s="642"/>
      <c r="G845" s="643"/>
      <c r="H845" s="644"/>
    </row>
    <row r="846" spans="1:8" x14ac:dyDescent="0.2">
      <c r="A846" s="637"/>
      <c r="B846" s="638"/>
      <c r="C846" s="639"/>
      <c r="D846" s="640"/>
      <c r="E846" s="641"/>
      <c r="F846" s="642"/>
      <c r="G846" s="643"/>
      <c r="H846" s="644"/>
    </row>
    <row r="847" spans="1:8" x14ac:dyDescent="0.2">
      <c r="A847" s="637"/>
      <c r="B847" s="638"/>
      <c r="C847" s="639"/>
      <c r="D847" s="640"/>
      <c r="E847" s="641"/>
      <c r="F847" s="642"/>
      <c r="G847" s="643"/>
      <c r="H847" s="644"/>
    </row>
    <row r="848" spans="1:8" x14ac:dyDescent="0.2">
      <c r="A848" s="637"/>
      <c r="B848" s="638"/>
      <c r="C848" s="639"/>
      <c r="D848" s="640"/>
      <c r="E848" s="641"/>
      <c r="F848" s="642"/>
      <c r="G848" s="643"/>
      <c r="H848" s="644"/>
    </row>
    <row r="849" spans="1:8" x14ac:dyDescent="0.2">
      <c r="A849" s="637"/>
      <c r="B849" s="638"/>
      <c r="C849" s="639"/>
      <c r="D849" s="640"/>
      <c r="E849" s="641"/>
      <c r="F849" s="642"/>
      <c r="G849" s="643"/>
      <c r="H849" s="644"/>
    </row>
    <row r="850" spans="1:8" x14ac:dyDescent="0.2">
      <c r="A850" s="637"/>
      <c r="B850" s="638"/>
      <c r="C850" s="639"/>
      <c r="D850" s="640"/>
      <c r="E850" s="641"/>
      <c r="F850" s="642"/>
      <c r="G850" s="643"/>
      <c r="H850" s="644"/>
    </row>
    <row r="851" spans="1:8" x14ac:dyDescent="0.2">
      <c r="A851" s="637"/>
      <c r="B851" s="638"/>
      <c r="C851" s="639"/>
      <c r="D851" s="640"/>
      <c r="E851" s="641"/>
      <c r="F851" s="642"/>
      <c r="G851" s="643"/>
      <c r="H851" s="644"/>
    </row>
    <row r="852" spans="1:8" x14ac:dyDescent="0.2">
      <c r="A852" s="637"/>
      <c r="B852" s="638"/>
      <c r="C852" s="639"/>
      <c r="D852" s="640"/>
      <c r="E852" s="641"/>
      <c r="F852" s="642"/>
      <c r="G852" s="643"/>
      <c r="H852" s="644"/>
    </row>
    <row r="853" spans="1:8" x14ac:dyDescent="0.2">
      <c r="A853" s="637"/>
      <c r="B853" s="638"/>
      <c r="C853" s="639"/>
      <c r="D853" s="640"/>
      <c r="E853" s="641"/>
      <c r="F853" s="642"/>
      <c r="G853" s="643"/>
      <c r="H853" s="644"/>
    </row>
    <row r="854" spans="1:8" x14ac:dyDescent="0.2">
      <c r="A854" s="637"/>
      <c r="B854" s="638"/>
      <c r="C854" s="639"/>
      <c r="D854" s="640"/>
      <c r="E854" s="641"/>
      <c r="F854" s="642"/>
      <c r="G854" s="643"/>
      <c r="H854" s="644"/>
    </row>
    <row r="855" spans="1:8" x14ac:dyDescent="0.2">
      <c r="A855" s="637"/>
      <c r="B855" s="638"/>
      <c r="C855" s="639"/>
      <c r="D855" s="640"/>
      <c r="E855" s="641"/>
      <c r="F855" s="642"/>
      <c r="G855" s="643"/>
      <c r="H855" s="644"/>
    </row>
    <row r="856" spans="1:8" x14ac:dyDescent="0.2">
      <c r="A856" s="637"/>
      <c r="B856" s="638"/>
      <c r="C856" s="639"/>
      <c r="D856" s="640"/>
      <c r="E856" s="641"/>
      <c r="F856" s="642"/>
      <c r="G856" s="643"/>
      <c r="H856" s="644"/>
    </row>
    <row r="857" spans="1:8" x14ac:dyDescent="0.2">
      <c r="A857" s="637"/>
      <c r="B857" s="638"/>
      <c r="C857" s="639"/>
      <c r="D857" s="640"/>
      <c r="E857" s="641"/>
      <c r="F857" s="642"/>
      <c r="G857" s="643"/>
      <c r="H857" s="644"/>
    </row>
    <row r="858" spans="1:8" x14ac:dyDescent="0.2">
      <c r="A858" s="637"/>
      <c r="B858" s="638"/>
      <c r="C858" s="639"/>
      <c r="D858" s="640"/>
      <c r="E858" s="641"/>
      <c r="F858" s="642"/>
      <c r="G858" s="643"/>
      <c r="H858" s="644"/>
    </row>
    <row r="859" spans="1:8" x14ac:dyDescent="0.2">
      <c r="A859" s="637"/>
      <c r="B859" s="638"/>
      <c r="C859" s="639"/>
      <c r="D859" s="640"/>
      <c r="E859" s="641"/>
      <c r="F859" s="642"/>
      <c r="G859" s="643"/>
      <c r="H859" s="644"/>
    </row>
    <row r="860" spans="1:8" x14ac:dyDescent="0.2">
      <c r="A860" s="637"/>
      <c r="B860" s="638"/>
      <c r="C860" s="639"/>
      <c r="D860" s="640"/>
      <c r="E860" s="641"/>
      <c r="F860" s="642"/>
      <c r="G860" s="643"/>
      <c r="H860" s="644"/>
    </row>
    <row r="861" spans="1:8" x14ac:dyDescent="0.2">
      <c r="A861" s="637"/>
      <c r="B861" s="638"/>
      <c r="C861" s="639"/>
      <c r="D861" s="640"/>
      <c r="E861" s="641"/>
      <c r="F861" s="642"/>
      <c r="G861" s="643"/>
      <c r="H861" s="644"/>
    </row>
    <row r="862" spans="1:8" x14ac:dyDescent="0.2">
      <c r="A862" s="637"/>
      <c r="B862" s="638"/>
      <c r="C862" s="639"/>
      <c r="D862" s="640"/>
      <c r="E862" s="641"/>
      <c r="F862" s="642"/>
      <c r="G862" s="643"/>
      <c r="H862" s="644"/>
    </row>
    <row r="863" spans="1:8" x14ac:dyDescent="0.2">
      <c r="A863" s="637"/>
      <c r="B863" s="638"/>
      <c r="C863" s="639"/>
      <c r="D863" s="640"/>
      <c r="E863" s="641"/>
      <c r="F863" s="642"/>
      <c r="G863" s="643"/>
      <c r="H863" s="644"/>
    </row>
    <row r="864" spans="1:8" x14ac:dyDescent="0.2">
      <c r="A864" s="637"/>
      <c r="B864" s="638"/>
      <c r="C864" s="639"/>
      <c r="D864" s="640"/>
      <c r="E864" s="641"/>
      <c r="F864" s="642"/>
      <c r="G864" s="643"/>
      <c r="H864" s="644"/>
    </row>
    <row r="865" spans="1:8" x14ac:dyDescent="0.2">
      <c r="A865" s="637"/>
      <c r="B865" s="638"/>
      <c r="C865" s="639"/>
      <c r="D865" s="640"/>
      <c r="E865" s="641"/>
      <c r="F865" s="642"/>
      <c r="G865" s="643"/>
      <c r="H865" s="644"/>
    </row>
    <row r="866" spans="1:8" x14ac:dyDescent="0.2">
      <c r="A866" s="637"/>
      <c r="B866" s="638"/>
      <c r="C866" s="639"/>
      <c r="D866" s="640"/>
      <c r="E866" s="641"/>
      <c r="F866" s="642"/>
      <c r="G866" s="643"/>
      <c r="H866" s="644"/>
    </row>
    <row r="867" spans="1:8" x14ac:dyDescent="0.2">
      <c r="A867" s="637"/>
      <c r="B867" s="638"/>
      <c r="C867" s="639"/>
      <c r="D867" s="640"/>
      <c r="E867" s="641"/>
      <c r="F867" s="642"/>
      <c r="G867" s="643"/>
      <c r="H867" s="644"/>
    </row>
  </sheetData>
  <pageMargins left="0.7" right="0.7" top="0.78740157499999996" bottom="0.78740157499999996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851"/>
  <sheetViews>
    <sheetView tabSelected="1" zoomScaleNormal="100" zoomScaleSheetLayoutView="100" workbookViewId="0">
      <selection activeCell="A4" sqref="A4"/>
    </sheetView>
  </sheetViews>
  <sheetFormatPr defaultColWidth="9.140625" defaultRowHeight="15.75" x14ac:dyDescent="0.25"/>
  <cols>
    <col min="1" max="1" width="11.28515625" style="305" customWidth="1"/>
    <col min="2" max="2" width="95.140625" style="471" customWidth="1"/>
    <col min="3" max="3" width="17.5703125" style="574" customWidth="1"/>
    <col min="4" max="4" width="16.7109375" style="574" customWidth="1"/>
    <col min="5" max="5" width="9" style="88" customWidth="1"/>
    <col min="6" max="6" width="8.5703125" style="88" customWidth="1"/>
    <col min="7" max="7" width="20.28515625" style="470" customWidth="1"/>
    <col min="8" max="8" width="20.28515625" style="471" customWidth="1"/>
    <col min="9" max="9" width="13.5703125" style="471" bestFit="1" customWidth="1"/>
    <col min="10" max="10" width="15.7109375" style="471" bestFit="1" customWidth="1"/>
    <col min="11" max="11" width="11" style="471" bestFit="1" customWidth="1"/>
    <col min="12" max="16384" width="9.140625" style="471"/>
  </cols>
  <sheetData>
    <row r="1" spans="1:7" ht="20.25" x14ac:dyDescent="0.3">
      <c r="A1" s="692" t="s">
        <v>0</v>
      </c>
      <c r="B1" s="692"/>
      <c r="C1" s="692"/>
      <c r="D1" s="692"/>
      <c r="E1" s="692"/>
      <c r="F1" s="692"/>
    </row>
    <row r="2" spans="1:7" ht="20.25" x14ac:dyDescent="0.3">
      <c r="A2" s="692" t="s">
        <v>673</v>
      </c>
      <c r="B2" s="692"/>
      <c r="C2" s="692"/>
      <c r="D2" s="692"/>
      <c r="E2" s="692"/>
      <c r="F2" s="692"/>
    </row>
    <row r="3" spans="1:7" x14ac:dyDescent="0.25">
      <c r="A3" s="664"/>
      <c r="B3" s="473"/>
      <c r="C3" s="120"/>
      <c r="D3" s="665"/>
      <c r="E3" s="665"/>
      <c r="F3" s="665"/>
    </row>
    <row r="4" spans="1:7" ht="16.5" thickBot="1" x14ac:dyDescent="0.3">
      <c r="A4" s="664"/>
      <c r="B4" s="664"/>
      <c r="C4" s="665"/>
      <c r="D4" s="477"/>
      <c r="E4" s="665"/>
      <c r="F4" s="478"/>
    </row>
    <row r="5" spans="1:7" x14ac:dyDescent="0.25">
      <c r="A5" s="690" t="s">
        <v>193</v>
      </c>
      <c r="B5" s="479"/>
      <c r="C5" s="480"/>
      <c r="D5" s="481"/>
      <c r="E5" s="482"/>
      <c r="F5" s="482"/>
      <c r="G5" s="483"/>
    </row>
    <row r="6" spans="1:7" ht="16.5" thickBot="1" x14ac:dyDescent="0.3">
      <c r="A6" s="691"/>
      <c r="B6" s="484" t="s">
        <v>2</v>
      </c>
      <c r="C6" s="485" t="s">
        <v>3</v>
      </c>
      <c r="D6" s="486" t="s">
        <v>4</v>
      </c>
      <c r="E6" s="487" t="s">
        <v>5</v>
      </c>
      <c r="F6" s="487" t="s">
        <v>761</v>
      </c>
    </row>
    <row r="7" spans="1:7" x14ac:dyDescent="0.25">
      <c r="A7" s="491"/>
      <c r="B7" s="492" t="s">
        <v>8</v>
      </c>
      <c r="C7" s="493">
        <f>+SUM(C8:C11)</f>
        <v>5902.2090000000007</v>
      </c>
      <c r="D7" s="493">
        <f>+SUM(D8:D11)</f>
        <v>4791814</v>
      </c>
      <c r="E7" s="494"/>
      <c r="F7" s="495"/>
      <c r="G7" s="471"/>
    </row>
    <row r="8" spans="1:7" x14ac:dyDescent="0.25">
      <c r="A8" s="491"/>
      <c r="B8" s="499" t="s">
        <v>9</v>
      </c>
      <c r="C8" s="505">
        <v>111.04</v>
      </c>
      <c r="D8" s="505">
        <f>55520+55520</f>
        <v>111040</v>
      </c>
      <c r="E8" s="501">
        <v>92241</v>
      </c>
      <c r="F8" s="495" t="s">
        <v>10</v>
      </c>
      <c r="G8" s="471"/>
    </row>
    <row r="9" spans="1:7" x14ac:dyDescent="0.25">
      <c r="A9" s="491"/>
      <c r="B9" s="499" t="s">
        <v>11</v>
      </c>
      <c r="C9" s="535">
        <v>2001.1780000000001</v>
      </c>
      <c r="D9" s="535">
        <f>108171+109620+15221+509931+48588+64784+72882+72882+108171+109620+12241+82424+126687+134825+165995+259136</f>
        <v>2001178</v>
      </c>
      <c r="E9" s="494">
        <v>92241</v>
      </c>
      <c r="F9" s="495" t="s">
        <v>10</v>
      </c>
      <c r="G9" s="503"/>
    </row>
    <row r="10" spans="1:7" x14ac:dyDescent="0.25">
      <c r="A10" s="491"/>
      <c r="B10" s="499" t="s">
        <v>12</v>
      </c>
      <c r="C10" s="535">
        <v>1575.905</v>
      </c>
      <c r="D10" s="535">
        <f>345411+345411+215860+215860</f>
        <v>1122542</v>
      </c>
      <c r="E10" s="494">
        <v>92241</v>
      </c>
      <c r="F10" s="495" t="s">
        <v>10</v>
      </c>
      <c r="G10" s="471"/>
    </row>
    <row r="11" spans="1:7" x14ac:dyDescent="0.25">
      <c r="A11" s="491"/>
      <c r="B11" s="499" t="s">
        <v>13</v>
      </c>
      <c r="C11" s="535">
        <v>2214.0859999999998</v>
      </c>
      <c r="D11" s="535">
        <f>778527+778527</f>
        <v>1557054</v>
      </c>
      <c r="E11" s="494">
        <v>92241</v>
      </c>
      <c r="F11" s="495" t="s">
        <v>10</v>
      </c>
      <c r="G11" s="471"/>
    </row>
    <row r="12" spans="1:7" x14ac:dyDescent="0.25">
      <c r="A12" s="491"/>
      <c r="B12" s="499"/>
      <c r="C12" s="535"/>
      <c r="D12" s="535"/>
      <c r="E12" s="494"/>
      <c r="F12" s="495"/>
      <c r="G12" s="471"/>
    </row>
    <row r="13" spans="1:7" x14ac:dyDescent="0.25">
      <c r="A13" s="491"/>
      <c r="B13" s="492" t="s">
        <v>14</v>
      </c>
      <c r="C13" s="506">
        <f>+SUM(C14:C30)</f>
        <v>497.90172000000001</v>
      </c>
      <c r="D13" s="506">
        <f>+SUM(D14:D30)</f>
        <v>497901.72</v>
      </c>
      <c r="E13" s="494"/>
      <c r="F13" s="495"/>
      <c r="G13" s="471"/>
    </row>
    <row r="14" spans="1:7" x14ac:dyDescent="0.25">
      <c r="A14" s="491">
        <v>42117</v>
      </c>
      <c r="B14" s="499" t="s">
        <v>146</v>
      </c>
      <c r="C14" s="535">
        <v>33.306150000000002</v>
      </c>
      <c r="D14" s="535">
        <v>33306.15</v>
      </c>
      <c r="E14" s="494">
        <v>90001</v>
      </c>
      <c r="F14" s="495">
        <v>4113</v>
      </c>
      <c r="G14" s="471"/>
    </row>
    <row r="15" spans="1:7" x14ac:dyDescent="0.25">
      <c r="A15" s="491">
        <v>42194</v>
      </c>
      <c r="B15" s="499" t="s">
        <v>279</v>
      </c>
      <c r="C15" s="535">
        <v>5.5467000000000004</v>
      </c>
      <c r="D15" s="535">
        <v>5546.7</v>
      </c>
      <c r="E15" s="494">
        <v>90001</v>
      </c>
      <c r="F15" s="495">
        <v>4113</v>
      </c>
      <c r="G15" s="471"/>
    </row>
    <row r="16" spans="1:7" x14ac:dyDescent="0.25">
      <c r="A16" s="491">
        <v>42348</v>
      </c>
      <c r="B16" s="499" t="s">
        <v>633</v>
      </c>
      <c r="C16" s="535">
        <v>38.598590000000002</v>
      </c>
      <c r="D16" s="535">
        <v>38598.589999999997</v>
      </c>
      <c r="E16" s="494">
        <v>90001</v>
      </c>
      <c r="F16" s="495">
        <v>4113</v>
      </c>
      <c r="G16" s="471"/>
    </row>
    <row r="17" spans="1:7" x14ac:dyDescent="0.25">
      <c r="A17" s="491">
        <v>42348</v>
      </c>
      <c r="B17" s="499" t="s">
        <v>634</v>
      </c>
      <c r="C17" s="535">
        <v>20.12847</v>
      </c>
      <c r="D17" s="535">
        <v>20128.47</v>
      </c>
      <c r="E17" s="494">
        <v>90001</v>
      </c>
      <c r="F17" s="495">
        <v>4113</v>
      </c>
      <c r="G17" s="471"/>
    </row>
    <row r="18" spans="1:7" x14ac:dyDescent="0.25">
      <c r="A18" s="491">
        <v>42348</v>
      </c>
      <c r="B18" s="499" t="s">
        <v>646</v>
      </c>
      <c r="C18" s="535">
        <v>2.4167100000000001</v>
      </c>
      <c r="D18" s="535">
        <v>2416.71</v>
      </c>
      <c r="E18" s="494">
        <v>90001</v>
      </c>
      <c r="F18" s="495">
        <v>4113</v>
      </c>
      <c r="G18" s="471"/>
    </row>
    <row r="19" spans="1:7" x14ac:dyDescent="0.25">
      <c r="A19" s="491">
        <v>42349</v>
      </c>
      <c r="B19" s="499" t="s">
        <v>647</v>
      </c>
      <c r="C19" s="535">
        <v>6.9417999999999997</v>
      </c>
      <c r="D19" s="535">
        <v>6941.8</v>
      </c>
      <c r="E19" s="494">
        <v>90001</v>
      </c>
      <c r="F19" s="495">
        <v>4113</v>
      </c>
      <c r="G19" s="471"/>
    </row>
    <row r="20" spans="1:7" x14ac:dyDescent="0.25">
      <c r="A20" s="491">
        <v>42354</v>
      </c>
      <c r="B20" s="499" t="s">
        <v>648</v>
      </c>
      <c r="C20" s="535">
        <v>3.1039500000000002</v>
      </c>
      <c r="D20" s="535">
        <v>3103.95</v>
      </c>
      <c r="E20" s="494">
        <v>90001</v>
      </c>
      <c r="F20" s="495">
        <v>4113</v>
      </c>
      <c r="G20" s="471"/>
    </row>
    <row r="21" spans="1:7" x14ac:dyDescent="0.25">
      <c r="A21" s="491">
        <v>42354</v>
      </c>
      <c r="B21" s="499" t="s">
        <v>649</v>
      </c>
      <c r="C21" s="535">
        <v>1.93167</v>
      </c>
      <c r="D21" s="535">
        <v>1931.67</v>
      </c>
      <c r="E21" s="494">
        <v>90001</v>
      </c>
      <c r="F21" s="495">
        <v>4113</v>
      </c>
      <c r="G21" s="471"/>
    </row>
    <row r="22" spans="1:7" x14ac:dyDescent="0.25">
      <c r="A22" s="491">
        <v>42354</v>
      </c>
      <c r="B22" s="499" t="s">
        <v>650</v>
      </c>
      <c r="C22" s="535">
        <v>6.3040599999999998</v>
      </c>
      <c r="D22" s="535">
        <v>6304.06</v>
      </c>
      <c r="E22" s="494">
        <v>90001</v>
      </c>
      <c r="F22" s="495">
        <v>4113</v>
      </c>
      <c r="G22" s="471"/>
    </row>
    <row r="23" spans="1:7" x14ac:dyDescent="0.25">
      <c r="A23" s="491">
        <v>42354</v>
      </c>
      <c r="B23" s="499" t="s">
        <v>651</v>
      </c>
      <c r="C23" s="535">
        <v>0.12103999999999999</v>
      </c>
      <c r="D23" s="535">
        <v>121.04</v>
      </c>
      <c r="E23" s="494">
        <v>90001</v>
      </c>
      <c r="F23" s="495">
        <v>4113</v>
      </c>
      <c r="G23" s="471"/>
    </row>
    <row r="24" spans="1:7" x14ac:dyDescent="0.25">
      <c r="A24" s="491">
        <v>42354</v>
      </c>
      <c r="B24" s="499" t="s">
        <v>664</v>
      </c>
      <c r="C24" s="535">
        <v>0.60499999999999998</v>
      </c>
      <c r="D24" s="535">
        <v>605</v>
      </c>
      <c r="E24" s="494">
        <v>90001</v>
      </c>
      <c r="F24" s="495">
        <v>4113</v>
      </c>
      <c r="G24" s="471"/>
    </row>
    <row r="25" spans="1:7" x14ac:dyDescent="0.25">
      <c r="A25" s="491">
        <v>42354</v>
      </c>
      <c r="B25" s="499" t="s">
        <v>652</v>
      </c>
      <c r="C25" s="535">
        <v>2.1863999999999999</v>
      </c>
      <c r="D25" s="535">
        <v>2186.4</v>
      </c>
      <c r="E25" s="494">
        <v>90001</v>
      </c>
      <c r="F25" s="495">
        <v>4113</v>
      </c>
      <c r="G25" s="471"/>
    </row>
    <row r="26" spans="1:7" x14ac:dyDescent="0.25">
      <c r="A26" s="491"/>
      <c r="B26" s="499" t="s">
        <v>446</v>
      </c>
      <c r="C26" s="542">
        <v>0.17544999999999999</v>
      </c>
      <c r="D26" s="535">
        <v>175.45</v>
      </c>
      <c r="E26" s="494">
        <v>90001</v>
      </c>
      <c r="F26" s="495">
        <v>4113</v>
      </c>
      <c r="G26" s="471"/>
    </row>
    <row r="27" spans="1:7" x14ac:dyDescent="0.25">
      <c r="A27" s="491"/>
      <c r="B27" s="499" t="s">
        <v>617</v>
      </c>
      <c r="C27" s="542">
        <v>250.50664</v>
      </c>
      <c r="D27" s="535">
        <v>250506.64</v>
      </c>
      <c r="E27" s="494">
        <v>90001</v>
      </c>
      <c r="F27" s="495">
        <v>4113</v>
      </c>
      <c r="G27" s="471"/>
    </row>
    <row r="28" spans="1:7" x14ac:dyDescent="0.25">
      <c r="A28" s="491"/>
      <c r="B28" s="499" t="s">
        <v>445</v>
      </c>
      <c r="C28" s="542">
        <v>1.8742399999999999</v>
      </c>
      <c r="D28" s="535">
        <v>1874.24</v>
      </c>
      <c r="E28" s="494">
        <v>90001</v>
      </c>
      <c r="F28" s="495">
        <v>4113</v>
      </c>
      <c r="G28" s="471"/>
    </row>
    <row r="29" spans="1:7" x14ac:dyDescent="0.25">
      <c r="A29" s="491"/>
      <c r="B29" s="499" t="s">
        <v>643</v>
      </c>
      <c r="C29" s="542">
        <v>31.965800000000002</v>
      </c>
      <c r="D29" s="535">
        <v>31965.8</v>
      </c>
      <c r="E29" s="494">
        <v>90001</v>
      </c>
      <c r="F29" s="495">
        <v>4113</v>
      </c>
      <c r="G29" s="471"/>
    </row>
    <row r="30" spans="1:7" x14ac:dyDescent="0.25">
      <c r="A30" s="491"/>
      <c r="B30" s="499" t="s">
        <v>591</v>
      </c>
      <c r="C30" s="542">
        <v>92.189049999999995</v>
      </c>
      <c r="D30" s="535">
        <v>92189.05</v>
      </c>
      <c r="E30" s="494">
        <v>90001</v>
      </c>
      <c r="F30" s="495">
        <v>4113</v>
      </c>
      <c r="G30" s="471"/>
    </row>
    <row r="31" spans="1:7" x14ac:dyDescent="0.25">
      <c r="A31" s="491"/>
      <c r="B31" s="499"/>
      <c r="C31" s="535"/>
      <c r="D31" s="535"/>
      <c r="E31" s="494"/>
      <c r="F31" s="495"/>
      <c r="G31" s="471"/>
    </row>
    <row r="32" spans="1:7" x14ac:dyDescent="0.25">
      <c r="A32" s="491"/>
      <c r="B32" s="492" t="s">
        <v>15</v>
      </c>
      <c r="C32" s="506">
        <f>+C33+C34</f>
        <v>96.305640000000011</v>
      </c>
      <c r="D32" s="506">
        <f>+D33+D34</f>
        <v>96305.639999999985</v>
      </c>
      <c r="E32" s="494"/>
      <c r="F32" s="495"/>
      <c r="G32" s="471"/>
    </row>
    <row r="33" spans="1:10" x14ac:dyDescent="0.25">
      <c r="A33" s="491"/>
      <c r="B33" s="499" t="s">
        <v>395</v>
      </c>
      <c r="C33" s="535">
        <v>4.5358200000000002</v>
      </c>
      <c r="D33" s="535">
        <v>4535.82</v>
      </c>
      <c r="E33" s="494">
        <v>89450</v>
      </c>
      <c r="F33" s="495">
        <v>4113</v>
      </c>
      <c r="G33" s="471"/>
    </row>
    <row r="34" spans="1:10" x14ac:dyDescent="0.25">
      <c r="A34" s="491"/>
      <c r="B34" s="499" t="s">
        <v>394</v>
      </c>
      <c r="C34" s="535">
        <f>2.35585+62.58977+26.8242</f>
        <v>91.76982000000001</v>
      </c>
      <c r="D34" s="535">
        <f>2355.85+62589.77+26824.2</f>
        <v>91769.819999999992</v>
      </c>
      <c r="E34" s="494">
        <v>89023</v>
      </c>
      <c r="F34" s="495">
        <v>4113</v>
      </c>
      <c r="G34" s="503"/>
    </row>
    <row r="35" spans="1:10" x14ac:dyDescent="0.25">
      <c r="A35" s="491"/>
      <c r="B35" s="693"/>
      <c r="C35" s="535"/>
      <c r="D35" s="535"/>
      <c r="E35" s="237"/>
      <c r="F35" s="494"/>
      <c r="G35" s="471"/>
    </row>
    <row r="36" spans="1:10" s="275" customFormat="1" x14ac:dyDescent="0.25">
      <c r="A36" s="491"/>
      <c r="B36" s="492" t="s">
        <v>17</v>
      </c>
      <c r="C36" s="506">
        <f>SUM(C37:C66)</f>
        <v>25630.384999999998</v>
      </c>
      <c r="D36" s="506">
        <f>SUM(D37:D66)</f>
        <v>22524632</v>
      </c>
      <c r="E36" s="513"/>
      <c r="F36" s="514"/>
      <c r="G36" s="471"/>
      <c r="H36" s="471"/>
      <c r="I36" s="471"/>
      <c r="J36" s="471"/>
    </row>
    <row r="37" spans="1:10" x14ac:dyDescent="0.25">
      <c r="A37" s="491">
        <v>42053</v>
      </c>
      <c r="B37" s="499" t="s">
        <v>37</v>
      </c>
      <c r="C37" s="19">
        <v>3744</v>
      </c>
      <c r="D37" s="535">
        <v>3744000</v>
      </c>
      <c r="E37" s="234">
        <v>13010</v>
      </c>
      <c r="F37" s="495">
        <v>4116</v>
      </c>
      <c r="G37" s="471"/>
    </row>
    <row r="38" spans="1:10" x14ac:dyDescent="0.25">
      <c r="A38" s="491">
        <v>42123</v>
      </c>
      <c r="B38" s="499" t="s">
        <v>37</v>
      </c>
      <c r="C38" s="535">
        <v>8</v>
      </c>
      <c r="D38" s="535">
        <v>8000</v>
      </c>
      <c r="E38" s="234">
        <v>13010</v>
      </c>
      <c r="F38" s="495">
        <v>4116</v>
      </c>
      <c r="G38" s="471"/>
    </row>
    <row r="39" spans="1:10" x14ac:dyDescent="0.25">
      <c r="A39" s="491">
        <v>42152</v>
      </c>
      <c r="B39" s="499" t="s">
        <v>37</v>
      </c>
      <c r="C39" s="535">
        <v>12</v>
      </c>
      <c r="D39" s="535">
        <v>12000</v>
      </c>
      <c r="E39" s="234">
        <v>13010</v>
      </c>
      <c r="F39" s="495">
        <v>4116</v>
      </c>
      <c r="G39" s="471"/>
    </row>
    <row r="40" spans="1:10" s="275" customFormat="1" x14ac:dyDescent="0.25">
      <c r="A40" s="491">
        <v>42184</v>
      </c>
      <c r="B40" s="499" t="s">
        <v>37</v>
      </c>
      <c r="C40" s="535">
        <v>44</v>
      </c>
      <c r="D40" s="535">
        <v>44000</v>
      </c>
      <c r="E40" s="234">
        <v>13010</v>
      </c>
      <c r="F40" s="495">
        <v>4116</v>
      </c>
      <c r="G40" s="471"/>
      <c r="H40" s="471"/>
      <c r="I40" s="471"/>
      <c r="J40" s="471"/>
    </row>
    <row r="41" spans="1:10" x14ac:dyDescent="0.25">
      <c r="A41" s="491">
        <v>42201</v>
      </c>
      <c r="B41" s="499" t="s">
        <v>37</v>
      </c>
      <c r="C41" s="535">
        <v>32</v>
      </c>
      <c r="D41" s="535">
        <v>32000</v>
      </c>
      <c r="E41" s="234">
        <v>13010</v>
      </c>
      <c r="F41" s="495">
        <v>4116</v>
      </c>
      <c r="G41" s="471"/>
    </row>
    <row r="42" spans="1:10" x14ac:dyDescent="0.25">
      <c r="A42" s="491">
        <v>42283</v>
      </c>
      <c r="B42" s="499" t="s">
        <v>424</v>
      </c>
      <c r="C42" s="535">
        <v>-28</v>
      </c>
      <c r="D42" s="535">
        <v>-28000</v>
      </c>
      <c r="E42" s="234">
        <v>13010</v>
      </c>
      <c r="F42" s="495">
        <v>4116</v>
      </c>
      <c r="G42" s="471"/>
    </row>
    <row r="43" spans="1:10" x14ac:dyDescent="0.25">
      <c r="A43" s="491">
        <v>42310</v>
      </c>
      <c r="B43" s="499" t="s">
        <v>37</v>
      </c>
      <c r="C43" s="535">
        <v>20</v>
      </c>
      <c r="D43" s="535">
        <v>20000</v>
      </c>
      <c r="E43" s="234">
        <v>13010</v>
      </c>
      <c r="F43" s="495">
        <v>4116</v>
      </c>
      <c r="G43" s="471"/>
    </row>
    <row r="44" spans="1:10" x14ac:dyDescent="0.25">
      <c r="A44" s="491">
        <v>42319</v>
      </c>
      <c r="B44" s="499" t="s">
        <v>37</v>
      </c>
      <c r="C44" s="535">
        <v>16</v>
      </c>
      <c r="D44" s="535">
        <v>16000</v>
      </c>
      <c r="E44" s="234">
        <v>13010</v>
      </c>
      <c r="F44" s="495">
        <v>4116</v>
      </c>
      <c r="G44" s="471"/>
    </row>
    <row r="45" spans="1:10" x14ac:dyDescent="0.25">
      <c r="A45" s="491"/>
      <c r="B45" s="499" t="s">
        <v>411</v>
      </c>
      <c r="C45" s="535">
        <v>21.2</v>
      </c>
      <c r="D45" s="535">
        <v>20904</v>
      </c>
      <c r="E45" s="234">
        <v>13013</v>
      </c>
      <c r="F45" s="495">
        <v>4116</v>
      </c>
      <c r="G45" s="503"/>
    </row>
    <row r="46" spans="1:10" x14ac:dyDescent="0.25">
      <c r="A46" s="491"/>
      <c r="B46" s="499" t="s">
        <v>568</v>
      </c>
      <c r="C46" s="535">
        <v>14</v>
      </c>
      <c r="D46" s="535">
        <v>14000</v>
      </c>
      <c r="E46" s="234">
        <v>13013</v>
      </c>
      <c r="F46" s="495">
        <v>4116</v>
      </c>
      <c r="G46" s="503"/>
    </row>
    <row r="47" spans="1:10" x14ac:dyDescent="0.25">
      <c r="A47" s="491"/>
      <c r="B47" s="499" t="s">
        <v>682</v>
      </c>
      <c r="C47" s="535">
        <f>278</f>
        <v>278</v>
      </c>
      <c r="D47" s="535">
        <v>0</v>
      </c>
      <c r="E47" s="234">
        <v>13013</v>
      </c>
      <c r="F47" s="495">
        <v>4116</v>
      </c>
      <c r="G47" s="503"/>
    </row>
    <row r="48" spans="1:10" x14ac:dyDescent="0.25">
      <c r="A48" s="491"/>
      <c r="B48" s="499" t="s">
        <v>683</v>
      </c>
      <c r="C48" s="535">
        <v>28</v>
      </c>
      <c r="D48" s="535">
        <v>0</v>
      </c>
      <c r="E48" s="234">
        <v>13013</v>
      </c>
      <c r="F48" s="495">
        <v>4116</v>
      </c>
      <c r="G48" s="503"/>
    </row>
    <row r="49" spans="1:10" x14ac:dyDescent="0.25">
      <c r="A49" s="491"/>
      <c r="B49" s="499" t="s">
        <v>684</v>
      </c>
      <c r="C49" s="535">
        <v>24</v>
      </c>
      <c r="D49" s="535">
        <v>0</v>
      </c>
      <c r="E49" s="234">
        <v>13013</v>
      </c>
      <c r="F49" s="495">
        <v>4116</v>
      </c>
      <c r="G49" s="503"/>
    </row>
    <row r="50" spans="1:10" x14ac:dyDescent="0.25">
      <c r="A50" s="491"/>
      <c r="B50" s="499" t="s">
        <v>97</v>
      </c>
      <c r="C50" s="535">
        <v>301</v>
      </c>
      <c r="D50" s="535">
        <v>300369</v>
      </c>
      <c r="E50" s="234">
        <v>13101</v>
      </c>
      <c r="F50" s="495">
        <v>4116</v>
      </c>
      <c r="G50" s="503"/>
    </row>
    <row r="51" spans="1:10" x14ac:dyDescent="0.25">
      <c r="A51" s="491"/>
      <c r="B51" s="499" t="s">
        <v>65</v>
      </c>
      <c r="C51" s="535">
        <v>89</v>
      </c>
      <c r="D51" s="535">
        <v>75701</v>
      </c>
      <c r="E51" s="234">
        <v>13101</v>
      </c>
      <c r="F51" s="495" t="s">
        <v>18</v>
      </c>
      <c r="G51" s="503"/>
    </row>
    <row r="52" spans="1:10" x14ac:dyDescent="0.25">
      <c r="A52" s="491"/>
      <c r="B52" s="499" t="s">
        <v>98</v>
      </c>
      <c r="C52" s="535">
        <v>484.274</v>
      </c>
      <c r="D52" s="535">
        <v>484274</v>
      </c>
      <c r="E52" s="694">
        <v>13101</v>
      </c>
      <c r="F52" s="495">
        <v>4116</v>
      </c>
      <c r="G52" s="503"/>
    </row>
    <row r="53" spans="1:10" s="275" customFormat="1" x14ac:dyDescent="0.25">
      <c r="A53" s="491"/>
      <c r="B53" s="499" t="s">
        <v>99</v>
      </c>
      <c r="C53" s="535">
        <v>22</v>
      </c>
      <c r="D53" s="535">
        <v>22000</v>
      </c>
      <c r="E53" s="694">
        <v>13101</v>
      </c>
      <c r="F53" s="495">
        <v>4116</v>
      </c>
      <c r="G53" s="503"/>
      <c r="H53" s="471"/>
      <c r="I53" s="471"/>
      <c r="J53" s="471"/>
    </row>
    <row r="54" spans="1:10" s="275" customFormat="1" x14ac:dyDescent="0.25">
      <c r="A54" s="491"/>
      <c r="B54" s="499" t="s">
        <v>19</v>
      </c>
      <c r="C54" s="535">
        <v>124.252</v>
      </c>
      <c r="D54" s="535">
        <v>158123</v>
      </c>
      <c r="E54" s="234">
        <v>13234</v>
      </c>
      <c r="F54" s="495">
        <v>4116</v>
      </c>
      <c r="G54" s="503"/>
      <c r="H54" s="471"/>
      <c r="I54" s="471"/>
      <c r="J54" s="471"/>
    </row>
    <row r="55" spans="1:10" s="275" customFormat="1" x14ac:dyDescent="0.25">
      <c r="A55" s="491"/>
      <c r="B55" s="499" t="s">
        <v>20</v>
      </c>
      <c r="C55" s="535">
        <v>318</v>
      </c>
      <c r="D55" s="535">
        <v>290680</v>
      </c>
      <c r="E55" s="234">
        <v>13234</v>
      </c>
      <c r="F55" s="495">
        <v>4116</v>
      </c>
      <c r="G55" s="503"/>
      <c r="H55" s="471"/>
      <c r="I55" s="471"/>
      <c r="J55" s="471"/>
    </row>
    <row r="56" spans="1:10" s="275" customFormat="1" x14ac:dyDescent="0.25">
      <c r="A56" s="491"/>
      <c r="B56" s="499" t="s">
        <v>23</v>
      </c>
      <c r="C56" s="535">
        <v>176</v>
      </c>
      <c r="D56" s="535">
        <v>175663</v>
      </c>
      <c r="E56" s="234">
        <v>13234</v>
      </c>
      <c r="F56" s="495">
        <v>4116</v>
      </c>
      <c r="G56" s="503"/>
      <c r="H56" s="471"/>
      <c r="I56" s="471"/>
      <c r="J56" s="471"/>
    </row>
    <row r="57" spans="1:10" s="275" customFormat="1" x14ac:dyDescent="0.25">
      <c r="A57" s="491"/>
      <c r="B57" s="499" t="s">
        <v>22</v>
      </c>
      <c r="C57" s="535">
        <v>264</v>
      </c>
      <c r="D57" s="535">
        <v>260064</v>
      </c>
      <c r="E57" s="234">
        <v>13234</v>
      </c>
      <c r="F57" s="495">
        <v>4116</v>
      </c>
      <c r="G57" s="503"/>
      <c r="H57" s="471"/>
      <c r="I57" s="471"/>
      <c r="J57" s="471"/>
    </row>
    <row r="58" spans="1:10" s="275" customFormat="1" x14ac:dyDescent="0.25">
      <c r="A58" s="491"/>
      <c r="B58" s="499" t="s">
        <v>67</v>
      </c>
      <c r="C58" s="535">
        <v>171.72300000000001</v>
      </c>
      <c r="D58" s="535">
        <f>86069+44000+41655</f>
        <v>171724</v>
      </c>
      <c r="E58" s="234">
        <v>13234</v>
      </c>
      <c r="F58" s="495">
        <v>4116</v>
      </c>
      <c r="G58" s="503"/>
      <c r="H58" s="471"/>
      <c r="I58" s="471"/>
      <c r="J58" s="471"/>
    </row>
    <row r="59" spans="1:10" s="275" customFormat="1" x14ac:dyDescent="0.25">
      <c r="A59" s="491"/>
      <c r="B59" s="499" t="s">
        <v>25</v>
      </c>
      <c r="C59" s="535">
        <v>1705.0039999999999</v>
      </c>
      <c r="D59" s="535">
        <v>1189532</v>
      </c>
      <c r="E59" s="234">
        <v>13234</v>
      </c>
      <c r="F59" s="495">
        <v>4116</v>
      </c>
      <c r="G59" s="503"/>
      <c r="H59" s="471"/>
      <c r="I59" s="471"/>
      <c r="J59" s="471"/>
    </row>
    <row r="60" spans="1:10" s="275" customFormat="1" x14ac:dyDescent="0.25">
      <c r="A60" s="491"/>
      <c r="B60" s="499" t="s">
        <v>26</v>
      </c>
      <c r="C60" s="535">
        <v>405.51</v>
      </c>
      <c r="D60" s="535">
        <v>405500</v>
      </c>
      <c r="E60" s="234">
        <v>13234</v>
      </c>
      <c r="F60" s="495">
        <v>4116</v>
      </c>
      <c r="G60" s="503"/>
      <c r="H60" s="471"/>
      <c r="I60" s="471"/>
      <c r="J60" s="471"/>
    </row>
    <row r="61" spans="1:10" x14ac:dyDescent="0.25">
      <c r="A61" s="491"/>
      <c r="B61" s="499" t="s">
        <v>28</v>
      </c>
      <c r="C61" s="535">
        <v>5376</v>
      </c>
      <c r="D61" s="535">
        <v>4418809</v>
      </c>
      <c r="E61" s="694">
        <v>13234</v>
      </c>
      <c r="F61" s="495">
        <v>4116</v>
      </c>
      <c r="G61" s="503"/>
    </row>
    <row r="62" spans="1:10" s="275" customFormat="1" x14ac:dyDescent="0.25">
      <c r="A62" s="491"/>
      <c r="B62" s="499" t="s">
        <v>24</v>
      </c>
      <c r="C62" s="535">
        <v>11453</v>
      </c>
      <c r="D62" s="535">
        <v>10137859</v>
      </c>
      <c r="E62" s="234">
        <v>13234</v>
      </c>
      <c r="F62" s="495">
        <v>4116</v>
      </c>
      <c r="G62" s="503"/>
      <c r="H62" s="471"/>
      <c r="I62" s="471"/>
      <c r="J62" s="471"/>
    </row>
    <row r="63" spans="1:10" x14ac:dyDescent="0.25">
      <c r="A63" s="491"/>
      <c r="B63" s="499" t="s">
        <v>66</v>
      </c>
      <c r="C63" s="535">
        <v>144.13300000000001</v>
      </c>
      <c r="D63" s="535">
        <v>144133</v>
      </c>
      <c r="E63" s="694">
        <v>13234</v>
      </c>
      <c r="F63" s="495">
        <v>4116</v>
      </c>
      <c r="G63" s="503"/>
    </row>
    <row r="64" spans="1:10" x14ac:dyDescent="0.25">
      <c r="A64" s="491"/>
      <c r="B64" s="499" t="s">
        <v>30</v>
      </c>
      <c r="C64" s="535">
        <v>183.47900000000001</v>
      </c>
      <c r="D64" s="535">
        <v>183479</v>
      </c>
      <c r="E64" s="694">
        <v>13234</v>
      </c>
      <c r="F64" s="495">
        <v>4116</v>
      </c>
      <c r="G64" s="503"/>
    </row>
    <row r="65" spans="1:7" x14ac:dyDescent="0.25">
      <c r="A65" s="491"/>
      <c r="B65" s="499" t="s">
        <v>31</v>
      </c>
      <c r="C65" s="535">
        <v>192.39</v>
      </c>
      <c r="D65" s="535">
        <v>216398</v>
      </c>
      <c r="E65" s="694">
        <v>13234</v>
      </c>
      <c r="F65" s="495">
        <v>4116</v>
      </c>
      <c r="G65" s="503"/>
    </row>
    <row r="66" spans="1:7" x14ac:dyDescent="0.25">
      <c r="A66" s="491"/>
      <c r="B66" s="499" t="s">
        <v>21</v>
      </c>
      <c r="C66" s="535">
        <v>7.42</v>
      </c>
      <c r="D66" s="535">
        <v>7420</v>
      </c>
      <c r="E66" s="694">
        <v>13234</v>
      </c>
      <c r="F66" s="495" t="s">
        <v>18</v>
      </c>
      <c r="G66" s="503"/>
    </row>
    <row r="67" spans="1:7" x14ac:dyDescent="0.25">
      <c r="A67" s="491"/>
      <c r="B67" s="536"/>
      <c r="C67" s="19"/>
      <c r="D67" s="535"/>
      <c r="E67" s="694"/>
      <c r="F67" s="495"/>
      <c r="G67" s="471"/>
    </row>
    <row r="68" spans="1:7" x14ac:dyDescent="0.25">
      <c r="A68" s="491"/>
      <c r="B68" s="695" t="s">
        <v>116</v>
      </c>
      <c r="C68" s="506">
        <f>+SUM(C69:C70)</f>
        <v>36.299999999999997</v>
      </c>
      <c r="D68" s="506">
        <f>+SUM(D69:D70)</f>
        <v>36300</v>
      </c>
      <c r="E68" s="495"/>
      <c r="F68" s="495"/>
      <c r="G68" s="471"/>
    </row>
    <row r="69" spans="1:7" x14ac:dyDescent="0.25">
      <c r="A69" s="491">
        <v>42066</v>
      </c>
      <c r="B69" s="499" t="s">
        <v>115</v>
      </c>
      <c r="C69" s="535">
        <v>36.299999999999997</v>
      </c>
      <c r="D69" s="535">
        <v>36300</v>
      </c>
      <c r="E69" s="696">
        <v>27003</v>
      </c>
      <c r="F69" s="495">
        <v>4116</v>
      </c>
      <c r="G69" s="471"/>
    </row>
    <row r="70" spans="1:7" x14ac:dyDescent="0.25">
      <c r="A70" s="491"/>
      <c r="B70" s="499"/>
      <c r="C70" s="535"/>
      <c r="D70" s="535"/>
      <c r="E70" s="495"/>
      <c r="F70" s="495"/>
      <c r="G70" s="471"/>
    </row>
    <row r="71" spans="1:7" x14ac:dyDescent="0.25">
      <c r="A71" s="491"/>
      <c r="B71" s="695" t="s">
        <v>33</v>
      </c>
      <c r="C71" s="506">
        <f>+SUM(C72:C108)</f>
        <v>24972</v>
      </c>
      <c r="D71" s="506">
        <f>+SUM(D72:D108)</f>
        <v>24972000</v>
      </c>
      <c r="E71" s="495"/>
      <c r="F71" s="495"/>
      <c r="G71" s="471"/>
    </row>
    <row r="72" spans="1:7" x14ac:dyDescent="0.25">
      <c r="A72" s="491">
        <v>42086</v>
      </c>
      <c r="B72" s="499" t="s">
        <v>122</v>
      </c>
      <c r="C72" s="535">
        <v>80</v>
      </c>
      <c r="D72" s="542">
        <v>80000</v>
      </c>
      <c r="E72" s="495">
        <v>34070</v>
      </c>
      <c r="F72" s="495">
        <v>4116</v>
      </c>
      <c r="G72" s="471"/>
    </row>
    <row r="73" spans="1:7" x14ac:dyDescent="0.25">
      <c r="A73" s="491">
        <v>42116</v>
      </c>
      <c r="B73" s="499" t="s">
        <v>266</v>
      </c>
      <c r="C73" s="535">
        <v>25</v>
      </c>
      <c r="D73" s="542">
        <v>25000</v>
      </c>
      <c r="E73" s="495">
        <v>34070</v>
      </c>
      <c r="F73" s="495">
        <v>4116</v>
      </c>
      <c r="G73" s="471"/>
    </row>
    <row r="74" spans="1:7" x14ac:dyDescent="0.25">
      <c r="A74" s="491">
        <v>42116</v>
      </c>
      <c r="B74" s="499" t="s">
        <v>143</v>
      </c>
      <c r="C74" s="535">
        <v>18</v>
      </c>
      <c r="D74" s="542">
        <v>18000</v>
      </c>
      <c r="E74" s="495">
        <v>34070</v>
      </c>
      <c r="F74" s="495">
        <v>4116</v>
      </c>
      <c r="G74" s="471"/>
    </row>
    <row r="75" spans="1:7" x14ac:dyDescent="0.25">
      <c r="A75" s="491">
        <v>42116</v>
      </c>
      <c r="B75" s="499" t="s">
        <v>173</v>
      </c>
      <c r="C75" s="535">
        <v>20</v>
      </c>
      <c r="D75" s="542">
        <v>20000</v>
      </c>
      <c r="E75" s="495">
        <v>34070</v>
      </c>
      <c r="F75" s="495">
        <v>4116</v>
      </c>
      <c r="G75" s="471"/>
    </row>
    <row r="76" spans="1:7" x14ac:dyDescent="0.25">
      <c r="A76" s="491">
        <v>42128</v>
      </c>
      <c r="B76" s="499" t="s">
        <v>172</v>
      </c>
      <c r="C76" s="535">
        <v>45</v>
      </c>
      <c r="D76" s="542">
        <v>45000</v>
      </c>
      <c r="E76" s="495">
        <v>34053</v>
      </c>
      <c r="F76" s="495">
        <v>4116</v>
      </c>
      <c r="G76" s="471"/>
    </row>
    <row r="77" spans="1:7" x14ac:dyDescent="0.25">
      <c r="A77" s="491">
        <v>42135</v>
      </c>
      <c r="B77" s="499" t="s">
        <v>175</v>
      </c>
      <c r="C77" s="535">
        <v>600</v>
      </c>
      <c r="D77" s="542">
        <v>600000</v>
      </c>
      <c r="E77" s="495">
        <v>34070</v>
      </c>
      <c r="F77" s="495">
        <v>4116</v>
      </c>
      <c r="G77" s="471"/>
    </row>
    <row r="78" spans="1:7" x14ac:dyDescent="0.25">
      <c r="A78" s="491">
        <v>42135</v>
      </c>
      <c r="B78" s="499" t="s">
        <v>176</v>
      </c>
      <c r="C78" s="535">
        <v>70</v>
      </c>
      <c r="D78" s="542">
        <v>70000</v>
      </c>
      <c r="E78" s="495">
        <v>34070</v>
      </c>
      <c r="F78" s="495">
        <v>4116</v>
      </c>
      <c r="G78" s="471"/>
    </row>
    <row r="79" spans="1:7" x14ac:dyDescent="0.25">
      <c r="A79" s="491">
        <v>42136</v>
      </c>
      <c r="B79" s="499" t="s">
        <v>177</v>
      </c>
      <c r="C79" s="535">
        <v>120</v>
      </c>
      <c r="D79" s="542">
        <v>120000</v>
      </c>
      <c r="E79" s="495">
        <v>34070</v>
      </c>
      <c r="F79" s="495">
        <v>4116</v>
      </c>
      <c r="G79" s="471"/>
    </row>
    <row r="80" spans="1:7" x14ac:dyDescent="0.25">
      <c r="A80" s="491">
        <v>42136</v>
      </c>
      <c r="B80" s="499" t="s">
        <v>178</v>
      </c>
      <c r="C80" s="535">
        <v>340</v>
      </c>
      <c r="D80" s="542">
        <v>340000</v>
      </c>
      <c r="E80" s="495">
        <v>34070</v>
      </c>
      <c r="F80" s="495">
        <v>4116</v>
      </c>
      <c r="G80" s="471"/>
    </row>
    <row r="81" spans="1:7" x14ac:dyDescent="0.25">
      <c r="A81" s="491">
        <v>42136</v>
      </c>
      <c r="B81" s="499" t="s">
        <v>179</v>
      </c>
      <c r="C81" s="535">
        <v>320</v>
      </c>
      <c r="D81" s="542">
        <v>320000</v>
      </c>
      <c r="E81" s="495">
        <v>34070</v>
      </c>
      <c r="F81" s="495">
        <v>4116</v>
      </c>
      <c r="G81" s="471"/>
    </row>
    <row r="82" spans="1:7" x14ac:dyDescent="0.25">
      <c r="A82" s="491">
        <v>42143</v>
      </c>
      <c r="B82" s="499" t="s">
        <v>194</v>
      </c>
      <c r="C82" s="535">
        <v>95</v>
      </c>
      <c r="D82" s="542">
        <v>95000</v>
      </c>
      <c r="E82" s="495">
        <v>34070</v>
      </c>
      <c r="F82" s="495">
        <v>4116</v>
      </c>
      <c r="G82" s="471"/>
    </row>
    <row r="83" spans="1:7" x14ac:dyDescent="0.25">
      <c r="A83" s="491">
        <v>42143</v>
      </c>
      <c r="B83" s="499" t="s">
        <v>195</v>
      </c>
      <c r="C83" s="535">
        <v>30</v>
      </c>
      <c r="D83" s="542">
        <v>30000</v>
      </c>
      <c r="E83" s="495">
        <v>34194</v>
      </c>
      <c r="F83" s="495">
        <v>4116</v>
      </c>
      <c r="G83" s="471"/>
    </row>
    <row r="84" spans="1:7" x14ac:dyDescent="0.25">
      <c r="A84" s="491">
        <v>42143</v>
      </c>
      <c r="B84" s="499" t="s">
        <v>197</v>
      </c>
      <c r="C84" s="535">
        <v>750</v>
      </c>
      <c r="D84" s="542">
        <v>750000</v>
      </c>
      <c r="E84" s="495">
        <v>34070</v>
      </c>
      <c r="F84" s="495">
        <v>4116</v>
      </c>
      <c r="G84" s="471"/>
    </row>
    <row r="85" spans="1:7" x14ac:dyDescent="0.25">
      <c r="A85" s="491">
        <v>42144</v>
      </c>
      <c r="B85" s="499" t="s">
        <v>688</v>
      </c>
      <c r="C85" s="535">
        <v>64</v>
      </c>
      <c r="D85" s="542">
        <v>64000</v>
      </c>
      <c r="E85" s="495">
        <v>34053</v>
      </c>
      <c r="F85" s="495">
        <v>4116</v>
      </c>
      <c r="G85" s="471"/>
    </row>
    <row r="86" spans="1:7" x14ac:dyDescent="0.25">
      <c r="A86" s="491">
        <v>42144</v>
      </c>
      <c r="B86" s="499" t="s">
        <v>198</v>
      </c>
      <c r="C86" s="535">
        <v>45</v>
      </c>
      <c r="D86" s="542">
        <v>45000</v>
      </c>
      <c r="E86" s="495">
        <v>34053</v>
      </c>
      <c r="F86" s="495">
        <v>4116</v>
      </c>
      <c r="G86" s="471"/>
    </row>
    <row r="87" spans="1:7" x14ac:dyDescent="0.25">
      <c r="A87" s="491">
        <v>42164</v>
      </c>
      <c r="B87" s="499" t="s">
        <v>241</v>
      </c>
      <c r="C87" s="535">
        <v>1200</v>
      </c>
      <c r="D87" s="542">
        <v>1200000</v>
      </c>
      <c r="E87" s="495">
        <v>34352</v>
      </c>
      <c r="F87" s="495">
        <v>4116</v>
      </c>
      <c r="G87" s="471"/>
    </row>
    <row r="88" spans="1:7" x14ac:dyDescent="0.25">
      <c r="A88" s="491">
        <v>42172</v>
      </c>
      <c r="B88" s="499" t="s">
        <v>233</v>
      </c>
      <c r="C88" s="535">
        <v>740</v>
      </c>
      <c r="D88" s="542">
        <v>740000</v>
      </c>
      <c r="E88" s="495">
        <v>34352</v>
      </c>
      <c r="F88" s="495">
        <v>4116</v>
      </c>
      <c r="G88" s="471"/>
    </row>
    <row r="89" spans="1:7" x14ac:dyDescent="0.25">
      <c r="A89" s="491">
        <v>42172</v>
      </c>
      <c r="B89" s="499" t="s">
        <v>234</v>
      </c>
      <c r="C89" s="535">
        <v>2745</v>
      </c>
      <c r="D89" s="542">
        <v>2745000</v>
      </c>
      <c r="E89" s="495">
        <v>34352</v>
      </c>
      <c r="F89" s="495">
        <v>4116</v>
      </c>
      <c r="G89" s="471"/>
    </row>
    <row r="90" spans="1:7" x14ac:dyDescent="0.25">
      <c r="A90" s="491">
        <v>42172</v>
      </c>
      <c r="B90" s="499" t="s">
        <v>235</v>
      </c>
      <c r="C90" s="535">
        <v>2580</v>
      </c>
      <c r="D90" s="542">
        <v>2580000</v>
      </c>
      <c r="E90" s="495">
        <v>34352</v>
      </c>
      <c r="F90" s="495">
        <v>4116</v>
      </c>
      <c r="G90" s="471"/>
    </row>
    <row r="91" spans="1:7" x14ac:dyDescent="0.25">
      <c r="A91" s="491">
        <v>42178</v>
      </c>
      <c r="B91" s="499" t="s">
        <v>242</v>
      </c>
      <c r="C91" s="535">
        <v>7135</v>
      </c>
      <c r="D91" s="542">
        <v>7135000</v>
      </c>
      <c r="E91" s="495">
        <v>34352</v>
      </c>
      <c r="F91" s="495">
        <v>4116</v>
      </c>
      <c r="G91" s="471"/>
    </row>
    <row r="92" spans="1:7" x14ac:dyDescent="0.25">
      <c r="A92" s="491">
        <v>42188</v>
      </c>
      <c r="B92" s="499" t="s">
        <v>531</v>
      </c>
      <c r="C92" s="535">
        <v>112</v>
      </c>
      <c r="D92" s="542">
        <v>112000</v>
      </c>
      <c r="E92" s="495">
        <v>34001</v>
      </c>
      <c r="F92" s="495">
        <v>4116</v>
      </c>
      <c r="G92" s="471"/>
    </row>
    <row r="93" spans="1:7" x14ac:dyDescent="0.25">
      <c r="A93" s="491">
        <v>42198</v>
      </c>
      <c r="B93" s="499" t="s">
        <v>295</v>
      </c>
      <c r="C93" s="535">
        <v>80</v>
      </c>
      <c r="D93" s="542">
        <v>80000</v>
      </c>
      <c r="E93" s="495">
        <v>34070</v>
      </c>
      <c r="F93" s="495">
        <v>4116</v>
      </c>
      <c r="G93" s="471"/>
    </row>
    <row r="94" spans="1:7" x14ac:dyDescent="0.25">
      <c r="A94" s="491">
        <v>42212</v>
      </c>
      <c r="B94" s="499" t="s">
        <v>341</v>
      </c>
      <c r="C94" s="535">
        <v>1900</v>
      </c>
      <c r="D94" s="542">
        <v>1900000</v>
      </c>
      <c r="E94" s="495">
        <v>34054</v>
      </c>
      <c r="F94" s="495">
        <v>4116</v>
      </c>
      <c r="G94" s="471"/>
    </row>
    <row r="95" spans="1:7" x14ac:dyDescent="0.25">
      <c r="A95" s="491">
        <v>42214</v>
      </c>
      <c r="B95" s="499" t="s">
        <v>340</v>
      </c>
      <c r="C95" s="535">
        <v>70</v>
      </c>
      <c r="D95" s="542">
        <v>70000</v>
      </c>
      <c r="E95" s="495">
        <v>34070</v>
      </c>
      <c r="F95" s="495">
        <v>4116</v>
      </c>
      <c r="G95" s="503"/>
    </row>
    <row r="96" spans="1:7" x14ac:dyDescent="0.25">
      <c r="A96" s="491">
        <v>42227</v>
      </c>
      <c r="B96" s="499" t="s">
        <v>367</v>
      </c>
      <c r="C96" s="535">
        <v>180</v>
      </c>
      <c r="D96" s="542">
        <v>180000</v>
      </c>
      <c r="E96" s="495">
        <v>34070</v>
      </c>
      <c r="F96" s="495">
        <v>4116</v>
      </c>
      <c r="G96" s="528"/>
    </row>
    <row r="97" spans="1:7" x14ac:dyDescent="0.25">
      <c r="A97" s="491">
        <v>42241</v>
      </c>
      <c r="B97" s="499" t="s">
        <v>413</v>
      </c>
      <c r="C97" s="535">
        <v>2654</v>
      </c>
      <c r="D97" s="542">
        <v>2654000</v>
      </c>
      <c r="E97" s="495">
        <v>34002</v>
      </c>
      <c r="F97" s="495">
        <v>4116</v>
      </c>
      <c r="G97" s="471"/>
    </row>
    <row r="98" spans="1:7" x14ac:dyDescent="0.25">
      <c r="A98" s="491">
        <v>42271</v>
      </c>
      <c r="B98" s="499" t="s">
        <v>422</v>
      </c>
      <c r="C98" s="535">
        <v>1380</v>
      </c>
      <c r="D98" s="542">
        <v>1380000</v>
      </c>
      <c r="E98" s="495">
        <v>34070</v>
      </c>
      <c r="F98" s="495">
        <v>4116</v>
      </c>
      <c r="G98" s="471"/>
    </row>
    <row r="99" spans="1:7" x14ac:dyDescent="0.25">
      <c r="A99" s="491">
        <v>42272</v>
      </c>
      <c r="B99" s="499" t="s">
        <v>422</v>
      </c>
      <c r="C99" s="535">
        <v>620</v>
      </c>
      <c r="D99" s="542">
        <v>620000</v>
      </c>
      <c r="E99" s="495">
        <v>34070</v>
      </c>
      <c r="F99" s="495">
        <v>4116</v>
      </c>
      <c r="G99" s="471"/>
    </row>
    <row r="100" spans="1:7" x14ac:dyDescent="0.25">
      <c r="A100" s="491">
        <v>42284</v>
      </c>
      <c r="B100" s="499" t="s">
        <v>197</v>
      </c>
      <c r="C100" s="535">
        <v>50</v>
      </c>
      <c r="D100" s="542">
        <v>50000</v>
      </c>
      <c r="E100" s="495">
        <v>34070</v>
      </c>
      <c r="F100" s="495">
        <v>4116</v>
      </c>
      <c r="G100" s="471"/>
    </row>
    <row r="101" spans="1:7" x14ac:dyDescent="0.25">
      <c r="A101" s="491">
        <v>42310</v>
      </c>
      <c r="B101" s="499" t="s">
        <v>588</v>
      </c>
      <c r="C101" s="535">
        <v>250</v>
      </c>
      <c r="D101" s="542">
        <v>250000</v>
      </c>
      <c r="E101" s="495">
        <v>34070</v>
      </c>
      <c r="F101" s="495">
        <v>4116</v>
      </c>
      <c r="G101" s="471"/>
    </row>
    <row r="102" spans="1:7" x14ac:dyDescent="0.25">
      <c r="A102" s="491">
        <v>42318</v>
      </c>
      <c r="B102" s="499" t="s">
        <v>598</v>
      </c>
      <c r="C102" s="535">
        <v>40</v>
      </c>
      <c r="D102" s="542">
        <v>40000</v>
      </c>
      <c r="E102" s="495">
        <v>34070</v>
      </c>
      <c r="F102" s="495">
        <v>4116</v>
      </c>
      <c r="G102" s="471"/>
    </row>
    <row r="103" spans="1:7" x14ac:dyDescent="0.25">
      <c r="A103" s="491"/>
      <c r="B103" s="499" t="s">
        <v>267</v>
      </c>
      <c r="C103" s="535">
        <v>100</v>
      </c>
      <c r="D103" s="535">
        <f>50000+50000</f>
        <v>100000</v>
      </c>
      <c r="E103" s="495">
        <v>34273</v>
      </c>
      <c r="F103" s="495">
        <v>4116</v>
      </c>
      <c r="G103" s="503"/>
    </row>
    <row r="104" spans="1:7" x14ac:dyDescent="0.25">
      <c r="A104" s="491"/>
      <c r="B104" s="499" t="s">
        <v>382</v>
      </c>
      <c r="C104" s="535">
        <v>70</v>
      </c>
      <c r="D104" s="535">
        <v>70000</v>
      </c>
      <c r="E104" s="495">
        <v>34002</v>
      </c>
      <c r="F104" s="495">
        <v>4116</v>
      </c>
      <c r="G104" s="503"/>
    </row>
    <row r="105" spans="1:7" x14ac:dyDescent="0.25">
      <c r="A105" s="491"/>
      <c r="B105" s="499" t="s">
        <v>383</v>
      </c>
      <c r="C105" s="535">
        <v>90</v>
      </c>
      <c r="D105" s="535">
        <v>90000</v>
      </c>
      <c r="E105" s="495">
        <v>34002</v>
      </c>
      <c r="F105" s="495">
        <v>4116</v>
      </c>
      <c r="G105" s="503"/>
    </row>
    <row r="106" spans="1:7" x14ac:dyDescent="0.25">
      <c r="A106" s="491"/>
      <c r="B106" s="499" t="s">
        <v>430</v>
      </c>
      <c r="C106" s="535">
        <v>54</v>
      </c>
      <c r="D106" s="535">
        <v>54000</v>
      </c>
      <c r="E106" s="495">
        <v>34002</v>
      </c>
      <c r="F106" s="495">
        <v>4116</v>
      </c>
      <c r="G106" s="503"/>
    </row>
    <row r="107" spans="1:7" x14ac:dyDescent="0.25">
      <c r="A107" s="491"/>
      <c r="B107" s="499" t="s">
        <v>431</v>
      </c>
      <c r="C107" s="535">
        <v>300</v>
      </c>
      <c r="D107" s="535">
        <v>300000</v>
      </c>
      <c r="E107" s="495">
        <v>34002</v>
      </c>
      <c r="F107" s="495">
        <v>4116</v>
      </c>
      <c r="G107" s="503"/>
    </row>
    <row r="108" spans="1:7" x14ac:dyDescent="0.25">
      <c r="A108" s="491"/>
      <c r="B108" s="499"/>
      <c r="C108" s="535"/>
      <c r="D108" s="535"/>
      <c r="E108" s="495"/>
      <c r="F108" s="495"/>
      <c r="G108" s="471"/>
    </row>
    <row r="109" spans="1:7" x14ac:dyDescent="0.25">
      <c r="A109" s="491"/>
      <c r="B109" s="695" t="s">
        <v>34</v>
      </c>
      <c r="C109" s="506">
        <f>SUM(C110:C208)</f>
        <v>59121.139590000006</v>
      </c>
      <c r="D109" s="506">
        <f>SUM(D110:D208)</f>
        <v>59121139.590000004</v>
      </c>
      <c r="E109" s="495"/>
      <c r="F109" s="495"/>
      <c r="G109" s="471"/>
    </row>
    <row r="110" spans="1:7" x14ac:dyDescent="0.25">
      <c r="A110" s="491">
        <v>42054</v>
      </c>
      <c r="B110" s="499" t="s">
        <v>68</v>
      </c>
      <c r="C110" s="541">
        <v>972.54641000000004</v>
      </c>
      <c r="D110" s="56">
        <v>972546.41</v>
      </c>
      <c r="E110" s="495">
        <v>33019</v>
      </c>
      <c r="F110" s="495" t="s">
        <v>18</v>
      </c>
      <c r="G110" s="471"/>
    </row>
    <row r="111" spans="1:7" x14ac:dyDescent="0.25">
      <c r="A111" s="491">
        <v>42081</v>
      </c>
      <c r="B111" s="499" t="s">
        <v>117</v>
      </c>
      <c r="C111" s="541">
        <v>192</v>
      </c>
      <c r="D111" s="56">
        <v>192000</v>
      </c>
      <c r="E111" s="495">
        <v>33339</v>
      </c>
      <c r="F111" s="495">
        <v>4116</v>
      </c>
      <c r="G111" s="471"/>
    </row>
    <row r="112" spans="1:7" x14ac:dyDescent="0.25">
      <c r="A112" s="491">
        <v>42116</v>
      </c>
      <c r="B112" s="499" t="s">
        <v>145</v>
      </c>
      <c r="C112" s="541">
        <v>417.25607000000002</v>
      </c>
      <c r="D112" s="56">
        <f>354667.65+62588.42</f>
        <v>417256.07</v>
      </c>
      <c r="E112" s="495">
        <v>33019</v>
      </c>
      <c r="F112" s="495">
        <v>4116</v>
      </c>
      <c r="G112" s="471"/>
    </row>
    <row r="113" spans="1:7" x14ac:dyDescent="0.25">
      <c r="A113" s="491">
        <v>42117</v>
      </c>
      <c r="B113" s="499" t="s">
        <v>148</v>
      </c>
      <c r="C113" s="541">
        <v>6858.8674300000002</v>
      </c>
      <c r="D113" s="56">
        <v>6858867.4299999997</v>
      </c>
      <c r="E113" s="495">
        <v>33019</v>
      </c>
      <c r="F113" s="495">
        <v>4116</v>
      </c>
      <c r="G113" s="471"/>
    </row>
    <row r="114" spans="1:7" x14ac:dyDescent="0.25">
      <c r="A114" s="491">
        <v>42131</v>
      </c>
      <c r="B114" s="499" t="s">
        <v>174</v>
      </c>
      <c r="C114" s="541">
        <v>592.21028999999999</v>
      </c>
      <c r="D114" s="56">
        <v>592210.29</v>
      </c>
      <c r="E114" s="494">
        <v>33019</v>
      </c>
      <c r="F114" s="495">
        <v>4116</v>
      </c>
      <c r="G114" s="471"/>
    </row>
    <row r="115" spans="1:7" x14ac:dyDescent="0.25">
      <c r="A115" s="491">
        <v>42138</v>
      </c>
      <c r="B115" s="499" t="s">
        <v>148</v>
      </c>
      <c r="C115" s="541">
        <v>4904.7020000000002</v>
      </c>
      <c r="D115" s="56">
        <v>4904702</v>
      </c>
      <c r="E115" s="494">
        <v>33019</v>
      </c>
      <c r="F115" s="495">
        <v>4116</v>
      </c>
      <c r="G115" s="471"/>
    </row>
    <row r="116" spans="1:7" x14ac:dyDescent="0.25">
      <c r="A116" s="491">
        <v>42184</v>
      </c>
      <c r="B116" s="499" t="s">
        <v>145</v>
      </c>
      <c r="C116" s="541">
        <v>681.93142</v>
      </c>
      <c r="D116" s="56">
        <v>681931.42</v>
      </c>
      <c r="E116" s="494">
        <v>33019</v>
      </c>
      <c r="F116" s="495">
        <v>4116</v>
      </c>
      <c r="G116" s="471"/>
    </row>
    <row r="117" spans="1:7" x14ac:dyDescent="0.25">
      <c r="A117" s="491">
        <v>42188</v>
      </c>
      <c r="B117" s="291" t="s">
        <v>174</v>
      </c>
      <c r="C117" s="541">
        <v>800.06946000000005</v>
      </c>
      <c r="D117" s="56">
        <v>800069.46</v>
      </c>
      <c r="E117" s="494">
        <v>33019</v>
      </c>
      <c r="F117" s="495">
        <v>4116</v>
      </c>
      <c r="G117" s="471"/>
    </row>
    <row r="118" spans="1:7" x14ac:dyDescent="0.25">
      <c r="A118" s="491">
        <v>42198</v>
      </c>
      <c r="B118" s="291" t="s">
        <v>689</v>
      </c>
      <c r="C118" s="541">
        <f>841.97005+148.58295</f>
        <v>990.553</v>
      </c>
      <c r="D118" s="56">
        <f>841970.05+148582.95</f>
        <v>990553</v>
      </c>
      <c r="E118" s="494">
        <v>33058</v>
      </c>
      <c r="F118" s="495">
        <v>4116</v>
      </c>
      <c r="G118" s="471"/>
    </row>
    <row r="119" spans="1:7" x14ac:dyDescent="0.25">
      <c r="A119" s="491">
        <v>42198</v>
      </c>
      <c r="B119" s="291" t="s">
        <v>690</v>
      </c>
      <c r="C119" s="541">
        <f>846.78615+149.43285</f>
        <v>996.21900000000005</v>
      </c>
      <c r="D119" s="56">
        <f>846786.15+149432.85</f>
        <v>996219</v>
      </c>
      <c r="E119" s="494">
        <v>33058</v>
      </c>
      <c r="F119" s="495">
        <v>4116</v>
      </c>
      <c r="G119" s="471"/>
    </row>
    <row r="120" spans="1:7" x14ac:dyDescent="0.25">
      <c r="A120" s="491">
        <v>42198</v>
      </c>
      <c r="B120" s="291" t="s">
        <v>691</v>
      </c>
      <c r="C120" s="541">
        <f>689.90845+121.74855</f>
        <v>811.65700000000004</v>
      </c>
      <c r="D120" s="56">
        <f>689908.45+121748.55</f>
        <v>811657</v>
      </c>
      <c r="E120" s="494">
        <v>33058</v>
      </c>
      <c r="F120" s="495">
        <v>4116</v>
      </c>
      <c r="G120" s="471"/>
    </row>
    <row r="121" spans="1:7" x14ac:dyDescent="0.25">
      <c r="A121" s="491">
        <v>42200</v>
      </c>
      <c r="B121" s="291" t="s">
        <v>692</v>
      </c>
      <c r="C121" s="541">
        <v>978.06399999999996</v>
      </c>
      <c r="D121" s="56">
        <v>978064</v>
      </c>
      <c r="E121" s="494">
        <v>33058</v>
      </c>
      <c r="F121" s="495">
        <v>4116</v>
      </c>
      <c r="G121" s="471"/>
    </row>
    <row r="122" spans="1:7" x14ac:dyDescent="0.25">
      <c r="A122" s="491">
        <v>42200</v>
      </c>
      <c r="B122" s="291" t="s">
        <v>693</v>
      </c>
      <c r="C122" s="541">
        <v>914.54499999999996</v>
      </c>
      <c r="D122" s="56">
        <v>914545</v>
      </c>
      <c r="E122" s="494">
        <v>33058</v>
      </c>
      <c r="F122" s="495">
        <v>4116</v>
      </c>
      <c r="G122" s="471"/>
    </row>
    <row r="123" spans="1:7" x14ac:dyDescent="0.25">
      <c r="A123" s="491">
        <v>42200</v>
      </c>
      <c r="B123" s="291" t="s">
        <v>695</v>
      </c>
      <c r="C123" s="541">
        <v>797.56700000000001</v>
      </c>
      <c r="D123" s="56">
        <v>797567</v>
      </c>
      <c r="E123" s="494">
        <v>33058</v>
      </c>
      <c r="F123" s="495">
        <v>4116</v>
      </c>
      <c r="G123" s="471"/>
    </row>
    <row r="124" spans="1:7" x14ac:dyDescent="0.25">
      <c r="A124" s="491">
        <v>42200</v>
      </c>
      <c r="B124" s="291" t="s">
        <v>694</v>
      </c>
      <c r="C124" s="541">
        <v>991.53399999999999</v>
      </c>
      <c r="D124" s="56">
        <v>991534</v>
      </c>
      <c r="E124" s="494">
        <v>33058</v>
      </c>
      <c r="F124" s="495">
        <v>4116</v>
      </c>
      <c r="G124" s="471"/>
    </row>
    <row r="125" spans="1:7" x14ac:dyDescent="0.25">
      <c r="A125" s="491">
        <v>42200</v>
      </c>
      <c r="B125" s="291" t="s">
        <v>696</v>
      </c>
      <c r="C125" s="541">
        <v>959.90899999999999</v>
      </c>
      <c r="D125" s="56">
        <v>959909</v>
      </c>
      <c r="E125" s="494">
        <v>33058</v>
      </c>
      <c r="F125" s="495">
        <v>4116</v>
      </c>
      <c r="G125" s="471"/>
    </row>
    <row r="126" spans="1:7" x14ac:dyDescent="0.25">
      <c r="A126" s="491">
        <v>42206</v>
      </c>
      <c r="B126" s="291" t="s">
        <v>697</v>
      </c>
      <c r="C126" s="541">
        <v>415.29</v>
      </c>
      <c r="D126" s="56">
        <v>415290</v>
      </c>
      <c r="E126" s="494">
        <v>33058</v>
      </c>
      <c r="F126" s="495">
        <v>4116</v>
      </c>
      <c r="G126" s="471"/>
    </row>
    <row r="127" spans="1:7" x14ac:dyDescent="0.25">
      <c r="A127" s="491">
        <v>42206</v>
      </c>
      <c r="B127" s="291" t="s">
        <v>698</v>
      </c>
      <c r="C127" s="541">
        <v>578.94200000000001</v>
      </c>
      <c r="D127" s="56">
        <v>578942</v>
      </c>
      <c r="E127" s="494">
        <v>33058</v>
      </c>
      <c r="F127" s="495">
        <v>4116</v>
      </c>
      <c r="G127" s="471"/>
    </row>
    <row r="128" spans="1:7" x14ac:dyDescent="0.25">
      <c r="A128" s="491">
        <v>42206</v>
      </c>
      <c r="B128" s="291" t="s">
        <v>699</v>
      </c>
      <c r="C128" s="541">
        <v>528.80200000000002</v>
      </c>
      <c r="D128" s="56">
        <v>528802</v>
      </c>
      <c r="E128" s="494">
        <v>33058</v>
      </c>
      <c r="F128" s="495">
        <v>4116</v>
      </c>
      <c r="G128" s="471"/>
    </row>
    <row r="129" spans="1:7" x14ac:dyDescent="0.25">
      <c r="A129" s="491">
        <v>42206</v>
      </c>
      <c r="B129" s="291" t="s">
        <v>700</v>
      </c>
      <c r="C129" s="541">
        <v>672.51599999999996</v>
      </c>
      <c r="D129" s="56">
        <v>672516</v>
      </c>
      <c r="E129" s="494">
        <v>33058</v>
      </c>
      <c r="F129" s="495">
        <v>4116</v>
      </c>
      <c r="G129" s="471"/>
    </row>
    <row r="130" spans="1:7" x14ac:dyDescent="0.25">
      <c r="A130" s="491">
        <v>42206</v>
      </c>
      <c r="B130" s="291" t="s">
        <v>701</v>
      </c>
      <c r="C130" s="541">
        <v>424.34399999999999</v>
      </c>
      <c r="D130" s="56">
        <v>424344</v>
      </c>
      <c r="E130" s="494">
        <v>33058</v>
      </c>
      <c r="F130" s="495">
        <v>4116</v>
      </c>
      <c r="G130" s="471"/>
    </row>
    <row r="131" spans="1:7" x14ac:dyDescent="0.25">
      <c r="A131" s="491">
        <v>42206</v>
      </c>
      <c r="B131" s="291" t="s">
        <v>702</v>
      </c>
      <c r="C131" s="535">
        <v>315.46100000000001</v>
      </c>
      <c r="D131" s="56">
        <v>315461</v>
      </c>
      <c r="E131" s="494">
        <v>33058</v>
      </c>
      <c r="F131" s="495">
        <v>4116</v>
      </c>
      <c r="G131" s="471"/>
    </row>
    <row r="132" spans="1:7" x14ac:dyDescent="0.25">
      <c r="A132" s="491">
        <v>42206</v>
      </c>
      <c r="B132" s="291" t="s">
        <v>703</v>
      </c>
      <c r="C132" s="535">
        <v>537.85599999999999</v>
      </c>
      <c r="D132" s="56">
        <v>537856</v>
      </c>
      <c r="E132" s="494">
        <v>33058</v>
      </c>
      <c r="F132" s="495">
        <v>4116</v>
      </c>
      <c r="G132" s="471"/>
    </row>
    <row r="133" spans="1:7" x14ac:dyDescent="0.25">
      <c r="A133" s="491">
        <v>42206</v>
      </c>
      <c r="B133" s="291" t="s">
        <v>704</v>
      </c>
      <c r="C133" s="535">
        <v>980.19799999999998</v>
      </c>
      <c r="D133" s="56">
        <v>980198</v>
      </c>
      <c r="E133" s="494">
        <v>33058</v>
      </c>
      <c r="F133" s="495">
        <v>4116</v>
      </c>
      <c r="G133" s="471"/>
    </row>
    <row r="134" spans="1:7" x14ac:dyDescent="0.25">
      <c r="A134" s="491">
        <v>42209</v>
      </c>
      <c r="B134" s="291" t="s">
        <v>705</v>
      </c>
      <c r="C134" s="535">
        <v>715.23800000000006</v>
      </c>
      <c r="D134" s="56">
        <v>715238</v>
      </c>
      <c r="E134" s="494">
        <v>33058</v>
      </c>
      <c r="F134" s="495">
        <v>4116</v>
      </c>
      <c r="G134" s="471"/>
    </row>
    <row r="135" spans="1:7" x14ac:dyDescent="0.25">
      <c r="A135" s="491">
        <v>42209</v>
      </c>
      <c r="B135" s="291" t="s">
        <v>706</v>
      </c>
      <c r="C135" s="535">
        <v>692.15</v>
      </c>
      <c r="D135" s="56">
        <v>692150</v>
      </c>
      <c r="E135" s="494">
        <v>33058</v>
      </c>
      <c r="F135" s="495">
        <v>4116</v>
      </c>
      <c r="G135" s="471"/>
    </row>
    <row r="136" spans="1:7" x14ac:dyDescent="0.25">
      <c r="A136" s="491">
        <v>42209</v>
      </c>
      <c r="B136" s="291" t="s">
        <v>707</v>
      </c>
      <c r="C136" s="535">
        <v>903.15300000000002</v>
      </c>
      <c r="D136" s="56">
        <v>903153</v>
      </c>
      <c r="E136" s="494">
        <v>33058</v>
      </c>
      <c r="F136" s="495">
        <v>4116</v>
      </c>
      <c r="G136" s="471"/>
    </row>
    <row r="137" spans="1:7" x14ac:dyDescent="0.25">
      <c r="A137" s="491">
        <v>42209</v>
      </c>
      <c r="B137" s="291" t="s">
        <v>708</v>
      </c>
      <c r="C137" s="535">
        <v>328.98700000000002</v>
      </c>
      <c r="D137" s="56">
        <v>328987</v>
      </c>
      <c r="E137" s="494">
        <v>33058</v>
      </c>
      <c r="F137" s="495">
        <v>4116</v>
      </c>
      <c r="G137" s="471"/>
    </row>
    <row r="138" spans="1:7" x14ac:dyDescent="0.25">
      <c r="A138" s="491">
        <v>42209</v>
      </c>
      <c r="B138" s="291" t="s">
        <v>709</v>
      </c>
      <c r="C138" s="535">
        <v>989.45600000000002</v>
      </c>
      <c r="D138" s="56">
        <v>989456</v>
      </c>
      <c r="E138" s="494">
        <v>33058</v>
      </c>
      <c r="F138" s="495">
        <v>4116</v>
      </c>
      <c r="G138" s="471"/>
    </row>
    <row r="139" spans="1:7" x14ac:dyDescent="0.25">
      <c r="A139" s="491">
        <v>42209</v>
      </c>
      <c r="B139" s="291" t="s">
        <v>710</v>
      </c>
      <c r="C139" s="535">
        <v>990.11099999999999</v>
      </c>
      <c r="D139" s="56">
        <v>990111</v>
      </c>
      <c r="E139" s="494">
        <v>33058</v>
      </c>
      <c r="F139" s="495">
        <v>4116</v>
      </c>
      <c r="G139" s="471"/>
    </row>
    <row r="140" spans="1:7" x14ac:dyDescent="0.25">
      <c r="A140" s="491">
        <v>42214</v>
      </c>
      <c r="B140" s="291" t="s">
        <v>711</v>
      </c>
      <c r="C140" s="535">
        <v>973.43499999999995</v>
      </c>
      <c r="D140" s="56">
        <f>827419.75+146015.25</f>
        <v>973435</v>
      </c>
      <c r="E140" s="494">
        <v>33058</v>
      </c>
      <c r="F140" s="495">
        <v>4116</v>
      </c>
      <c r="G140" s="471"/>
    </row>
    <row r="141" spans="1:7" x14ac:dyDescent="0.25">
      <c r="A141" s="491">
        <v>42214</v>
      </c>
      <c r="B141" s="291" t="s">
        <v>712</v>
      </c>
      <c r="C141" s="535">
        <v>600.303</v>
      </c>
      <c r="D141" s="56">
        <f>510257.55+90045.45</f>
        <v>600303</v>
      </c>
      <c r="E141" s="494">
        <v>33058</v>
      </c>
      <c r="F141" s="495">
        <v>4116</v>
      </c>
      <c r="G141" s="471"/>
    </row>
    <row r="142" spans="1:7" x14ac:dyDescent="0.25">
      <c r="A142" s="491">
        <v>42214</v>
      </c>
      <c r="B142" s="291" t="s">
        <v>337</v>
      </c>
      <c r="C142" s="535">
        <v>87.683000000000007</v>
      </c>
      <c r="D142" s="56">
        <v>87683</v>
      </c>
      <c r="E142" s="494">
        <v>33060</v>
      </c>
      <c r="F142" s="495">
        <v>4116</v>
      </c>
      <c r="G142" s="471"/>
    </row>
    <row r="143" spans="1:7" x14ac:dyDescent="0.25">
      <c r="A143" s="491">
        <v>42214</v>
      </c>
      <c r="B143" s="291" t="s">
        <v>338</v>
      </c>
      <c r="C143" s="535">
        <v>40</v>
      </c>
      <c r="D143" s="56">
        <v>40000</v>
      </c>
      <c r="E143" s="494">
        <v>33060</v>
      </c>
      <c r="F143" s="495">
        <v>4116</v>
      </c>
      <c r="G143" s="471"/>
    </row>
    <row r="144" spans="1:7" x14ac:dyDescent="0.25">
      <c r="A144" s="491">
        <v>42214</v>
      </c>
      <c r="B144" s="291" t="s">
        <v>339</v>
      </c>
      <c r="C144" s="535">
        <v>100.455</v>
      </c>
      <c r="D144" s="56">
        <v>100455</v>
      </c>
      <c r="E144" s="494">
        <v>33060</v>
      </c>
      <c r="F144" s="495">
        <v>4116</v>
      </c>
      <c r="G144" s="471"/>
    </row>
    <row r="145" spans="1:7" x14ac:dyDescent="0.25">
      <c r="A145" s="491">
        <v>42222</v>
      </c>
      <c r="B145" s="291" t="s">
        <v>713</v>
      </c>
      <c r="C145" s="535">
        <v>568.97299999999996</v>
      </c>
      <c r="D145" s="56">
        <v>568973</v>
      </c>
      <c r="E145" s="494">
        <v>33058</v>
      </c>
      <c r="F145" s="495">
        <v>4116</v>
      </c>
      <c r="G145" s="471"/>
    </row>
    <row r="146" spans="1:7" x14ac:dyDescent="0.25">
      <c r="A146" s="491">
        <v>42227</v>
      </c>
      <c r="B146" s="291" t="s">
        <v>714</v>
      </c>
      <c r="C146" s="535">
        <v>417.58100000000002</v>
      </c>
      <c r="D146" s="56">
        <v>417581</v>
      </c>
      <c r="E146" s="494">
        <v>33058</v>
      </c>
      <c r="F146" s="495">
        <v>4116</v>
      </c>
      <c r="G146" s="471"/>
    </row>
    <row r="147" spans="1:7" x14ac:dyDescent="0.25">
      <c r="A147" s="491">
        <v>42227</v>
      </c>
      <c r="B147" s="291" t="s">
        <v>715</v>
      </c>
      <c r="C147" s="535">
        <v>707.96699999999998</v>
      </c>
      <c r="D147" s="56">
        <v>707967</v>
      </c>
      <c r="E147" s="494">
        <v>33058</v>
      </c>
      <c r="F147" s="495">
        <v>4116</v>
      </c>
      <c r="G147" s="471"/>
    </row>
    <row r="148" spans="1:7" x14ac:dyDescent="0.25">
      <c r="A148" s="491">
        <v>42227</v>
      </c>
      <c r="B148" s="291" t="s">
        <v>716</v>
      </c>
      <c r="C148" s="535">
        <v>542.32799999999997</v>
      </c>
      <c r="D148" s="56">
        <v>542328</v>
      </c>
      <c r="E148" s="494">
        <v>33058</v>
      </c>
      <c r="F148" s="495">
        <v>4116</v>
      </c>
      <c r="G148" s="471"/>
    </row>
    <row r="149" spans="1:7" x14ac:dyDescent="0.25">
      <c r="A149" s="491">
        <v>42227</v>
      </c>
      <c r="B149" s="291" t="s">
        <v>717</v>
      </c>
      <c r="C149" s="535">
        <v>605.84699999999998</v>
      </c>
      <c r="D149" s="56">
        <v>605847</v>
      </c>
      <c r="E149" s="494">
        <v>33058</v>
      </c>
      <c r="F149" s="495">
        <v>4116</v>
      </c>
      <c r="G149" s="471"/>
    </row>
    <row r="150" spans="1:7" x14ac:dyDescent="0.25">
      <c r="A150" s="491">
        <v>42227</v>
      </c>
      <c r="B150" s="291" t="s">
        <v>718</v>
      </c>
      <c r="C150" s="535">
        <v>914.54499999999996</v>
      </c>
      <c r="D150" s="56">
        <v>914545</v>
      </c>
      <c r="E150" s="494">
        <v>33058</v>
      </c>
      <c r="F150" s="495">
        <v>4116</v>
      </c>
      <c r="G150" s="471"/>
    </row>
    <row r="151" spans="1:7" x14ac:dyDescent="0.25">
      <c r="A151" s="491">
        <v>42229</v>
      </c>
      <c r="B151" s="291" t="s">
        <v>719</v>
      </c>
      <c r="C151" s="535">
        <v>614.12400000000002</v>
      </c>
      <c r="D151" s="56">
        <v>614124</v>
      </c>
      <c r="E151" s="494">
        <v>33058</v>
      </c>
      <c r="F151" s="495">
        <v>4116</v>
      </c>
      <c r="G151" s="471"/>
    </row>
    <row r="152" spans="1:7" x14ac:dyDescent="0.25">
      <c r="A152" s="491">
        <v>42229</v>
      </c>
      <c r="B152" s="291" t="s">
        <v>720</v>
      </c>
      <c r="C152" s="535">
        <v>492.49200000000002</v>
      </c>
      <c r="D152" s="56">
        <v>492492</v>
      </c>
      <c r="E152" s="494">
        <v>33058</v>
      </c>
      <c r="F152" s="495">
        <v>4116</v>
      </c>
      <c r="G152" s="471"/>
    </row>
    <row r="153" spans="1:7" x14ac:dyDescent="0.25">
      <c r="A153" s="491">
        <v>42233</v>
      </c>
      <c r="B153" s="291" t="s">
        <v>721</v>
      </c>
      <c r="C153" s="535">
        <v>378.98</v>
      </c>
      <c r="D153" s="56">
        <v>378980</v>
      </c>
      <c r="E153" s="494">
        <v>33058</v>
      </c>
      <c r="F153" s="495">
        <v>4116</v>
      </c>
      <c r="G153" s="471"/>
    </row>
    <row r="154" spans="1:7" x14ac:dyDescent="0.25">
      <c r="A154" s="491">
        <v>42233</v>
      </c>
      <c r="B154" s="291" t="s">
        <v>722</v>
      </c>
      <c r="C154" s="535">
        <v>785.52</v>
      </c>
      <c r="D154" s="56">
        <v>785520</v>
      </c>
      <c r="E154" s="494">
        <v>33058</v>
      </c>
      <c r="F154" s="495">
        <v>4116</v>
      </c>
      <c r="G154" s="471"/>
    </row>
    <row r="155" spans="1:7" x14ac:dyDescent="0.25">
      <c r="A155" s="491">
        <v>42233</v>
      </c>
      <c r="B155" s="291" t="s">
        <v>723</v>
      </c>
      <c r="C155" s="535">
        <v>447.12799999999999</v>
      </c>
      <c r="D155" s="56">
        <v>447128</v>
      </c>
      <c r="E155" s="494">
        <v>33058</v>
      </c>
      <c r="F155" s="495">
        <v>4116</v>
      </c>
      <c r="G155" s="471"/>
    </row>
    <row r="156" spans="1:7" x14ac:dyDescent="0.25">
      <c r="A156" s="491">
        <v>42233</v>
      </c>
      <c r="B156" s="291" t="s">
        <v>724</v>
      </c>
      <c r="C156" s="535">
        <v>692.15</v>
      </c>
      <c r="D156" s="56">
        <v>692150</v>
      </c>
      <c r="E156" s="494">
        <v>33058</v>
      </c>
      <c r="F156" s="495">
        <v>4116</v>
      </c>
      <c r="G156" s="471"/>
    </row>
    <row r="157" spans="1:7" x14ac:dyDescent="0.25">
      <c r="A157" s="491">
        <v>42236</v>
      </c>
      <c r="B157" s="291" t="s">
        <v>725</v>
      </c>
      <c r="C157" s="535">
        <v>479.97199999999998</v>
      </c>
      <c r="D157" s="56">
        <v>479972</v>
      </c>
      <c r="E157" s="494">
        <v>33058</v>
      </c>
      <c r="F157" s="495">
        <v>4116</v>
      </c>
      <c r="G157" s="471"/>
    </row>
    <row r="158" spans="1:7" x14ac:dyDescent="0.25">
      <c r="A158" s="491">
        <v>42236</v>
      </c>
      <c r="B158" s="291" t="s">
        <v>726</v>
      </c>
      <c r="C158" s="535">
        <v>964.17700000000002</v>
      </c>
      <c r="D158" s="56">
        <v>964177</v>
      </c>
      <c r="E158" s="494">
        <v>33058</v>
      </c>
      <c r="F158" s="495">
        <v>4116</v>
      </c>
      <c r="G158" s="471"/>
    </row>
    <row r="159" spans="1:7" x14ac:dyDescent="0.25">
      <c r="A159" s="491">
        <v>42236</v>
      </c>
      <c r="B159" s="291" t="s">
        <v>727</v>
      </c>
      <c r="C159" s="535">
        <v>736.59900000000005</v>
      </c>
      <c r="D159" s="56">
        <v>736599</v>
      </c>
      <c r="E159" s="494">
        <v>33058</v>
      </c>
      <c r="F159" s="495">
        <v>4116</v>
      </c>
      <c r="G159" s="471"/>
    </row>
    <row r="160" spans="1:7" x14ac:dyDescent="0.25">
      <c r="A160" s="491">
        <v>42236</v>
      </c>
      <c r="B160" s="291" t="s">
        <v>728</v>
      </c>
      <c r="C160" s="535">
        <v>501.89699999999999</v>
      </c>
      <c r="D160" s="56">
        <v>501897</v>
      </c>
      <c r="E160" s="494">
        <v>33058</v>
      </c>
      <c r="F160" s="495">
        <v>4116</v>
      </c>
      <c r="G160" s="471"/>
    </row>
    <row r="161" spans="1:7" x14ac:dyDescent="0.25">
      <c r="A161" s="491">
        <v>42240</v>
      </c>
      <c r="B161" s="291" t="s">
        <v>729</v>
      </c>
      <c r="C161" s="535">
        <v>390.37200000000001</v>
      </c>
      <c r="D161" s="56">
        <v>390372</v>
      </c>
      <c r="E161" s="494">
        <v>33058</v>
      </c>
      <c r="F161" s="495">
        <v>4116</v>
      </c>
      <c r="G161" s="471"/>
    </row>
    <row r="162" spans="1:7" x14ac:dyDescent="0.25">
      <c r="A162" s="491">
        <v>42240</v>
      </c>
      <c r="B162" s="291" t="s">
        <v>730</v>
      </c>
      <c r="C162" s="535">
        <v>227.024</v>
      </c>
      <c r="D162" s="56">
        <v>227024</v>
      </c>
      <c r="E162" s="494">
        <v>33058</v>
      </c>
      <c r="F162" s="495">
        <v>4116</v>
      </c>
      <c r="G162" s="471"/>
    </row>
    <row r="163" spans="1:7" x14ac:dyDescent="0.25">
      <c r="A163" s="491">
        <v>42240</v>
      </c>
      <c r="B163" s="291" t="s">
        <v>731</v>
      </c>
      <c r="C163" s="535">
        <v>649.077</v>
      </c>
      <c r="D163" s="56">
        <v>649077</v>
      </c>
      <c r="E163" s="494">
        <v>33058</v>
      </c>
      <c r="F163" s="495">
        <v>4116</v>
      </c>
      <c r="G163" s="471"/>
    </row>
    <row r="164" spans="1:7" x14ac:dyDescent="0.25">
      <c r="A164" s="491">
        <v>42240</v>
      </c>
      <c r="B164" s="291" t="s">
        <v>732</v>
      </c>
      <c r="C164" s="535">
        <v>982.69299999999998</v>
      </c>
      <c r="D164" s="56">
        <v>982693</v>
      </c>
      <c r="E164" s="494">
        <v>33058</v>
      </c>
      <c r="F164" s="495">
        <v>4116</v>
      </c>
      <c r="G164" s="471"/>
    </row>
    <row r="165" spans="1:7" x14ac:dyDescent="0.25">
      <c r="A165" s="491">
        <v>42240</v>
      </c>
      <c r="B165" s="291" t="s">
        <v>733</v>
      </c>
      <c r="C165" s="535">
        <v>481.1</v>
      </c>
      <c r="D165" s="56">
        <v>481100</v>
      </c>
      <c r="E165" s="494">
        <v>33058</v>
      </c>
      <c r="F165" s="495">
        <v>4116</v>
      </c>
      <c r="G165" s="471"/>
    </row>
    <row r="166" spans="1:7" x14ac:dyDescent="0.25">
      <c r="A166" s="491">
        <v>42240</v>
      </c>
      <c r="B166" s="291" t="s">
        <v>734</v>
      </c>
      <c r="C166" s="535">
        <v>979.07</v>
      </c>
      <c r="D166" s="56">
        <v>979070</v>
      </c>
      <c r="E166" s="494">
        <v>33058</v>
      </c>
      <c r="F166" s="495">
        <v>4116</v>
      </c>
      <c r="G166" s="471"/>
    </row>
    <row r="167" spans="1:7" x14ac:dyDescent="0.25">
      <c r="A167" s="491">
        <v>42240</v>
      </c>
      <c r="B167" s="291" t="s">
        <v>735</v>
      </c>
      <c r="C167" s="535">
        <v>354.06200000000001</v>
      </c>
      <c r="D167" s="56">
        <v>354062</v>
      </c>
      <c r="E167" s="494">
        <v>33058</v>
      </c>
      <c r="F167" s="495">
        <v>4116</v>
      </c>
      <c r="G167" s="471"/>
    </row>
    <row r="168" spans="1:7" x14ac:dyDescent="0.25">
      <c r="A168" s="491">
        <v>42240</v>
      </c>
      <c r="B168" s="291" t="s">
        <v>736</v>
      </c>
      <c r="C168" s="535">
        <v>227.024</v>
      </c>
      <c r="D168" s="56">
        <v>227024</v>
      </c>
      <c r="E168" s="494">
        <v>33058</v>
      </c>
      <c r="F168" s="495">
        <v>4116</v>
      </c>
      <c r="G168" s="471"/>
    </row>
    <row r="169" spans="1:7" x14ac:dyDescent="0.25">
      <c r="A169" s="491">
        <v>42240</v>
      </c>
      <c r="B169" s="291" t="s">
        <v>737</v>
      </c>
      <c r="C169" s="535">
        <v>998.44399999999996</v>
      </c>
      <c r="D169" s="56">
        <v>998444</v>
      </c>
      <c r="E169" s="494">
        <v>33058</v>
      </c>
      <c r="F169" s="495">
        <v>4116</v>
      </c>
      <c r="G169" s="471"/>
    </row>
    <row r="170" spans="1:7" x14ac:dyDescent="0.25">
      <c r="A170" s="491">
        <v>42240</v>
      </c>
      <c r="B170" s="291" t="s">
        <v>738</v>
      </c>
      <c r="C170" s="535">
        <v>265.46800000000002</v>
      </c>
      <c r="D170" s="56">
        <v>265468</v>
      </c>
      <c r="E170" s="494">
        <v>33058</v>
      </c>
      <c r="F170" s="495">
        <v>4116</v>
      </c>
      <c r="G170" s="471"/>
    </row>
    <row r="171" spans="1:7" x14ac:dyDescent="0.25">
      <c r="A171" s="491">
        <v>42242</v>
      </c>
      <c r="B171" s="291" t="s">
        <v>148</v>
      </c>
      <c r="C171" s="535">
        <v>2092.5357399999998</v>
      </c>
      <c r="D171" s="56">
        <v>2092535.74</v>
      </c>
      <c r="E171" s="494">
        <v>33019</v>
      </c>
      <c r="F171" s="495">
        <v>4116</v>
      </c>
      <c r="G171" s="471"/>
    </row>
    <row r="172" spans="1:7" x14ac:dyDescent="0.25">
      <c r="A172" s="491">
        <v>42299</v>
      </c>
      <c r="B172" s="291" t="s">
        <v>736</v>
      </c>
      <c r="C172" s="535">
        <f>+D172/1000</f>
        <v>204.11199999999999</v>
      </c>
      <c r="D172" s="56">
        <v>204112</v>
      </c>
      <c r="E172" s="494">
        <v>33058</v>
      </c>
      <c r="F172" s="495">
        <v>4116</v>
      </c>
      <c r="G172" s="471"/>
    </row>
    <row r="173" spans="1:7" x14ac:dyDescent="0.25">
      <c r="A173" s="491">
        <v>42299</v>
      </c>
      <c r="B173" s="291" t="s">
        <v>739</v>
      </c>
      <c r="C173" s="535">
        <f t="shared" ref="C173:C205" si="0">+D173/1000</f>
        <v>570.93200000000002</v>
      </c>
      <c r="D173" s="56">
        <v>570932</v>
      </c>
      <c r="E173" s="494">
        <v>33058</v>
      </c>
      <c r="F173" s="495">
        <v>4116</v>
      </c>
      <c r="G173" s="471"/>
    </row>
    <row r="174" spans="1:7" x14ac:dyDescent="0.25">
      <c r="A174" s="491">
        <v>42299</v>
      </c>
      <c r="B174" s="291" t="s">
        <v>740</v>
      </c>
      <c r="C174" s="535">
        <f t="shared" si="0"/>
        <v>204.11199999999999</v>
      </c>
      <c r="D174" s="56">
        <v>204112</v>
      </c>
      <c r="E174" s="494">
        <v>33058</v>
      </c>
      <c r="F174" s="495">
        <v>4116</v>
      </c>
      <c r="G174" s="471"/>
    </row>
    <row r="175" spans="1:7" x14ac:dyDescent="0.25">
      <c r="A175" s="491">
        <v>42299</v>
      </c>
      <c r="B175" s="291" t="s">
        <v>711</v>
      </c>
      <c r="C175" s="535">
        <f t="shared" si="0"/>
        <v>204.11199999999999</v>
      </c>
      <c r="D175" s="56">
        <v>204112</v>
      </c>
      <c r="E175" s="494">
        <v>33058</v>
      </c>
      <c r="F175" s="495">
        <v>4116</v>
      </c>
      <c r="G175" s="471"/>
    </row>
    <row r="176" spans="1:7" x14ac:dyDescent="0.25">
      <c r="A176" s="491">
        <v>42299</v>
      </c>
      <c r="B176" s="291" t="s">
        <v>741</v>
      </c>
      <c r="C176" s="535">
        <f t="shared" si="0"/>
        <v>529.08699999999999</v>
      </c>
      <c r="D176" s="56">
        <v>529087</v>
      </c>
      <c r="E176" s="494">
        <v>33058</v>
      </c>
      <c r="F176" s="495">
        <v>4116</v>
      </c>
      <c r="G176" s="471"/>
    </row>
    <row r="177" spans="1:7" x14ac:dyDescent="0.25">
      <c r="A177" s="491">
        <v>42299</v>
      </c>
      <c r="B177" s="291" t="s">
        <v>714</v>
      </c>
      <c r="C177" s="535">
        <f t="shared" si="0"/>
        <v>225.61600000000001</v>
      </c>
      <c r="D177" s="56">
        <v>225616</v>
      </c>
      <c r="E177" s="494">
        <v>33058</v>
      </c>
      <c r="F177" s="495">
        <v>4116</v>
      </c>
      <c r="G177" s="471"/>
    </row>
    <row r="178" spans="1:7" x14ac:dyDescent="0.25">
      <c r="A178" s="491">
        <v>42299</v>
      </c>
      <c r="B178" s="291" t="s">
        <v>742</v>
      </c>
      <c r="C178" s="535">
        <f t="shared" si="0"/>
        <v>204.11199999999999</v>
      </c>
      <c r="D178" s="56">
        <v>204112</v>
      </c>
      <c r="E178" s="494">
        <v>33058</v>
      </c>
      <c r="F178" s="495">
        <v>4116</v>
      </c>
      <c r="G178" s="471"/>
    </row>
    <row r="179" spans="1:7" x14ac:dyDescent="0.25">
      <c r="A179" s="491">
        <v>42299</v>
      </c>
      <c r="B179" s="291" t="s">
        <v>695</v>
      </c>
      <c r="C179" s="535">
        <f t="shared" si="0"/>
        <v>616.33799999999997</v>
      </c>
      <c r="D179" s="56">
        <v>616338</v>
      </c>
      <c r="E179" s="494">
        <v>33058</v>
      </c>
      <c r="F179" s="495">
        <v>4116</v>
      </c>
      <c r="G179" s="471"/>
    </row>
    <row r="180" spans="1:7" x14ac:dyDescent="0.25">
      <c r="A180" s="491">
        <v>42299</v>
      </c>
      <c r="B180" s="291" t="s">
        <v>743</v>
      </c>
      <c r="C180" s="535">
        <f t="shared" si="0"/>
        <v>220.85</v>
      </c>
      <c r="D180" s="56">
        <v>220850</v>
      </c>
      <c r="E180" s="494">
        <v>33058</v>
      </c>
      <c r="F180" s="495">
        <v>4116</v>
      </c>
      <c r="G180" s="471"/>
    </row>
    <row r="181" spans="1:7" x14ac:dyDescent="0.25">
      <c r="A181" s="491">
        <v>42299</v>
      </c>
      <c r="B181" s="291" t="s">
        <v>744</v>
      </c>
      <c r="C181" s="535">
        <f t="shared" si="0"/>
        <v>229.21899999999999</v>
      </c>
      <c r="D181" s="56">
        <v>229219</v>
      </c>
      <c r="E181" s="494">
        <v>33058</v>
      </c>
      <c r="F181" s="495">
        <v>4116</v>
      </c>
      <c r="G181" s="471"/>
    </row>
    <row r="182" spans="1:7" x14ac:dyDescent="0.25">
      <c r="A182" s="491">
        <v>42299</v>
      </c>
      <c r="B182" s="291" t="s">
        <v>707</v>
      </c>
      <c r="C182" s="535">
        <f t="shared" si="0"/>
        <v>204.11199999999999</v>
      </c>
      <c r="D182" s="56">
        <v>204112</v>
      </c>
      <c r="E182" s="494">
        <v>33058</v>
      </c>
      <c r="F182" s="495">
        <v>4116</v>
      </c>
      <c r="G182" s="471"/>
    </row>
    <row r="183" spans="1:7" x14ac:dyDescent="0.25">
      <c r="A183" s="491">
        <v>42300</v>
      </c>
      <c r="B183" s="291" t="s">
        <v>724</v>
      </c>
      <c r="C183" s="535">
        <f t="shared" si="0"/>
        <v>229.21899999999999</v>
      </c>
      <c r="D183" s="56">
        <v>229219</v>
      </c>
      <c r="E183" s="494">
        <v>33058</v>
      </c>
      <c r="F183" s="495">
        <v>4116</v>
      </c>
      <c r="G183" s="471"/>
    </row>
    <row r="184" spans="1:7" x14ac:dyDescent="0.25">
      <c r="A184" s="491">
        <v>42300</v>
      </c>
      <c r="B184" s="291" t="s">
        <v>745</v>
      </c>
      <c r="C184" s="535">
        <f t="shared" si="0"/>
        <v>392.95600000000002</v>
      </c>
      <c r="D184" s="56">
        <v>392956</v>
      </c>
      <c r="E184" s="494">
        <v>33058</v>
      </c>
      <c r="F184" s="495">
        <v>4116</v>
      </c>
      <c r="G184" s="471"/>
    </row>
    <row r="185" spans="1:7" x14ac:dyDescent="0.25">
      <c r="A185" s="491">
        <v>42300</v>
      </c>
      <c r="B185" s="291" t="s">
        <v>720</v>
      </c>
      <c r="C185" s="535">
        <f t="shared" si="0"/>
        <v>220.85</v>
      </c>
      <c r="D185" s="56">
        <v>220850</v>
      </c>
      <c r="E185" s="494">
        <v>33058</v>
      </c>
      <c r="F185" s="495">
        <v>4116</v>
      </c>
      <c r="G185" s="471"/>
    </row>
    <row r="186" spans="1:7" x14ac:dyDescent="0.25">
      <c r="A186" s="491">
        <v>42300</v>
      </c>
      <c r="B186" s="291" t="s">
        <v>746</v>
      </c>
      <c r="C186" s="535">
        <f t="shared" si="0"/>
        <v>353.69200000000001</v>
      </c>
      <c r="D186" s="56">
        <v>353692</v>
      </c>
      <c r="E186" s="494">
        <v>33058</v>
      </c>
      <c r="F186" s="495">
        <v>4116</v>
      </c>
      <c r="G186" s="471"/>
    </row>
    <row r="187" spans="1:7" x14ac:dyDescent="0.25">
      <c r="A187" s="491">
        <v>42300</v>
      </c>
      <c r="B187" s="291" t="s">
        <v>738</v>
      </c>
      <c r="C187" s="535">
        <f t="shared" si="0"/>
        <v>112.80800000000001</v>
      </c>
      <c r="D187" s="56">
        <v>112808</v>
      </c>
      <c r="E187" s="494">
        <v>33058</v>
      </c>
      <c r="F187" s="495">
        <v>4116</v>
      </c>
      <c r="G187" s="471"/>
    </row>
    <row r="188" spans="1:7" x14ac:dyDescent="0.25">
      <c r="A188" s="491">
        <v>42300</v>
      </c>
      <c r="B188" s="291" t="s">
        <v>717</v>
      </c>
      <c r="C188" s="535">
        <f t="shared" si="0"/>
        <v>220.85</v>
      </c>
      <c r="D188" s="56">
        <v>220850</v>
      </c>
      <c r="E188" s="494">
        <v>33058</v>
      </c>
      <c r="F188" s="495">
        <v>4116</v>
      </c>
      <c r="G188" s="471"/>
    </row>
    <row r="189" spans="1:7" x14ac:dyDescent="0.25">
      <c r="A189" s="491">
        <v>42310</v>
      </c>
      <c r="B189" s="291" t="s">
        <v>747</v>
      </c>
      <c r="C189" s="535">
        <f t="shared" si="0"/>
        <v>299.16000000000003</v>
      </c>
      <c r="D189" s="56">
        <f>254286+44874</f>
        <v>299160</v>
      </c>
      <c r="E189" s="494">
        <v>33058</v>
      </c>
      <c r="F189" s="495">
        <v>4116</v>
      </c>
      <c r="G189" s="471"/>
    </row>
    <row r="190" spans="1:7" x14ac:dyDescent="0.25">
      <c r="A190" s="491">
        <v>42310</v>
      </c>
      <c r="B190" s="291" t="s">
        <v>748</v>
      </c>
      <c r="C190" s="535">
        <f t="shared" si="0"/>
        <v>220.85</v>
      </c>
      <c r="D190" s="56">
        <f>187722.5+33127.5</f>
        <v>220850</v>
      </c>
      <c r="E190" s="494">
        <v>33058</v>
      </c>
      <c r="F190" s="495">
        <v>4116</v>
      </c>
      <c r="G190" s="471"/>
    </row>
    <row r="191" spans="1:7" x14ac:dyDescent="0.25">
      <c r="A191" s="491">
        <v>42310</v>
      </c>
      <c r="B191" s="291" t="s">
        <v>749</v>
      </c>
      <c r="C191" s="535">
        <f t="shared" si="0"/>
        <v>212.48099999999999</v>
      </c>
      <c r="D191" s="56">
        <f>180608.85+31872.15</f>
        <v>212481</v>
      </c>
      <c r="E191" s="494">
        <v>33058</v>
      </c>
      <c r="F191" s="495">
        <v>4116</v>
      </c>
      <c r="G191" s="471"/>
    </row>
    <row r="192" spans="1:7" x14ac:dyDescent="0.25">
      <c r="A192" s="491">
        <v>42310</v>
      </c>
      <c r="B192" s="291" t="s">
        <v>750</v>
      </c>
      <c r="C192" s="535">
        <f t="shared" si="0"/>
        <v>220.85</v>
      </c>
      <c r="D192" s="56">
        <f>187722.5+33127.5</f>
        <v>220850</v>
      </c>
      <c r="E192" s="494">
        <v>33058</v>
      </c>
      <c r="F192" s="495">
        <v>4116</v>
      </c>
      <c r="G192" s="471"/>
    </row>
    <row r="193" spans="1:7" x14ac:dyDescent="0.25">
      <c r="A193" s="491">
        <v>42310</v>
      </c>
      <c r="B193" s="291" t="s">
        <v>753</v>
      </c>
      <c r="C193" s="535">
        <f t="shared" si="0"/>
        <v>220.85</v>
      </c>
      <c r="D193" s="56">
        <f>187722.5+33127.5</f>
        <v>220850</v>
      </c>
      <c r="E193" s="494">
        <v>33058</v>
      </c>
      <c r="F193" s="495">
        <v>4116</v>
      </c>
      <c r="G193" s="471"/>
    </row>
    <row r="194" spans="1:7" x14ac:dyDescent="0.25">
      <c r="A194" s="491">
        <v>42310</v>
      </c>
      <c r="B194" s="291" t="s">
        <v>735</v>
      </c>
      <c r="C194" s="535">
        <f t="shared" si="0"/>
        <v>225.56899999999999</v>
      </c>
      <c r="D194" s="56">
        <f>191733.65+33835.35</f>
        <v>225569</v>
      </c>
      <c r="E194" s="494">
        <v>33058</v>
      </c>
      <c r="F194" s="495">
        <v>4116</v>
      </c>
      <c r="G194" s="471"/>
    </row>
    <row r="195" spans="1:7" x14ac:dyDescent="0.25">
      <c r="A195" s="491">
        <v>42310</v>
      </c>
      <c r="B195" s="291" t="s">
        <v>703</v>
      </c>
      <c r="C195" s="535">
        <f t="shared" si="0"/>
        <v>204.11199999999999</v>
      </c>
      <c r="D195" s="56">
        <f>173495.2+30616.8</f>
        <v>204112</v>
      </c>
      <c r="E195" s="494">
        <v>33058</v>
      </c>
      <c r="F195" s="495">
        <v>4116</v>
      </c>
      <c r="G195" s="471"/>
    </row>
    <row r="196" spans="1:7" x14ac:dyDescent="0.25">
      <c r="A196" s="491">
        <v>42310</v>
      </c>
      <c r="B196" s="291" t="s">
        <v>722</v>
      </c>
      <c r="C196" s="535">
        <f t="shared" si="0"/>
        <v>204.11199999999999</v>
      </c>
      <c r="D196" s="56">
        <f>173495.2+30616.8</f>
        <v>204112</v>
      </c>
      <c r="E196" s="494">
        <v>33058</v>
      </c>
      <c r="F196" s="495">
        <v>4116</v>
      </c>
      <c r="G196" s="471"/>
    </row>
    <row r="197" spans="1:7" x14ac:dyDescent="0.25">
      <c r="A197" s="491">
        <v>42310</v>
      </c>
      <c r="B197" s="291" t="s">
        <v>754</v>
      </c>
      <c r="C197" s="535">
        <f t="shared" si="0"/>
        <v>212.48099999999999</v>
      </c>
      <c r="D197" s="56">
        <f>180608.85+31872.15</f>
        <v>212481</v>
      </c>
      <c r="E197" s="494">
        <v>33058</v>
      </c>
      <c r="F197" s="495">
        <v>4116</v>
      </c>
      <c r="G197" s="471"/>
    </row>
    <row r="198" spans="1:7" x14ac:dyDescent="0.25">
      <c r="A198" s="491">
        <v>42310</v>
      </c>
      <c r="B198" s="291" t="s">
        <v>755</v>
      </c>
      <c r="C198" s="535">
        <f t="shared" si="0"/>
        <v>338.01600000000002</v>
      </c>
      <c r="D198" s="56">
        <f>287313.6+50702.4</f>
        <v>338016</v>
      </c>
      <c r="E198" s="494">
        <v>33058</v>
      </c>
      <c r="F198" s="495">
        <v>4116</v>
      </c>
      <c r="G198" s="471"/>
    </row>
    <row r="199" spans="1:7" x14ac:dyDescent="0.25">
      <c r="A199" s="491">
        <v>42310</v>
      </c>
      <c r="B199" s="291" t="s">
        <v>756</v>
      </c>
      <c r="C199" s="535">
        <f t="shared" si="0"/>
        <v>204.11199999999999</v>
      </c>
      <c r="D199" s="56">
        <f>173495.2+30616.8</f>
        <v>204112</v>
      </c>
      <c r="E199" s="494">
        <v>33058</v>
      </c>
      <c r="F199" s="495">
        <v>4116</v>
      </c>
      <c r="G199" s="471"/>
    </row>
    <row r="200" spans="1:7" x14ac:dyDescent="0.25">
      <c r="A200" s="491">
        <v>42310</v>
      </c>
      <c r="B200" s="291" t="s">
        <v>757</v>
      </c>
      <c r="C200" s="535">
        <f t="shared" si="0"/>
        <v>204.11199999999999</v>
      </c>
      <c r="D200" s="56">
        <f>173495.2+30616.8</f>
        <v>204112</v>
      </c>
      <c r="E200" s="494">
        <v>33058</v>
      </c>
      <c r="F200" s="495">
        <v>4116</v>
      </c>
      <c r="G200" s="471"/>
    </row>
    <row r="201" spans="1:7" x14ac:dyDescent="0.25">
      <c r="A201" s="491">
        <v>42310</v>
      </c>
      <c r="B201" s="291" t="s">
        <v>758</v>
      </c>
      <c r="C201" s="535">
        <f t="shared" si="0"/>
        <v>212.48099999999999</v>
      </c>
      <c r="D201" s="56">
        <f>180608.85+31872.15</f>
        <v>212481</v>
      </c>
      <c r="E201" s="494">
        <v>33058</v>
      </c>
      <c r="F201" s="495">
        <v>4116</v>
      </c>
      <c r="G201" s="471"/>
    </row>
    <row r="202" spans="1:7" x14ac:dyDescent="0.25">
      <c r="A202" s="491">
        <v>42310</v>
      </c>
      <c r="B202" s="291" t="s">
        <v>725</v>
      </c>
      <c r="C202" s="535">
        <f t="shared" si="0"/>
        <v>212.48099999999999</v>
      </c>
      <c r="D202" s="56">
        <f>180608.85+31872.15</f>
        <v>212481</v>
      </c>
      <c r="E202" s="494">
        <v>33058</v>
      </c>
      <c r="F202" s="495">
        <v>4116</v>
      </c>
      <c r="G202" s="471"/>
    </row>
    <row r="203" spans="1:7" x14ac:dyDescent="0.25">
      <c r="A203" s="491">
        <v>42310</v>
      </c>
      <c r="B203" s="291" t="s">
        <v>699</v>
      </c>
      <c r="C203" s="535">
        <f t="shared" si="0"/>
        <v>477.40800000000002</v>
      </c>
      <c r="D203" s="56">
        <f>405796.8+71611.2</f>
        <v>477408</v>
      </c>
      <c r="E203" s="494">
        <v>33058</v>
      </c>
      <c r="F203" s="495">
        <v>4116</v>
      </c>
      <c r="G203" s="471"/>
    </row>
    <row r="204" spans="1:7" x14ac:dyDescent="0.25">
      <c r="A204" s="491">
        <v>42312</v>
      </c>
      <c r="B204" s="291" t="s">
        <v>759</v>
      </c>
      <c r="C204" s="535">
        <f t="shared" si="0"/>
        <v>237.58799999999999</v>
      </c>
      <c r="D204" s="56">
        <f>201949.8+35638.2</f>
        <v>237588</v>
      </c>
      <c r="E204" s="494">
        <v>33058</v>
      </c>
      <c r="F204" s="495">
        <v>4116</v>
      </c>
      <c r="G204" s="471"/>
    </row>
    <row r="205" spans="1:7" x14ac:dyDescent="0.25">
      <c r="A205" s="491">
        <v>42312</v>
      </c>
      <c r="B205" s="291" t="s">
        <v>760</v>
      </c>
      <c r="C205" s="535">
        <f t="shared" si="0"/>
        <v>333.65800000000002</v>
      </c>
      <c r="D205" s="56">
        <f>283609.3+50048.7</f>
        <v>333658</v>
      </c>
      <c r="E205" s="494">
        <v>33058</v>
      </c>
      <c r="F205" s="495">
        <v>4116</v>
      </c>
      <c r="G205" s="471"/>
    </row>
    <row r="206" spans="1:7" x14ac:dyDescent="0.25">
      <c r="A206" s="491">
        <v>42326</v>
      </c>
      <c r="B206" s="291" t="s">
        <v>605</v>
      </c>
      <c r="C206" s="535">
        <v>-496.64810999999997</v>
      </c>
      <c r="D206" s="56">
        <v>-496648.11</v>
      </c>
      <c r="E206" s="494">
        <v>33019</v>
      </c>
      <c r="F206" s="495">
        <v>4116</v>
      </c>
      <c r="G206" s="471"/>
    </row>
    <row r="207" spans="1:7" x14ac:dyDescent="0.25">
      <c r="A207" s="491">
        <v>42327</v>
      </c>
      <c r="B207" s="499" t="s">
        <v>606</v>
      </c>
      <c r="C207" s="535">
        <v>-167.35856999999999</v>
      </c>
      <c r="D207" s="56">
        <v>-167358.57</v>
      </c>
      <c r="E207" s="494">
        <v>33019</v>
      </c>
      <c r="F207" s="495">
        <v>4116</v>
      </c>
      <c r="G207" s="471"/>
    </row>
    <row r="208" spans="1:7" x14ac:dyDescent="0.25">
      <c r="A208" s="491">
        <v>42338</v>
      </c>
      <c r="B208" s="291" t="s">
        <v>597</v>
      </c>
      <c r="C208" s="535">
        <v>-629.31254999999999</v>
      </c>
      <c r="D208" s="56">
        <v>-629312.55000000005</v>
      </c>
      <c r="E208" s="494">
        <v>33019</v>
      </c>
      <c r="F208" s="495">
        <v>4116</v>
      </c>
      <c r="G208" s="471"/>
    </row>
    <row r="209" spans="1:7" x14ac:dyDescent="0.25">
      <c r="A209" s="491"/>
      <c r="B209" s="291"/>
      <c r="C209" s="535"/>
      <c r="D209" s="56"/>
      <c r="E209" s="494"/>
      <c r="F209" s="495"/>
      <c r="G209" s="471"/>
    </row>
    <row r="210" spans="1:7" x14ac:dyDescent="0.25">
      <c r="A210" s="491"/>
      <c r="B210" s="492" t="s">
        <v>35</v>
      </c>
      <c r="C210" s="506">
        <f>+SUM(C211:C218)</f>
        <v>3499.8644400000003</v>
      </c>
      <c r="D210" s="506">
        <f>+SUM(D211:D218)</f>
        <v>3499864.44</v>
      </c>
      <c r="E210" s="494"/>
      <c r="F210" s="495"/>
      <c r="G210" s="471"/>
    </row>
    <row r="211" spans="1:7" x14ac:dyDescent="0.25">
      <c r="A211" s="491">
        <v>42040</v>
      </c>
      <c r="B211" s="499" t="s">
        <v>60</v>
      </c>
      <c r="C211" s="541">
        <v>2686.6678700000002</v>
      </c>
      <c r="D211" s="541">
        <v>2686667.87</v>
      </c>
      <c r="E211" s="494">
        <v>17003</v>
      </c>
      <c r="F211" s="495" t="s">
        <v>18</v>
      </c>
      <c r="G211" s="471"/>
    </row>
    <row r="212" spans="1:7" x14ac:dyDescent="0.25">
      <c r="A212" s="491">
        <v>42059</v>
      </c>
      <c r="B212" s="499" t="s">
        <v>105</v>
      </c>
      <c r="C212" s="541">
        <v>188.21549999999999</v>
      </c>
      <c r="D212" s="541">
        <v>188215.5</v>
      </c>
      <c r="E212" s="494">
        <v>17003</v>
      </c>
      <c r="F212" s="495">
        <v>4116</v>
      </c>
      <c r="G212" s="471"/>
    </row>
    <row r="213" spans="1:7" x14ac:dyDescent="0.25">
      <c r="A213" s="491">
        <v>42059</v>
      </c>
      <c r="B213" s="499" t="s">
        <v>105</v>
      </c>
      <c r="C213" s="541">
        <v>33.214500000000001</v>
      </c>
      <c r="D213" s="541">
        <v>33214.5</v>
      </c>
      <c r="E213" s="494">
        <v>17002</v>
      </c>
      <c r="F213" s="495">
        <v>4116</v>
      </c>
      <c r="G213" s="471"/>
    </row>
    <row r="214" spans="1:7" x14ac:dyDescent="0.25">
      <c r="A214" s="491">
        <v>42241</v>
      </c>
      <c r="B214" s="499" t="s">
        <v>379</v>
      </c>
      <c r="C214" s="541">
        <v>-188.21549999999999</v>
      </c>
      <c r="D214" s="541">
        <v>-188215.5</v>
      </c>
      <c r="E214" s="494">
        <v>17003</v>
      </c>
      <c r="F214" s="495">
        <v>4116</v>
      </c>
      <c r="G214" s="471"/>
    </row>
    <row r="215" spans="1:7" x14ac:dyDescent="0.25">
      <c r="A215" s="491">
        <v>42241</v>
      </c>
      <c r="B215" s="499" t="s">
        <v>379</v>
      </c>
      <c r="C215" s="541">
        <v>-33.214500000000001</v>
      </c>
      <c r="D215" s="541">
        <v>-33214.5</v>
      </c>
      <c r="E215" s="494">
        <v>17002</v>
      </c>
      <c r="F215" s="495">
        <v>4116</v>
      </c>
      <c r="G215" s="471"/>
    </row>
    <row r="216" spans="1:7" x14ac:dyDescent="0.25">
      <c r="A216" s="491">
        <v>42318</v>
      </c>
      <c r="B216" s="499" t="s">
        <v>601</v>
      </c>
      <c r="C216" s="541">
        <v>12.06457</v>
      </c>
      <c r="D216" s="541">
        <v>12064.57</v>
      </c>
      <c r="E216" s="494">
        <v>17007</v>
      </c>
      <c r="F216" s="495">
        <v>4116</v>
      </c>
      <c r="G216" s="471"/>
    </row>
    <row r="217" spans="1:7" x14ac:dyDescent="0.25">
      <c r="A217" s="491"/>
      <c r="B217" s="536" t="s">
        <v>541</v>
      </c>
      <c r="C217" s="541">
        <v>801.13199999999995</v>
      </c>
      <c r="D217" s="541">
        <v>801132</v>
      </c>
      <c r="E217" s="494">
        <v>17005</v>
      </c>
      <c r="F217" s="495">
        <v>4116</v>
      </c>
      <c r="G217" s="503"/>
    </row>
    <row r="218" spans="1:7" x14ac:dyDescent="0.25">
      <c r="A218" s="491"/>
      <c r="B218" s="697"/>
      <c r="C218" s="541"/>
      <c r="D218" s="541"/>
      <c r="E218" s="494"/>
      <c r="F218" s="495"/>
      <c r="G218" s="471"/>
    </row>
    <row r="219" spans="1:7" x14ac:dyDescent="0.25">
      <c r="A219" s="491"/>
      <c r="B219" s="538" t="s">
        <v>36</v>
      </c>
      <c r="C219" s="506">
        <f>+SUM(C220:C225)</f>
        <v>59159.327660000003</v>
      </c>
      <c r="D219" s="506">
        <f>+SUM(D220:D225)</f>
        <v>59159327.660000004</v>
      </c>
      <c r="E219" s="494"/>
      <c r="F219" s="495"/>
      <c r="G219" s="471"/>
    </row>
    <row r="220" spans="1:7" x14ac:dyDescent="0.25">
      <c r="A220" s="491">
        <v>42163</v>
      </c>
      <c r="B220" s="499" t="s">
        <v>237</v>
      </c>
      <c r="C220" s="535">
        <v>46797.196000000004</v>
      </c>
      <c r="D220" s="541">
        <v>46797196</v>
      </c>
      <c r="E220" s="494">
        <v>13011</v>
      </c>
      <c r="F220" s="495">
        <v>4116</v>
      </c>
      <c r="G220" s="503"/>
    </row>
    <row r="221" spans="1:7" x14ac:dyDescent="0.25">
      <c r="A221" s="491">
        <v>42163</v>
      </c>
      <c r="B221" s="499" t="s">
        <v>238</v>
      </c>
      <c r="C221" s="535">
        <v>505.56599999999997</v>
      </c>
      <c r="D221" s="541">
        <v>505566</v>
      </c>
      <c r="E221" s="494">
        <v>13011</v>
      </c>
      <c r="F221" s="495">
        <v>4116</v>
      </c>
      <c r="G221" s="471"/>
    </row>
    <row r="222" spans="1:7" x14ac:dyDescent="0.25">
      <c r="A222" s="491">
        <v>42271</v>
      </c>
      <c r="B222" s="499" t="s">
        <v>423</v>
      </c>
      <c r="C222" s="535">
        <v>12309</v>
      </c>
      <c r="D222" s="541">
        <v>12309000</v>
      </c>
      <c r="E222" s="494">
        <v>13015</v>
      </c>
      <c r="F222" s="495">
        <v>4116</v>
      </c>
      <c r="G222" s="471"/>
    </row>
    <row r="223" spans="1:7" x14ac:dyDescent="0.25">
      <c r="A223" s="491">
        <v>42312</v>
      </c>
      <c r="B223" s="499" t="s">
        <v>594</v>
      </c>
      <c r="C223" s="535">
        <v>-1500</v>
      </c>
      <c r="D223" s="541">
        <v>-1500000</v>
      </c>
      <c r="E223" s="494">
        <v>13011</v>
      </c>
      <c r="F223" s="495">
        <v>4116</v>
      </c>
      <c r="G223" s="471"/>
    </row>
    <row r="224" spans="1:7" x14ac:dyDescent="0.25">
      <c r="A224" s="491"/>
      <c r="B224" s="536" t="s">
        <v>196</v>
      </c>
      <c r="C224" s="541">
        <f>181.30393+81.16981</f>
        <v>262.47374000000002</v>
      </c>
      <c r="D224" s="541">
        <f>181303.93+81169.81</f>
        <v>262473.74</v>
      </c>
      <c r="E224" s="494">
        <v>13233</v>
      </c>
      <c r="F224" s="495">
        <v>4116</v>
      </c>
      <c r="G224" s="471"/>
    </row>
    <row r="225" spans="1:7" x14ac:dyDescent="0.25">
      <c r="A225" s="491"/>
      <c r="B225" s="536" t="s">
        <v>203</v>
      </c>
      <c r="C225" s="541">
        <f>327.72258+457.36934</f>
        <v>785.09192000000007</v>
      </c>
      <c r="D225" s="541">
        <f>327722.58+457369.34</f>
        <v>785091.92</v>
      </c>
      <c r="E225" s="494">
        <v>13233</v>
      </c>
      <c r="F225" s="495">
        <v>4116</v>
      </c>
      <c r="G225" s="471"/>
    </row>
    <row r="226" spans="1:7" x14ac:dyDescent="0.25">
      <c r="A226" s="491"/>
      <c r="B226" s="698"/>
      <c r="C226" s="535"/>
      <c r="D226" s="541"/>
      <c r="E226" s="494"/>
      <c r="F226" s="495"/>
      <c r="G226" s="471"/>
    </row>
    <row r="227" spans="1:7" x14ac:dyDescent="0.25">
      <c r="A227" s="491"/>
      <c r="B227" s="492" t="s">
        <v>38</v>
      </c>
      <c r="C227" s="506">
        <f>+C228+C229</f>
        <v>747.2</v>
      </c>
      <c r="D227" s="506">
        <f>+D228+D229</f>
        <v>747200</v>
      </c>
      <c r="E227" s="494"/>
      <c r="F227" s="495"/>
      <c r="G227" s="471"/>
    </row>
    <row r="228" spans="1:7" x14ac:dyDescent="0.25">
      <c r="A228" s="491">
        <v>42051</v>
      </c>
      <c r="B228" s="499" t="s">
        <v>39</v>
      </c>
      <c r="C228" s="535">
        <v>600</v>
      </c>
      <c r="D228" s="535">
        <v>600000</v>
      </c>
      <c r="E228" s="494">
        <v>22005</v>
      </c>
      <c r="F228" s="495" t="s">
        <v>18</v>
      </c>
      <c r="G228" s="471"/>
    </row>
    <row r="229" spans="1:7" x14ac:dyDescent="0.25">
      <c r="A229" s="491">
        <v>42324</v>
      </c>
      <c r="B229" s="499" t="s">
        <v>607</v>
      </c>
      <c r="C229" s="535">
        <v>147.19999999999999</v>
      </c>
      <c r="D229" s="535">
        <v>147200</v>
      </c>
      <c r="E229" s="494">
        <v>22003</v>
      </c>
      <c r="F229" s="495">
        <v>4116</v>
      </c>
      <c r="G229" s="471"/>
    </row>
    <row r="230" spans="1:7" x14ac:dyDescent="0.25">
      <c r="A230" s="491"/>
      <c r="B230" s="291"/>
      <c r="C230" s="535"/>
      <c r="D230" s="535"/>
      <c r="E230" s="494"/>
      <c r="F230" s="495"/>
      <c r="G230" s="471"/>
    </row>
    <row r="231" spans="1:7" x14ac:dyDescent="0.25">
      <c r="A231" s="491"/>
      <c r="B231" s="492" t="s">
        <v>40</v>
      </c>
      <c r="C231" s="506">
        <f>SUM(C232:C253)</f>
        <v>2297.6125699999998</v>
      </c>
      <c r="D231" s="506">
        <f>SUM(D232:D253)</f>
        <v>2297612.5699999998</v>
      </c>
      <c r="E231" s="494"/>
      <c r="F231" s="495"/>
      <c r="G231" s="471"/>
    </row>
    <row r="232" spans="1:7" x14ac:dyDescent="0.25">
      <c r="A232" s="491">
        <v>42081</v>
      </c>
      <c r="B232" s="291" t="s">
        <v>118</v>
      </c>
      <c r="C232" s="535">
        <v>134.988</v>
      </c>
      <c r="D232" s="542">
        <v>134988</v>
      </c>
      <c r="E232" s="494">
        <v>14023</v>
      </c>
      <c r="F232" s="495">
        <v>4116</v>
      </c>
      <c r="G232" s="471"/>
    </row>
    <row r="233" spans="1:7" x14ac:dyDescent="0.25">
      <c r="A233" s="491">
        <v>42082</v>
      </c>
      <c r="B233" s="291" t="s">
        <v>119</v>
      </c>
      <c r="C233" s="535">
        <v>72</v>
      </c>
      <c r="D233" s="542">
        <v>72000</v>
      </c>
      <c r="E233" s="494">
        <v>14336</v>
      </c>
      <c r="F233" s="495">
        <v>4116</v>
      </c>
      <c r="G233" s="471"/>
    </row>
    <row r="234" spans="1:7" x14ac:dyDescent="0.25">
      <c r="A234" s="491">
        <v>42087</v>
      </c>
      <c r="B234" s="291" t="s">
        <v>118</v>
      </c>
      <c r="C234" s="535">
        <v>0.8</v>
      </c>
      <c r="D234" s="542">
        <v>800</v>
      </c>
      <c r="E234" s="494">
        <v>14023</v>
      </c>
      <c r="F234" s="495">
        <v>4116</v>
      </c>
      <c r="G234" s="471"/>
    </row>
    <row r="235" spans="1:7" x14ac:dyDescent="0.25">
      <c r="A235" s="491">
        <v>42090</v>
      </c>
      <c r="B235" s="291" t="s">
        <v>118</v>
      </c>
      <c r="C235" s="535">
        <v>66.06</v>
      </c>
      <c r="D235" s="542">
        <v>66060</v>
      </c>
      <c r="E235" s="494">
        <v>14023</v>
      </c>
      <c r="F235" s="495">
        <v>4116</v>
      </c>
      <c r="G235" s="471"/>
    </row>
    <row r="236" spans="1:7" x14ac:dyDescent="0.25">
      <c r="A236" s="491">
        <v>42096</v>
      </c>
      <c r="B236" s="291" t="s">
        <v>136</v>
      </c>
      <c r="C236" s="535">
        <v>72</v>
      </c>
      <c r="D236" s="542">
        <v>72000</v>
      </c>
      <c r="E236" s="494">
        <v>14336</v>
      </c>
      <c r="F236" s="495">
        <v>4116</v>
      </c>
      <c r="G236" s="471"/>
    </row>
    <row r="237" spans="1:7" x14ac:dyDescent="0.25">
      <c r="A237" s="491">
        <v>42096</v>
      </c>
      <c r="B237" s="291" t="s">
        <v>137</v>
      </c>
      <c r="C237" s="535">
        <v>72</v>
      </c>
      <c r="D237" s="542">
        <v>72000</v>
      </c>
      <c r="E237" s="494">
        <v>14336</v>
      </c>
      <c r="F237" s="495">
        <v>4116</v>
      </c>
      <c r="G237" s="471"/>
    </row>
    <row r="238" spans="1:7" x14ac:dyDescent="0.25">
      <c r="A238" s="491">
        <v>42123</v>
      </c>
      <c r="B238" s="291" t="s">
        <v>153</v>
      </c>
      <c r="C238" s="535">
        <v>72</v>
      </c>
      <c r="D238" s="542">
        <v>72000</v>
      </c>
      <c r="E238" s="494">
        <v>14336</v>
      </c>
      <c r="F238" s="495">
        <v>4116</v>
      </c>
      <c r="G238" s="471"/>
    </row>
    <row r="239" spans="1:7" x14ac:dyDescent="0.25">
      <c r="A239" s="491">
        <v>42128</v>
      </c>
      <c r="B239" s="291" t="s">
        <v>118</v>
      </c>
      <c r="C239" s="535">
        <v>65.341999999999999</v>
      </c>
      <c r="D239" s="542">
        <v>65342</v>
      </c>
      <c r="E239" s="494">
        <v>14023</v>
      </c>
      <c r="F239" s="495">
        <v>4116</v>
      </c>
      <c r="G239" s="471"/>
    </row>
    <row r="240" spans="1:7" x14ac:dyDescent="0.25">
      <c r="A240" s="491">
        <v>42152</v>
      </c>
      <c r="B240" s="291" t="s">
        <v>118</v>
      </c>
      <c r="C240" s="535">
        <v>69.66</v>
      </c>
      <c r="D240" s="542">
        <v>69660</v>
      </c>
      <c r="E240" s="494">
        <v>14023</v>
      </c>
      <c r="F240" s="495">
        <v>4116</v>
      </c>
      <c r="G240" s="471"/>
    </row>
    <row r="241" spans="1:7" x14ac:dyDescent="0.25">
      <c r="A241" s="491">
        <v>42166</v>
      </c>
      <c r="B241" s="291" t="s">
        <v>229</v>
      </c>
      <c r="C241" s="535">
        <v>721</v>
      </c>
      <c r="D241" s="542">
        <f>757000-36000</f>
        <v>721000</v>
      </c>
      <c r="E241" s="494">
        <v>14018</v>
      </c>
      <c r="F241" s="495">
        <v>4116</v>
      </c>
      <c r="G241" s="471"/>
    </row>
    <row r="242" spans="1:7" x14ac:dyDescent="0.25">
      <c r="A242" s="491">
        <v>42181</v>
      </c>
      <c r="B242" s="291" t="s">
        <v>247</v>
      </c>
      <c r="C242" s="535">
        <v>102.74966999999999</v>
      </c>
      <c r="D242" s="542">
        <v>102749.67</v>
      </c>
      <c r="E242" s="494">
        <v>14013</v>
      </c>
      <c r="F242" s="495">
        <v>4116</v>
      </c>
      <c r="G242" s="471"/>
    </row>
    <row r="243" spans="1:7" x14ac:dyDescent="0.25">
      <c r="A243" s="491">
        <v>42184</v>
      </c>
      <c r="B243" s="291" t="s">
        <v>118</v>
      </c>
      <c r="C243" s="535">
        <f>69.6456+12.2904</f>
        <v>81.936000000000007</v>
      </c>
      <c r="D243" s="542">
        <v>81936</v>
      </c>
      <c r="E243" s="494">
        <v>14023</v>
      </c>
      <c r="F243" s="495">
        <v>4116</v>
      </c>
      <c r="G243" s="471"/>
    </row>
    <row r="244" spans="1:7" x14ac:dyDescent="0.25">
      <c r="A244" s="491">
        <v>42213</v>
      </c>
      <c r="B244" s="291" t="s">
        <v>118</v>
      </c>
      <c r="C244" s="535">
        <v>67.016000000000005</v>
      </c>
      <c r="D244" s="542">
        <v>67016</v>
      </c>
      <c r="E244" s="494">
        <v>14023</v>
      </c>
      <c r="F244" s="495">
        <v>4116</v>
      </c>
      <c r="G244" s="471"/>
    </row>
    <row r="245" spans="1:7" x14ac:dyDescent="0.25">
      <c r="A245" s="491">
        <v>42241</v>
      </c>
      <c r="B245" s="291" t="s">
        <v>118</v>
      </c>
      <c r="C245" s="535">
        <v>69.228999999999999</v>
      </c>
      <c r="D245" s="542">
        <f>58844.65+10384.35</f>
        <v>69229</v>
      </c>
      <c r="E245" s="494">
        <v>14023</v>
      </c>
      <c r="F245" s="495">
        <v>4116</v>
      </c>
      <c r="G245" s="471"/>
    </row>
    <row r="246" spans="1:7" x14ac:dyDescent="0.25">
      <c r="A246" s="491">
        <v>42278</v>
      </c>
      <c r="B246" s="291" t="s">
        <v>118</v>
      </c>
      <c r="C246" s="535">
        <v>75.543000000000006</v>
      </c>
      <c r="D246" s="542">
        <v>75543</v>
      </c>
      <c r="E246" s="494">
        <v>14023</v>
      </c>
      <c r="F246" s="495">
        <v>4116</v>
      </c>
      <c r="G246" s="471"/>
    </row>
    <row r="247" spans="1:7" x14ac:dyDescent="0.25">
      <c r="A247" s="491">
        <v>42314</v>
      </c>
      <c r="B247" s="291" t="s">
        <v>118</v>
      </c>
      <c r="C247" s="535">
        <v>67.688000000000002</v>
      </c>
      <c r="D247" s="542">
        <v>67688</v>
      </c>
      <c r="E247" s="494">
        <v>14023</v>
      </c>
      <c r="F247" s="495">
        <v>4116</v>
      </c>
      <c r="G247" s="471"/>
    </row>
    <row r="248" spans="1:7" x14ac:dyDescent="0.25">
      <c r="A248" s="491">
        <v>42335</v>
      </c>
      <c r="B248" s="291" t="s">
        <v>118</v>
      </c>
      <c r="C248" s="535">
        <v>62.695</v>
      </c>
      <c r="D248" s="542">
        <v>62695</v>
      </c>
      <c r="E248" s="494">
        <v>14023</v>
      </c>
      <c r="F248" s="495">
        <v>4116</v>
      </c>
      <c r="G248" s="471"/>
    </row>
    <row r="249" spans="1:7" x14ac:dyDescent="0.25">
      <c r="A249" s="491">
        <v>42353</v>
      </c>
      <c r="B249" s="291" t="s">
        <v>653</v>
      </c>
      <c r="C249" s="535">
        <v>-1.7091000000000001</v>
      </c>
      <c r="D249" s="542">
        <v>-1709.1</v>
      </c>
      <c r="E249" s="494">
        <v>14018</v>
      </c>
      <c r="F249" s="495">
        <v>4116</v>
      </c>
      <c r="G249" s="471"/>
    </row>
    <row r="250" spans="1:7" x14ac:dyDescent="0.25">
      <c r="A250" s="491">
        <v>42354</v>
      </c>
      <c r="B250" s="291" t="s">
        <v>118</v>
      </c>
      <c r="C250" s="535">
        <f>48.63275+8.58225</f>
        <v>57.215000000000003</v>
      </c>
      <c r="D250" s="542">
        <f>48632.75+8582.25</f>
        <v>57215</v>
      </c>
      <c r="E250" s="494">
        <v>14023</v>
      </c>
      <c r="F250" s="495">
        <v>4116</v>
      </c>
      <c r="G250" s="471"/>
    </row>
    <row r="251" spans="1:7" x14ac:dyDescent="0.25">
      <c r="A251" s="491"/>
      <c r="B251" s="291" t="s">
        <v>398</v>
      </c>
      <c r="C251" s="535">
        <v>300</v>
      </c>
      <c r="D251" s="535">
        <v>300000</v>
      </c>
      <c r="E251" s="494">
        <v>14336</v>
      </c>
      <c r="F251" s="495">
        <v>4116</v>
      </c>
      <c r="G251" s="503"/>
    </row>
    <row r="252" spans="1:7" x14ac:dyDescent="0.25">
      <c r="A252" s="491"/>
      <c r="B252" s="291" t="s">
        <v>274</v>
      </c>
      <c r="C252" s="535">
        <v>36</v>
      </c>
      <c r="D252" s="535">
        <v>36000</v>
      </c>
      <c r="E252" s="494">
        <v>14018</v>
      </c>
      <c r="F252" s="495">
        <v>4116</v>
      </c>
      <c r="G252" s="471"/>
    </row>
    <row r="253" spans="1:7" x14ac:dyDescent="0.25">
      <c r="A253" s="491"/>
      <c r="B253" s="291" t="s">
        <v>113</v>
      </c>
      <c r="C253" s="535">
        <f>15.968+8.904+8.528</f>
        <v>33.4</v>
      </c>
      <c r="D253" s="535">
        <f>7480+8488+8904+8528</f>
        <v>33400</v>
      </c>
      <c r="E253" s="494">
        <v>14137</v>
      </c>
      <c r="F253" s="495">
        <v>4116</v>
      </c>
      <c r="G253" s="471"/>
    </row>
    <row r="254" spans="1:7" x14ac:dyDescent="0.25">
      <c r="A254" s="491"/>
      <c r="B254" s="291"/>
      <c r="C254" s="535"/>
      <c r="D254" s="535"/>
      <c r="E254" s="494"/>
      <c r="F254" s="495"/>
      <c r="G254" s="471"/>
    </row>
    <row r="255" spans="1:7" x14ac:dyDescent="0.25">
      <c r="A255" s="491"/>
      <c r="B255" s="492" t="s">
        <v>41</v>
      </c>
      <c r="C255" s="506">
        <f>+SUM(C256:C274)</f>
        <v>935.77300000000014</v>
      </c>
      <c r="D255" s="506">
        <f>+SUM(D256:D274)</f>
        <v>935773</v>
      </c>
      <c r="E255" s="494"/>
      <c r="F255" s="495"/>
      <c r="G255" s="471"/>
    </row>
    <row r="256" spans="1:7" x14ac:dyDescent="0.25">
      <c r="A256" s="491">
        <v>42118</v>
      </c>
      <c r="B256" s="291" t="s">
        <v>93</v>
      </c>
      <c r="C256" s="535">
        <v>18.0625</v>
      </c>
      <c r="D256" s="535">
        <v>18062.5</v>
      </c>
      <c r="E256" s="494">
        <v>35019</v>
      </c>
      <c r="F256" s="495">
        <v>4116</v>
      </c>
      <c r="G256" s="471"/>
    </row>
    <row r="257" spans="1:7" x14ac:dyDescent="0.25">
      <c r="A257" s="491">
        <v>42118</v>
      </c>
      <c r="B257" s="291" t="s">
        <v>94</v>
      </c>
      <c r="C257" s="535">
        <v>17.977499999999999</v>
      </c>
      <c r="D257" s="535">
        <v>17977.5</v>
      </c>
      <c r="E257" s="494">
        <v>35019</v>
      </c>
      <c r="F257" s="495">
        <v>4116</v>
      </c>
      <c r="G257" s="679"/>
    </row>
    <row r="258" spans="1:7" x14ac:dyDescent="0.25">
      <c r="A258" s="491">
        <v>42118</v>
      </c>
      <c r="B258" s="291" t="s">
        <v>95</v>
      </c>
      <c r="C258" s="535">
        <v>32.084000000000003</v>
      </c>
      <c r="D258" s="535">
        <v>32084</v>
      </c>
      <c r="E258" s="494">
        <v>35019</v>
      </c>
      <c r="F258" s="495">
        <v>4116</v>
      </c>
      <c r="G258" s="679"/>
    </row>
    <row r="259" spans="1:7" x14ac:dyDescent="0.25">
      <c r="A259" s="491">
        <v>42118</v>
      </c>
      <c r="B259" s="291" t="s">
        <v>95</v>
      </c>
      <c r="C259" s="535">
        <v>77</v>
      </c>
      <c r="D259" s="535">
        <v>77000</v>
      </c>
      <c r="E259" s="494">
        <v>35019</v>
      </c>
      <c r="F259" s="495">
        <v>4116</v>
      </c>
      <c r="G259" s="679"/>
    </row>
    <row r="260" spans="1:7" x14ac:dyDescent="0.25">
      <c r="A260" s="491">
        <v>42118</v>
      </c>
      <c r="B260" s="291" t="s">
        <v>92</v>
      </c>
      <c r="C260" s="535">
        <v>40.25</v>
      </c>
      <c r="D260" s="535">
        <v>40250</v>
      </c>
      <c r="E260" s="494">
        <v>35019</v>
      </c>
      <c r="F260" s="495">
        <v>4116</v>
      </c>
      <c r="G260" s="679"/>
    </row>
    <row r="261" spans="1:7" x14ac:dyDescent="0.25">
      <c r="A261" s="491">
        <v>42172</v>
      </c>
      <c r="B261" s="291" t="s">
        <v>100</v>
      </c>
      <c r="C261" s="535">
        <v>140</v>
      </c>
      <c r="D261" s="535">
        <v>140000</v>
      </c>
      <c r="E261" s="494">
        <v>35015</v>
      </c>
      <c r="F261" s="495">
        <v>4116</v>
      </c>
      <c r="G261" s="679"/>
    </row>
    <row r="262" spans="1:7" x14ac:dyDescent="0.25">
      <c r="A262" s="491">
        <v>42299</v>
      </c>
      <c r="B262" s="291" t="s">
        <v>93</v>
      </c>
      <c r="C262" s="535">
        <v>18.0625</v>
      </c>
      <c r="D262" s="535">
        <v>18062.5</v>
      </c>
      <c r="E262" s="494">
        <v>35019</v>
      </c>
      <c r="F262" s="495">
        <v>4116</v>
      </c>
      <c r="G262" s="679"/>
    </row>
    <row r="263" spans="1:7" x14ac:dyDescent="0.25">
      <c r="A263" s="491">
        <v>42299</v>
      </c>
      <c r="B263" s="291" t="s">
        <v>94</v>
      </c>
      <c r="C263" s="535">
        <v>17.977499999999999</v>
      </c>
      <c r="D263" s="535">
        <v>17977.5</v>
      </c>
      <c r="E263" s="494">
        <v>35019</v>
      </c>
      <c r="F263" s="495">
        <v>4116</v>
      </c>
      <c r="G263" s="471"/>
    </row>
    <row r="264" spans="1:7" x14ac:dyDescent="0.25">
      <c r="A264" s="491">
        <v>42299</v>
      </c>
      <c r="B264" s="291" t="s">
        <v>95</v>
      </c>
      <c r="C264" s="535">
        <v>32.084000000000003</v>
      </c>
      <c r="D264" s="535">
        <v>32084</v>
      </c>
      <c r="E264" s="494">
        <v>35019</v>
      </c>
      <c r="F264" s="495">
        <v>4116</v>
      </c>
      <c r="G264" s="471"/>
    </row>
    <row r="265" spans="1:7" x14ac:dyDescent="0.25">
      <c r="A265" s="491">
        <v>42300</v>
      </c>
      <c r="B265" s="291" t="s">
        <v>95</v>
      </c>
      <c r="C265" s="535">
        <v>77</v>
      </c>
      <c r="D265" s="535">
        <v>77000</v>
      </c>
      <c r="E265" s="494">
        <v>35019</v>
      </c>
      <c r="F265" s="495">
        <v>4116</v>
      </c>
      <c r="G265" s="471"/>
    </row>
    <row r="266" spans="1:7" x14ac:dyDescent="0.25">
      <c r="A266" s="491">
        <v>42300</v>
      </c>
      <c r="B266" s="291" t="s">
        <v>92</v>
      </c>
      <c r="C266" s="535">
        <v>40.25</v>
      </c>
      <c r="D266" s="535">
        <v>40250</v>
      </c>
      <c r="E266" s="494">
        <v>35019</v>
      </c>
      <c r="F266" s="495">
        <v>4116</v>
      </c>
      <c r="G266" s="471"/>
    </row>
    <row r="267" spans="1:7" x14ac:dyDescent="0.25">
      <c r="A267" s="491">
        <v>42300</v>
      </c>
      <c r="B267" s="291" t="s">
        <v>100</v>
      </c>
      <c r="C267" s="535">
        <v>140</v>
      </c>
      <c r="D267" s="535">
        <v>140000</v>
      </c>
      <c r="E267" s="494">
        <v>35015</v>
      </c>
      <c r="F267" s="495">
        <v>4116</v>
      </c>
      <c r="G267" s="471"/>
    </row>
    <row r="268" spans="1:7" x14ac:dyDescent="0.25">
      <c r="A268" s="491">
        <v>42311</v>
      </c>
      <c r="B268" s="291" t="s">
        <v>590</v>
      </c>
      <c r="C268" s="535">
        <v>100</v>
      </c>
      <c r="D268" s="535">
        <v>100000</v>
      </c>
      <c r="E268" s="494">
        <v>35015</v>
      </c>
      <c r="F268" s="495">
        <v>4116</v>
      </c>
      <c r="G268" s="471"/>
    </row>
    <row r="269" spans="1:7" x14ac:dyDescent="0.25">
      <c r="A269" s="491">
        <v>42332</v>
      </c>
      <c r="B269" s="291" t="s">
        <v>610</v>
      </c>
      <c r="C269" s="535">
        <v>2.0219999999999998</v>
      </c>
      <c r="D269" s="535">
        <v>2022</v>
      </c>
      <c r="E269" s="494">
        <v>35019</v>
      </c>
      <c r="F269" s="495">
        <v>4116</v>
      </c>
      <c r="G269" s="471"/>
    </row>
    <row r="270" spans="1:7" x14ac:dyDescent="0.25">
      <c r="A270" s="491">
        <v>42332</v>
      </c>
      <c r="B270" s="291" t="s">
        <v>611</v>
      </c>
      <c r="C270" s="535">
        <v>6.431</v>
      </c>
      <c r="D270" s="535">
        <v>6431</v>
      </c>
      <c r="E270" s="494">
        <v>35019</v>
      </c>
      <c r="F270" s="495">
        <v>4116</v>
      </c>
      <c r="G270" s="471"/>
    </row>
    <row r="271" spans="1:7" x14ac:dyDescent="0.25">
      <c r="A271" s="491">
        <v>42332</v>
      </c>
      <c r="B271" s="291" t="s">
        <v>612</v>
      </c>
      <c r="C271" s="535">
        <v>8.5719999999999992</v>
      </c>
      <c r="D271" s="535">
        <v>8572</v>
      </c>
      <c r="E271" s="494">
        <v>35019</v>
      </c>
      <c r="F271" s="495">
        <v>4116</v>
      </c>
      <c r="G271" s="471"/>
    </row>
    <row r="272" spans="1:7" x14ac:dyDescent="0.25">
      <c r="A272" s="491">
        <v>42333</v>
      </c>
      <c r="B272" s="291" t="s">
        <v>621</v>
      </c>
      <c r="C272" s="535">
        <v>48</v>
      </c>
      <c r="D272" s="535">
        <v>48000</v>
      </c>
      <c r="E272" s="494">
        <v>35015</v>
      </c>
      <c r="F272" s="495">
        <v>4116</v>
      </c>
      <c r="G272" s="471"/>
    </row>
    <row r="273" spans="1:7" x14ac:dyDescent="0.25">
      <c r="A273" s="491">
        <v>42346</v>
      </c>
      <c r="B273" s="291" t="s">
        <v>622</v>
      </c>
      <c r="C273" s="535">
        <v>40</v>
      </c>
      <c r="D273" s="535">
        <v>40000</v>
      </c>
      <c r="E273" s="494">
        <v>35015</v>
      </c>
      <c r="F273" s="495">
        <v>4116</v>
      </c>
      <c r="G273" s="471"/>
    </row>
    <row r="274" spans="1:7" x14ac:dyDescent="0.25">
      <c r="A274" s="491">
        <v>42346</v>
      </c>
      <c r="B274" s="291" t="s">
        <v>623</v>
      </c>
      <c r="C274" s="535">
        <v>80</v>
      </c>
      <c r="D274" s="535">
        <v>80000</v>
      </c>
      <c r="E274" s="494">
        <v>35015</v>
      </c>
      <c r="F274" s="495">
        <v>4116</v>
      </c>
      <c r="G274" s="471"/>
    </row>
    <row r="275" spans="1:7" x14ac:dyDescent="0.25">
      <c r="A275" s="491"/>
      <c r="B275" s="291"/>
      <c r="C275" s="535"/>
      <c r="D275" s="535"/>
      <c r="E275" s="494"/>
      <c r="F275" s="495"/>
      <c r="G275" s="471"/>
    </row>
    <row r="276" spans="1:7" x14ac:dyDescent="0.25">
      <c r="A276" s="491"/>
      <c r="B276" s="492" t="s">
        <v>42</v>
      </c>
      <c r="C276" s="506">
        <f>+SUM(C277:C282)</f>
        <v>381.32499999999999</v>
      </c>
      <c r="D276" s="506">
        <f>+SUM(D277:D282)</f>
        <v>381325</v>
      </c>
      <c r="E276" s="494"/>
      <c r="F276" s="495"/>
      <c r="G276" s="471"/>
    </row>
    <row r="277" spans="1:7" x14ac:dyDescent="0.25">
      <c r="A277" s="491">
        <v>42142</v>
      </c>
      <c r="B277" s="291" t="s">
        <v>43</v>
      </c>
      <c r="C277" s="535">
        <v>86.159000000000006</v>
      </c>
      <c r="D277" s="535">
        <v>86159</v>
      </c>
      <c r="E277" s="494">
        <v>29008</v>
      </c>
      <c r="F277" s="495">
        <v>4116</v>
      </c>
      <c r="G277" s="471"/>
    </row>
    <row r="278" spans="1:7" x14ac:dyDescent="0.25">
      <c r="A278" s="491">
        <v>42157</v>
      </c>
      <c r="B278" s="291" t="s">
        <v>44</v>
      </c>
      <c r="C278" s="535">
        <v>10.5</v>
      </c>
      <c r="D278" s="535">
        <v>10500</v>
      </c>
      <c r="E278" s="494">
        <v>29004</v>
      </c>
      <c r="F278" s="495">
        <v>4116</v>
      </c>
      <c r="G278" s="471"/>
    </row>
    <row r="279" spans="1:7" x14ac:dyDescent="0.25">
      <c r="A279" s="491">
        <v>42163</v>
      </c>
      <c r="B279" s="291" t="s">
        <v>43</v>
      </c>
      <c r="C279" s="535">
        <v>84.284999999999997</v>
      </c>
      <c r="D279" s="535">
        <v>84285</v>
      </c>
      <c r="E279" s="494">
        <v>29008</v>
      </c>
      <c r="F279" s="495">
        <v>4116</v>
      </c>
      <c r="G279" s="471"/>
    </row>
    <row r="280" spans="1:7" x14ac:dyDescent="0.25">
      <c r="A280" s="491">
        <v>42278</v>
      </c>
      <c r="B280" s="291" t="s">
        <v>43</v>
      </c>
      <c r="C280" s="535">
        <v>85.221999999999994</v>
      </c>
      <c r="D280" s="535">
        <v>85222</v>
      </c>
      <c r="E280" s="494">
        <v>29008</v>
      </c>
      <c r="F280" s="495">
        <v>4116</v>
      </c>
      <c r="G280" s="471"/>
    </row>
    <row r="281" spans="1:7" x14ac:dyDescent="0.25">
      <c r="A281" s="491">
        <v>42333</v>
      </c>
      <c r="B281" s="291" t="s">
        <v>44</v>
      </c>
      <c r="C281" s="535">
        <v>29</v>
      </c>
      <c r="D281" s="535">
        <v>29000</v>
      </c>
      <c r="E281" s="494">
        <v>29004</v>
      </c>
      <c r="F281" s="495">
        <v>4116</v>
      </c>
      <c r="G281" s="471"/>
    </row>
    <row r="282" spans="1:7" x14ac:dyDescent="0.25">
      <c r="A282" s="491">
        <v>42340</v>
      </c>
      <c r="B282" s="291" t="s">
        <v>43</v>
      </c>
      <c r="C282" s="535">
        <v>86.159000000000006</v>
      </c>
      <c r="D282" s="535">
        <v>86159</v>
      </c>
      <c r="E282" s="494">
        <v>29008</v>
      </c>
      <c r="F282" s="495">
        <v>4116</v>
      </c>
      <c r="G282" s="471"/>
    </row>
    <row r="283" spans="1:7" x14ac:dyDescent="0.25">
      <c r="A283" s="491"/>
      <c r="B283" s="291"/>
      <c r="C283" s="535"/>
      <c r="D283" s="535"/>
      <c r="E283" s="494"/>
      <c r="F283" s="495"/>
      <c r="G283" s="471"/>
    </row>
    <row r="284" spans="1:7" x14ac:dyDescent="0.25">
      <c r="A284" s="491"/>
      <c r="B284" s="492" t="s">
        <v>45</v>
      </c>
      <c r="C284" s="506">
        <f>+SUM(C285:C306)</f>
        <v>8233.5089299999981</v>
      </c>
      <c r="D284" s="506">
        <f>+SUM(D285:D306)</f>
        <v>8233508.9299999997</v>
      </c>
      <c r="E284" s="494"/>
      <c r="F284" s="495"/>
      <c r="G284" s="471"/>
    </row>
    <row r="285" spans="1:7" x14ac:dyDescent="0.25">
      <c r="A285" s="491">
        <v>42057</v>
      </c>
      <c r="B285" s="499" t="s">
        <v>146</v>
      </c>
      <c r="C285" s="535">
        <v>466.28609999999998</v>
      </c>
      <c r="D285" s="535">
        <v>466286.1</v>
      </c>
      <c r="E285" s="494">
        <v>15319</v>
      </c>
      <c r="F285" s="495">
        <v>4116</v>
      </c>
      <c r="G285" s="471"/>
    </row>
    <row r="286" spans="1:7" x14ac:dyDescent="0.25">
      <c r="A286" s="491">
        <v>42193</v>
      </c>
      <c r="B286" s="499" t="s">
        <v>279</v>
      </c>
      <c r="C286" s="535">
        <v>77.653800000000004</v>
      </c>
      <c r="D286" s="535">
        <v>77653.8</v>
      </c>
      <c r="E286" s="494">
        <v>15319</v>
      </c>
      <c r="F286" s="495">
        <v>4116</v>
      </c>
      <c r="G286" s="471"/>
    </row>
    <row r="287" spans="1:7" x14ac:dyDescent="0.25">
      <c r="A287" s="491">
        <v>42272</v>
      </c>
      <c r="B287" s="499" t="s">
        <v>516</v>
      </c>
      <c r="C287" s="535">
        <v>931.58199999999999</v>
      </c>
      <c r="D287" s="535">
        <v>931582</v>
      </c>
      <c r="E287" s="494">
        <v>15065</v>
      </c>
      <c r="F287" s="495">
        <v>4116</v>
      </c>
      <c r="G287" s="471"/>
    </row>
    <row r="288" spans="1:7" x14ac:dyDescent="0.25">
      <c r="A288" s="491">
        <v>42347</v>
      </c>
      <c r="B288" s="499" t="s">
        <v>633</v>
      </c>
      <c r="C288" s="535">
        <v>656.17619000000002</v>
      </c>
      <c r="D288" s="535">
        <v>656176.18999999994</v>
      </c>
      <c r="E288" s="494">
        <v>15319</v>
      </c>
      <c r="F288" s="495">
        <v>4116</v>
      </c>
      <c r="G288" s="471"/>
    </row>
    <row r="289" spans="1:7" x14ac:dyDescent="0.25">
      <c r="A289" s="491">
        <v>42347</v>
      </c>
      <c r="B289" s="499" t="s">
        <v>634</v>
      </c>
      <c r="C289" s="535">
        <v>281.79867999999999</v>
      </c>
      <c r="D289" s="535">
        <v>281798.68</v>
      </c>
      <c r="E289" s="494">
        <v>15319</v>
      </c>
      <c r="F289" s="495">
        <v>4116</v>
      </c>
      <c r="G289" s="471"/>
    </row>
    <row r="290" spans="1:7" x14ac:dyDescent="0.25">
      <c r="A290" s="491">
        <v>42347</v>
      </c>
      <c r="B290" s="499" t="s">
        <v>646</v>
      </c>
      <c r="C290" s="535">
        <v>45.917290000000001</v>
      </c>
      <c r="D290" s="535">
        <v>45917.29</v>
      </c>
      <c r="E290" s="494">
        <v>15319</v>
      </c>
      <c r="F290" s="495">
        <v>4116</v>
      </c>
      <c r="G290" s="471"/>
    </row>
    <row r="291" spans="1:7" x14ac:dyDescent="0.25">
      <c r="A291" s="491">
        <v>42349</v>
      </c>
      <c r="B291" s="499" t="s">
        <v>647</v>
      </c>
      <c r="C291" s="535">
        <v>131.89410000000001</v>
      </c>
      <c r="D291" s="535">
        <v>131894.1</v>
      </c>
      <c r="E291" s="494">
        <v>15319</v>
      </c>
      <c r="F291" s="495">
        <v>4116</v>
      </c>
      <c r="G291" s="471"/>
    </row>
    <row r="292" spans="1:7" x14ac:dyDescent="0.25">
      <c r="A292" s="491">
        <v>42354</v>
      </c>
      <c r="B292" s="499" t="s">
        <v>648</v>
      </c>
      <c r="C292" s="535">
        <v>55.871099999999998</v>
      </c>
      <c r="D292" s="535">
        <v>55871.1</v>
      </c>
      <c r="E292" s="494">
        <v>15319</v>
      </c>
      <c r="F292" s="495">
        <v>4116</v>
      </c>
      <c r="G292" s="471"/>
    </row>
    <row r="293" spans="1:7" x14ac:dyDescent="0.25">
      <c r="A293" s="491">
        <v>42354</v>
      </c>
      <c r="B293" s="499" t="s">
        <v>649</v>
      </c>
      <c r="C293" s="535">
        <v>36.701630000000002</v>
      </c>
      <c r="D293" s="535">
        <v>36701.629999999997</v>
      </c>
      <c r="E293" s="494">
        <v>15319</v>
      </c>
      <c r="F293" s="495">
        <v>4116</v>
      </c>
      <c r="G293" s="471"/>
    </row>
    <row r="294" spans="1:7" x14ac:dyDescent="0.25">
      <c r="A294" s="491">
        <v>42354</v>
      </c>
      <c r="B294" s="499" t="s">
        <v>650</v>
      </c>
      <c r="C294" s="535">
        <v>119.77634</v>
      </c>
      <c r="D294" s="535">
        <v>119776.34</v>
      </c>
      <c r="E294" s="494">
        <v>15319</v>
      </c>
      <c r="F294" s="495">
        <v>4116</v>
      </c>
      <c r="G294" s="471"/>
    </row>
    <row r="295" spans="1:7" x14ac:dyDescent="0.25">
      <c r="A295" s="491">
        <v>42354</v>
      </c>
      <c r="B295" s="499" t="s">
        <v>651</v>
      </c>
      <c r="C295" s="535">
        <v>2.0578400000000001</v>
      </c>
      <c r="D295" s="535">
        <v>2057.84</v>
      </c>
      <c r="E295" s="494">
        <v>15319</v>
      </c>
      <c r="F295" s="495">
        <v>4116</v>
      </c>
      <c r="G295" s="471"/>
    </row>
    <row r="296" spans="1:7" x14ac:dyDescent="0.25">
      <c r="A296" s="491">
        <v>42354</v>
      </c>
      <c r="B296" s="499" t="s">
        <v>664</v>
      </c>
      <c r="C296" s="535">
        <v>10.285</v>
      </c>
      <c r="D296" s="535">
        <v>10285</v>
      </c>
      <c r="E296" s="494">
        <v>15319</v>
      </c>
      <c r="F296" s="495">
        <v>4116</v>
      </c>
      <c r="G296" s="471"/>
    </row>
    <row r="297" spans="1:7" x14ac:dyDescent="0.25">
      <c r="A297" s="491">
        <v>42354</v>
      </c>
      <c r="B297" s="499" t="s">
        <v>652</v>
      </c>
      <c r="C297" s="535">
        <v>37.168799999999997</v>
      </c>
      <c r="D297" s="535">
        <v>37168.800000000003</v>
      </c>
      <c r="E297" s="494">
        <v>15325</v>
      </c>
      <c r="F297" s="495">
        <v>4116</v>
      </c>
      <c r="G297" s="471"/>
    </row>
    <row r="298" spans="1:7" x14ac:dyDescent="0.25">
      <c r="A298" s="491"/>
      <c r="B298" s="499" t="s">
        <v>498</v>
      </c>
      <c r="C298" s="535">
        <v>3.3335499999999998</v>
      </c>
      <c r="D298" s="535">
        <v>3333.55</v>
      </c>
      <c r="E298" s="494">
        <v>15319</v>
      </c>
      <c r="F298" s="495">
        <v>4116</v>
      </c>
      <c r="G298" s="471"/>
    </row>
    <row r="299" spans="1:7" x14ac:dyDescent="0.25">
      <c r="A299" s="491"/>
      <c r="B299" s="499" t="s">
        <v>620</v>
      </c>
      <c r="C299" s="535">
        <v>4.36104</v>
      </c>
      <c r="D299" s="535">
        <v>4361.04</v>
      </c>
      <c r="E299" s="494">
        <v>15320</v>
      </c>
      <c r="F299" s="495">
        <v>4116</v>
      </c>
      <c r="G299" s="471"/>
    </row>
    <row r="300" spans="1:7" x14ac:dyDescent="0.25">
      <c r="A300" s="491"/>
      <c r="B300" s="499" t="s">
        <v>620</v>
      </c>
      <c r="C300" s="535">
        <v>74.137839999999997</v>
      </c>
      <c r="D300" s="535">
        <v>74137.84</v>
      </c>
      <c r="E300" s="494">
        <v>15321</v>
      </c>
      <c r="F300" s="495">
        <v>4116</v>
      </c>
      <c r="G300" s="471"/>
    </row>
    <row r="301" spans="1:7" x14ac:dyDescent="0.25">
      <c r="A301" s="491"/>
      <c r="B301" s="499" t="s">
        <v>617</v>
      </c>
      <c r="C301" s="535">
        <v>3507.09303</v>
      </c>
      <c r="D301" s="535">
        <v>3507093.03</v>
      </c>
      <c r="E301" s="494">
        <v>15319</v>
      </c>
      <c r="F301" s="495">
        <v>4116</v>
      </c>
      <c r="G301" s="471"/>
    </row>
    <row r="302" spans="1:7" x14ac:dyDescent="0.25">
      <c r="A302" s="491"/>
      <c r="B302" s="499" t="s">
        <v>445</v>
      </c>
      <c r="C302" s="535">
        <v>26.2395</v>
      </c>
      <c r="D302" s="535">
        <v>26239.5</v>
      </c>
      <c r="E302" s="494">
        <v>15319</v>
      </c>
      <c r="F302" s="495">
        <v>4116</v>
      </c>
      <c r="G302" s="471"/>
    </row>
    <row r="303" spans="1:7" x14ac:dyDescent="0.25">
      <c r="A303" s="491"/>
      <c r="B303" s="499" t="s">
        <v>624</v>
      </c>
      <c r="C303" s="535">
        <v>27.007200000000001</v>
      </c>
      <c r="D303" s="535">
        <v>27007.200000000001</v>
      </c>
      <c r="E303" s="494">
        <v>15370</v>
      </c>
      <c r="F303" s="495">
        <v>4116</v>
      </c>
      <c r="G303" s="471"/>
    </row>
    <row r="304" spans="1:7" x14ac:dyDescent="0.25">
      <c r="A304" s="491"/>
      <c r="B304" s="499" t="s">
        <v>643</v>
      </c>
      <c r="C304" s="535">
        <v>447.52120000000002</v>
      </c>
      <c r="D304" s="535">
        <v>447521.2</v>
      </c>
      <c r="E304" s="494">
        <v>15319</v>
      </c>
      <c r="F304" s="495">
        <v>4116</v>
      </c>
      <c r="G304" s="471"/>
    </row>
    <row r="305" spans="1:8" x14ac:dyDescent="0.25">
      <c r="A305" s="491"/>
      <c r="B305" s="499" t="s">
        <v>591</v>
      </c>
      <c r="C305" s="535">
        <v>1290.6467</v>
      </c>
      <c r="D305" s="535">
        <v>1290646.7</v>
      </c>
      <c r="E305" s="494">
        <v>15319</v>
      </c>
      <c r="F305" s="494">
        <v>4116</v>
      </c>
      <c r="G305" s="471"/>
    </row>
    <row r="306" spans="1:8" x14ac:dyDescent="0.25">
      <c r="A306" s="491"/>
      <c r="B306" s="291"/>
      <c r="C306" s="541"/>
      <c r="D306" s="541"/>
      <c r="E306" s="494"/>
      <c r="F306" s="495"/>
      <c r="G306" s="471"/>
    </row>
    <row r="307" spans="1:8" x14ac:dyDescent="0.25">
      <c r="A307" s="491"/>
      <c r="B307" s="492" t="s">
        <v>48</v>
      </c>
      <c r="C307" s="493">
        <f>SUM(C308:C379)</f>
        <v>129571.74773000002</v>
      </c>
      <c r="D307" s="493">
        <f>SUM(D308:D379)</f>
        <v>129571747.73</v>
      </c>
      <c r="E307" s="494"/>
      <c r="F307" s="494"/>
      <c r="G307" s="471"/>
    </row>
    <row r="308" spans="1:8" x14ac:dyDescent="0.25">
      <c r="A308" s="491">
        <v>42046</v>
      </c>
      <c r="B308" s="291" t="s">
        <v>104</v>
      </c>
      <c r="C308" s="541">
        <v>345.49686000000003</v>
      </c>
      <c r="D308" s="541">
        <v>345496.86</v>
      </c>
      <c r="E308" s="494">
        <v>33030</v>
      </c>
      <c r="F308" s="495" t="s">
        <v>49</v>
      </c>
      <c r="G308" s="471"/>
    </row>
    <row r="309" spans="1:8" x14ac:dyDescent="0.25">
      <c r="A309" s="491">
        <v>42096</v>
      </c>
      <c r="B309" s="291" t="s">
        <v>140</v>
      </c>
      <c r="C309" s="541">
        <v>90.980059999999995</v>
      </c>
      <c r="D309" s="541">
        <v>90980.06</v>
      </c>
      <c r="E309" s="494">
        <v>33030</v>
      </c>
      <c r="F309" s="495" t="s">
        <v>49</v>
      </c>
      <c r="G309" s="471"/>
    </row>
    <row r="310" spans="1:8" x14ac:dyDescent="0.25">
      <c r="A310" s="491">
        <v>42118</v>
      </c>
      <c r="B310" s="291" t="s">
        <v>334</v>
      </c>
      <c r="C310" s="541">
        <v>60346.559999999998</v>
      </c>
      <c r="D310" s="541">
        <v>60346560</v>
      </c>
      <c r="E310" s="494">
        <v>13305</v>
      </c>
      <c r="F310" s="495">
        <v>4122</v>
      </c>
      <c r="G310" s="503"/>
      <c r="H310" s="503"/>
    </row>
    <row r="311" spans="1:8" x14ac:dyDescent="0.25">
      <c r="A311" s="491">
        <v>42122</v>
      </c>
      <c r="B311" s="291" t="s">
        <v>150</v>
      </c>
      <c r="C311" s="541">
        <v>341.41081000000003</v>
      </c>
      <c r="D311" s="541">
        <v>341410.81</v>
      </c>
      <c r="E311" s="494">
        <v>33030</v>
      </c>
      <c r="F311" s="495">
        <v>4122</v>
      </c>
      <c r="G311" s="471"/>
    </row>
    <row r="312" spans="1:8" x14ac:dyDescent="0.25">
      <c r="A312" s="491">
        <v>42138</v>
      </c>
      <c r="B312" s="291" t="s">
        <v>181</v>
      </c>
      <c r="C312" s="541">
        <v>41.08</v>
      </c>
      <c r="D312" s="541">
        <v>41080</v>
      </c>
      <c r="E312" s="494">
        <v>14011</v>
      </c>
      <c r="F312" s="495">
        <v>4122</v>
      </c>
      <c r="G312" s="471"/>
    </row>
    <row r="313" spans="1:8" x14ac:dyDescent="0.25">
      <c r="A313" s="491">
        <v>42145</v>
      </c>
      <c r="B313" s="291" t="s">
        <v>200</v>
      </c>
      <c r="C313" s="541">
        <v>8.3298000000000005</v>
      </c>
      <c r="D313" s="541">
        <f>7080.33+1249.47</f>
        <v>8329.7999999999993</v>
      </c>
      <c r="E313" s="494">
        <v>33030</v>
      </c>
      <c r="F313" s="495">
        <v>4122</v>
      </c>
      <c r="G313" s="471"/>
    </row>
    <row r="314" spans="1:8" x14ac:dyDescent="0.25">
      <c r="A314" s="491">
        <v>42145</v>
      </c>
      <c r="B314" s="291" t="s">
        <v>415</v>
      </c>
      <c r="C314" s="541">
        <v>1476.0851600000001</v>
      </c>
      <c r="D314" s="541">
        <f>1254672.38+221412.78</f>
        <v>1476085.16</v>
      </c>
      <c r="E314" s="494">
        <v>33030</v>
      </c>
      <c r="F314" s="495">
        <v>4122</v>
      </c>
      <c r="G314" s="471"/>
    </row>
    <row r="315" spans="1:8" x14ac:dyDescent="0.25">
      <c r="A315" s="491">
        <v>42145</v>
      </c>
      <c r="B315" s="291" t="s">
        <v>202</v>
      </c>
      <c r="C315" s="541">
        <v>452.84152</v>
      </c>
      <c r="D315" s="541">
        <f>384915.29+67926.23</f>
        <v>452841.51999999996</v>
      </c>
      <c r="E315" s="494">
        <v>33030</v>
      </c>
      <c r="F315" s="495">
        <v>4122</v>
      </c>
      <c r="G315" s="471"/>
    </row>
    <row r="316" spans="1:8" x14ac:dyDescent="0.25">
      <c r="A316" s="491">
        <v>42152</v>
      </c>
      <c r="B316" s="291" t="s">
        <v>181</v>
      </c>
      <c r="C316" s="541">
        <v>29.64</v>
      </c>
      <c r="D316" s="541">
        <v>29640</v>
      </c>
      <c r="E316" s="494">
        <v>14011</v>
      </c>
      <c r="F316" s="495">
        <v>4122</v>
      </c>
      <c r="G316" s="471"/>
    </row>
    <row r="317" spans="1:8" x14ac:dyDescent="0.25">
      <c r="A317" s="491">
        <v>42160</v>
      </c>
      <c r="B317" s="291" t="s">
        <v>239</v>
      </c>
      <c r="C317" s="541">
        <v>100</v>
      </c>
      <c r="D317" s="541">
        <v>100000</v>
      </c>
      <c r="E317" s="494">
        <v>539</v>
      </c>
      <c r="F317" s="495">
        <v>4122</v>
      </c>
      <c r="G317" s="471"/>
    </row>
    <row r="318" spans="1:8" x14ac:dyDescent="0.25">
      <c r="A318" s="491">
        <v>42160</v>
      </c>
      <c r="B318" s="291" t="s">
        <v>240</v>
      </c>
      <c r="C318" s="541">
        <v>98</v>
      </c>
      <c r="D318" s="541">
        <v>98000</v>
      </c>
      <c r="E318" s="494">
        <v>539</v>
      </c>
      <c r="F318" s="495">
        <v>4122</v>
      </c>
      <c r="G318" s="471"/>
    </row>
    <row r="319" spans="1:8" x14ac:dyDescent="0.25">
      <c r="A319" s="491">
        <v>42173</v>
      </c>
      <c r="B319" s="291" t="s">
        <v>236</v>
      </c>
      <c r="C319" s="541">
        <v>100</v>
      </c>
      <c r="D319" s="541">
        <v>100000</v>
      </c>
      <c r="E319" s="494">
        <v>539</v>
      </c>
      <c r="F319" s="495">
        <v>4122</v>
      </c>
      <c r="G319" s="471"/>
    </row>
    <row r="320" spans="1:8" x14ac:dyDescent="0.25">
      <c r="A320" s="491">
        <v>42178</v>
      </c>
      <c r="B320" s="291" t="s">
        <v>243</v>
      </c>
      <c r="C320" s="541">
        <v>81.797319999999999</v>
      </c>
      <c r="D320" s="541">
        <f>69527.72+12269.6</f>
        <v>81797.320000000007</v>
      </c>
      <c r="E320" s="494">
        <v>33030</v>
      </c>
      <c r="F320" s="495">
        <v>4122</v>
      </c>
      <c r="G320" s="471"/>
    </row>
    <row r="321" spans="1:7" x14ac:dyDescent="0.25">
      <c r="A321" s="491">
        <v>42181</v>
      </c>
      <c r="B321" s="291" t="s">
        <v>250</v>
      </c>
      <c r="C321" s="541">
        <v>200</v>
      </c>
      <c r="D321" s="541">
        <v>200000</v>
      </c>
      <c r="E321" s="494">
        <v>539</v>
      </c>
      <c r="F321" s="495">
        <v>4122</v>
      </c>
      <c r="G321" s="471"/>
    </row>
    <row r="322" spans="1:7" x14ac:dyDescent="0.25">
      <c r="A322" s="491">
        <v>42181</v>
      </c>
      <c r="B322" s="291" t="s">
        <v>252</v>
      </c>
      <c r="C322" s="541">
        <v>701.62408000000005</v>
      </c>
      <c r="D322" s="541">
        <v>701624.08</v>
      </c>
      <c r="E322" s="494">
        <v>33030</v>
      </c>
      <c r="F322" s="495">
        <v>4122</v>
      </c>
      <c r="G322" s="471"/>
    </row>
    <row r="323" spans="1:7" x14ac:dyDescent="0.25">
      <c r="A323" s="491">
        <v>42181</v>
      </c>
      <c r="B323" s="291" t="s">
        <v>251</v>
      </c>
      <c r="C323" s="541">
        <v>93.395690000000002</v>
      </c>
      <c r="D323" s="541">
        <v>93395.69</v>
      </c>
      <c r="E323" s="494">
        <v>33030</v>
      </c>
      <c r="F323" s="495">
        <v>4122</v>
      </c>
      <c r="G323" s="471"/>
    </row>
    <row r="324" spans="1:7" x14ac:dyDescent="0.25">
      <c r="A324" s="491">
        <v>42181</v>
      </c>
      <c r="B324" s="291" t="s">
        <v>253</v>
      </c>
      <c r="C324" s="541">
        <v>137.19474</v>
      </c>
      <c r="D324" s="541">
        <v>137194.74</v>
      </c>
      <c r="E324" s="494">
        <v>33030</v>
      </c>
      <c r="F324" s="495">
        <v>4122</v>
      </c>
      <c r="G324" s="471"/>
    </row>
    <row r="325" spans="1:7" x14ac:dyDescent="0.25">
      <c r="A325" s="491">
        <v>42184</v>
      </c>
      <c r="B325" s="291" t="s">
        <v>254</v>
      </c>
      <c r="C325" s="541">
        <v>276.28805999999997</v>
      </c>
      <c r="D325" s="541">
        <v>276288.06</v>
      </c>
      <c r="E325" s="494">
        <v>33030</v>
      </c>
      <c r="F325" s="495">
        <v>4122</v>
      </c>
      <c r="G325" s="471"/>
    </row>
    <row r="326" spans="1:7" x14ac:dyDescent="0.25">
      <c r="A326" s="491">
        <v>42184</v>
      </c>
      <c r="B326" s="291" t="s">
        <v>150</v>
      </c>
      <c r="C326" s="541">
        <v>371.08757000000003</v>
      </c>
      <c r="D326" s="541">
        <v>371087.57</v>
      </c>
      <c r="E326" s="494">
        <v>33030</v>
      </c>
      <c r="F326" s="495">
        <v>4122</v>
      </c>
      <c r="G326" s="471"/>
    </row>
    <row r="327" spans="1:7" x14ac:dyDescent="0.25">
      <c r="A327" s="491">
        <v>42184</v>
      </c>
      <c r="B327" s="291" t="s">
        <v>752</v>
      </c>
      <c r="C327" s="541">
        <v>120</v>
      </c>
      <c r="D327" s="541">
        <v>120000</v>
      </c>
      <c r="E327" s="494">
        <v>311</v>
      </c>
      <c r="F327" s="495">
        <v>4122</v>
      </c>
      <c r="G327" s="471"/>
    </row>
    <row r="328" spans="1:7" x14ac:dyDescent="0.25">
      <c r="A328" s="491">
        <v>42184</v>
      </c>
      <c r="B328" s="291" t="s">
        <v>255</v>
      </c>
      <c r="C328" s="541">
        <v>60</v>
      </c>
      <c r="D328" s="541">
        <v>60000</v>
      </c>
      <c r="E328" s="494">
        <v>311</v>
      </c>
      <c r="F328" s="495">
        <v>4122</v>
      </c>
      <c r="G328" s="471"/>
    </row>
    <row r="329" spans="1:7" x14ac:dyDescent="0.25">
      <c r="A329" s="491">
        <v>42187</v>
      </c>
      <c r="B329" s="291" t="s">
        <v>281</v>
      </c>
      <c r="C329" s="541">
        <v>50</v>
      </c>
      <c r="D329" s="541">
        <v>50000</v>
      </c>
      <c r="E329" s="494">
        <v>311</v>
      </c>
      <c r="F329" s="495">
        <v>4122</v>
      </c>
      <c r="G329" s="471"/>
    </row>
    <row r="330" spans="1:7" x14ac:dyDescent="0.25">
      <c r="A330" s="491">
        <v>42187</v>
      </c>
      <c r="B330" s="291" t="s">
        <v>282</v>
      </c>
      <c r="C330" s="541">
        <v>50</v>
      </c>
      <c r="D330" s="541">
        <v>50000</v>
      </c>
      <c r="E330" s="494">
        <v>311</v>
      </c>
      <c r="F330" s="495">
        <v>4122</v>
      </c>
      <c r="G330" s="471"/>
    </row>
    <row r="331" spans="1:7" x14ac:dyDescent="0.25">
      <c r="A331" s="491">
        <v>42192</v>
      </c>
      <c r="B331" s="291" t="s">
        <v>285</v>
      </c>
      <c r="C331" s="541">
        <v>100</v>
      </c>
      <c r="D331" s="541">
        <v>100000</v>
      </c>
      <c r="E331" s="494">
        <v>331</v>
      </c>
      <c r="F331" s="495">
        <v>4122</v>
      </c>
      <c r="G331" s="471"/>
    </row>
    <row r="332" spans="1:7" x14ac:dyDescent="0.25">
      <c r="A332" s="491">
        <v>42192</v>
      </c>
      <c r="B332" s="291" t="s">
        <v>286</v>
      </c>
      <c r="C332" s="541">
        <v>100</v>
      </c>
      <c r="D332" s="541">
        <v>100000</v>
      </c>
      <c r="E332" s="494">
        <v>331</v>
      </c>
      <c r="F332" s="495">
        <v>4122</v>
      </c>
      <c r="G332" s="471"/>
    </row>
    <row r="333" spans="1:7" x14ac:dyDescent="0.25">
      <c r="A333" s="491">
        <v>42192</v>
      </c>
      <c r="B333" s="291" t="s">
        <v>287</v>
      </c>
      <c r="C333" s="541">
        <v>200</v>
      </c>
      <c r="D333" s="541">
        <v>200000</v>
      </c>
      <c r="E333" s="494">
        <v>331</v>
      </c>
      <c r="F333" s="495">
        <v>4122</v>
      </c>
      <c r="G333" s="471"/>
    </row>
    <row r="334" spans="1:7" x14ac:dyDescent="0.25">
      <c r="A334" s="491">
        <v>42192</v>
      </c>
      <c r="B334" s="291" t="s">
        <v>288</v>
      </c>
      <c r="C334" s="541">
        <v>600</v>
      </c>
      <c r="D334" s="541">
        <v>600000</v>
      </c>
      <c r="E334" s="494">
        <v>331</v>
      </c>
      <c r="F334" s="495">
        <v>4122</v>
      </c>
      <c r="G334" s="471"/>
    </row>
    <row r="335" spans="1:7" x14ac:dyDescent="0.25">
      <c r="A335" s="491">
        <v>42192</v>
      </c>
      <c r="B335" s="291" t="s">
        <v>414</v>
      </c>
      <c r="C335" s="541">
        <v>400</v>
      </c>
      <c r="D335" s="541">
        <v>400000</v>
      </c>
      <c r="E335" s="494">
        <v>331</v>
      </c>
      <c r="F335" s="495">
        <v>4122</v>
      </c>
      <c r="G335" s="471"/>
    </row>
    <row r="336" spans="1:7" x14ac:dyDescent="0.25">
      <c r="A336" s="491">
        <v>42192</v>
      </c>
      <c r="B336" s="291" t="s">
        <v>290</v>
      </c>
      <c r="C336" s="541">
        <v>600</v>
      </c>
      <c r="D336" s="541">
        <v>600000</v>
      </c>
      <c r="E336" s="494">
        <v>331</v>
      </c>
      <c r="F336" s="495">
        <v>4122</v>
      </c>
      <c r="G336" s="471"/>
    </row>
    <row r="337" spans="1:8" x14ac:dyDescent="0.25">
      <c r="A337" s="491">
        <v>42192</v>
      </c>
      <c r="B337" s="291" t="s">
        <v>291</v>
      </c>
      <c r="C337" s="541">
        <v>600</v>
      </c>
      <c r="D337" s="541">
        <v>600000</v>
      </c>
      <c r="E337" s="494">
        <v>331</v>
      </c>
      <c r="F337" s="495">
        <v>4122</v>
      </c>
      <c r="G337" s="471"/>
    </row>
    <row r="338" spans="1:8" x14ac:dyDescent="0.25">
      <c r="A338" s="491">
        <v>42192</v>
      </c>
      <c r="B338" s="291" t="s">
        <v>292</v>
      </c>
      <c r="C338" s="541">
        <v>600</v>
      </c>
      <c r="D338" s="541">
        <v>600000</v>
      </c>
      <c r="E338" s="494">
        <v>331</v>
      </c>
      <c r="F338" s="495">
        <v>4122</v>
      </c>
      <c r="G338" s="471"/>
    </row>
    <row r="339" spans="1:8" x14ac:dyDescent="0.25">
      <c r="A339" s="491">
        <v>42192</v>
      </c>
      <c r="B339" s="291" t="s">
        <v>293</v>
      </c>
      <c r="C339" s="541">
        <v>600</v>
      </c>
      <c r="D339" s="541">
        <v>600000</v>
      </c>
      <c r="E339" s="494">
        <v>331</v>
      </c>
      <c r="F339" s="495">
        <v>4122</v>
      </c>
      <c r="G339" s="471"/>
    </row>
    <row r="340" spans="1:8" x14ac:dyDescent="0.25">
      <c r="A340" s="491">
        <v>42213</v>
      </c>
      <c r="B340" s="291" t="s">
        <v>333</v>
      </c>
      <c r="C340" s="541">
        <v>40231.040000000001</v>
      </c>
      <c r="D340" s="541">
        <v>40231040</v>
      </c>
      <c r="E340" s="494">
        <v>13305</v>
      </c>
      <c r="F340" s="495">
        <v>4122</v>
      </c>
      <c r="G340" s="503"/>
      <c r="H340" s="503"/>
    </row>
    <row r="341" spans="1:8" x14ac:dyDescent="0.25">
      <c r="A341" s="491">
        <v>42254</v>
      </c>
      <c r="B341" s="291" t="s">
        <v>432</v>
      </c>
      <c r="C341" s="541">
        <v>15</v>
      </c>
      <c r="D341" s="541">
        <v>15000</v>
      </c>
      <c r="E341" s="494">
        <v>359</v>
      </c>
      <c r="F341" s="495">
        <v>4122</v>
      </c>
      <c r="G341" s="471"/>
    </row>
    <row r="342" spans="1:8" x14ac:dyDescent="0.25">
      <c r="A342" s="491">
        <v>42256</v>
      </c>
      <c r="B342" s="291" t="s">
        <v>420</v>
      </c>
      <c r="C342" s="541">
        <v>60</v>
      </c>
      <c r="D342" s="541">
        <v>60000</v>
      </c>
      <c r="E342" s="494">
        <v>214</v>
      </c>
      <c r="F342" s="495">
        <v>4122</v>
      </c>
      <c r="G342" s="471"/>
    </row>
    <row r="343" spans="1:8" x14ac:dyDescent="0.25">
      <c r="A343" s="491">
        <v>42291</v>
      </c>
      <c r="B343" s="291" t="s">
        <v>532</v>
      </c>
      <c r="C343" s="541">
        <v>37</v>
      </c>
      <c r="D343" s="541">
        <v>37000</v>
      </c>
      <c r="E343" s="494">
        <v>331</v>
      </c>
      <c r="F343" s="495">
        <v>4122</v>
      </c>
      <c r="G343" s="471"/>
    </row>
    <row r="344" spans="1:8" x14ac:dyDescent="0.25">
      <c r="A344" s="491">
        <v>42291</v>
      </c>
      <c r="B344" s="291" t="s">
        <v>533</v>
      </c>
      <c r="C344" s="541">
        <v>61</v>
      </c>
      <c r="D344" s="541">
        <v>61000</v>
      </c>
      <c r="E344" s="494">
        <v>331</v>
      </c>
      <c r="F344" s="495">
        <v>4122</v>
      </c>
      <c r="G344" s="471"/>
    </row>
    <row r="345" spans="1:8" x14ac:dyDescent="0.25">
      <c r="A345" s="491">
        <v>42291</v>
      </c>
      <c r="B345" s="291" t="s">
        <v>534</v>
      </c>
      <c r="C345" s="541">
        <v>40</v>
      </c>
      <c r="D345" s="541">
        <v>40000</v>
      </c>
      <c r="E345" s="494">
        <v>331</v>
      </c>
      <c r="F345" s="495">
        <v>4122</v>
      </c>
      <c r="G345" s="471"/>
    </row>
    <row r="346" spans="1:8" x14ac:dyDescent="0.25">
      <c r="A346" s="491">
        <v>42291</v>
      </c>
      <c r="B346" s="291" t="s">
        <v>535</v>
      </c>
      <c r="C346" s="541">
        <v>30</v>
      </c>
      <c r="D346" s="541">
        <v>30000</v>
      </c>
      <c r="E346" s="494">
        <v>331</v>
      </c>
      <c r="F346" s="495">
        <v>4122</v>
      </c>
      <c r="G346" s="471"/>
    </row>
    <row r="347" spans="1:8" x14ac:dyDescent="0.25">
      <c r="A347" s="491">
        <v>42318</v>
      </c>
      <c r="B347" s="291" t="s">
        <v>599</v>
      </c>
      <c r="C347" s="541">
        <v>75</v>
      </c>
      <c r="D347" s="541">
        <v>75000</v>
      </c>
      <c r="E347" s="494">
        <v>331</v>
      </c>
      <c r="F347" s="495">
        <v>4122</v>
      </c>
      <c r="G347" s="471"/>
    </row>
    <row r="348" spans="1:8" x14ac:dyDescent="0.25">
      <c r="A348" s="491">
        <v>42331</v>
      </c>
      <c r="B348" s="291" t="s">
        <v>751</v>
      </c>
      <c r="C348" s="541">
        <f>1919.7+1128.5+1862.9+457+543.6+2688.1+431.1+1861.3+451.6+427.8+454.8+912.5+543.6</f>
        <v>13682.5</v>
      </c>
      <c r="D348" s="541">
        <f>11762800+1648000+271700</f>
        <v>13682500</v>
      </c>
      <c r="E348" s="494">
        <v>13305</v>
      </c>
      <c r="F348" s="495">
        <v>4122</v>
      </c>
      <c r="G348" s="503"/>
      <c r="H348" s="503"/>
    </row>
    <row r="349" spans="1:8" x14ac:dyDescent="0.25">
      <c r="A349" s="491">
        <v>42360</v>
      </c>
      <c r="B349" s="291" t="s">
        <v>663</v>
      </c>
      <c r="C349" s="541">
        <v>242</v>
      </c>
      <c r="D349" s="541">
        <v>242000</v>
      </c>
      <c r="E349" s="494">
        <v>331</v>
      </c>
      <c r="F349" s="495">
        <v>4122</v>
      </c>
      <c r="G349" s="503"/>
      <c r="H349" s="503"/>
    </row>
    <row r="350" spans="1:8" x14ac:dyDescent="0.25">
      <c r="A350" s="491">
        <v>42360</v>
      </c>
      <c r="B350" s="291" t="s">
        <v>661</v>
      </c>
      <c r="C350" s="541">
        <v>100</v>
      </c>
      <c r="D350" s="541">
        <v>100000</v>
      </c>
      <c r="E350" s="494">
        <v>331</v>
      </c>
      <c r="F350" s="495">
        <v>4122</v>
      </c>
      <c r="G350" s="503"/>
      <c r="H350" s="503"/>
    </row>
    <row r="351" spans="1:8" x14ac:dyDescent="0.25">
      <c r="A351" s="491">
        <v>42366</v>
      </c>
      <c r="B351" s="291" t="s">
        <v>662</v>
      </c>
      <c r="C351" s="541">
        <v>1000</v>
      </c>
      <c r="D351" s="541">
        <v>1000000</v>
      </c>
      <c r="E351" s="494">
        <v>331</v>
      </c>
      <c r="F351" s="495">
        <v>4122</v>
      </c>
      <c r="G351" s="503"/>
      <c r="H351" s="503"/>
    </row>
    <row r="352" spans="1:8" x14ac:dyDescent="0.25">
      <c r="A352" s="491">
        <v>42356</v>
      </c>
      <c r="B352" s="291" t="s">
        <v>202</v>
      </c>
      <c r="C352" s="541">
        <f>172.92329+30.51588</f>
        <v>203.43917000000002</v>
      </c>
      <c r="D352" s="541">
        <f>172923.29+30515.88</f>
        <v>203439.17</v>
      </c>
      <c r="E352" s="494">
        <v>33030</v>
      </c>
      <c r="F352" s="495">
        <v>4122</v>
      </c>
      <c r="G352" s="503"/>
      <c r="H352" s="503"/>
    </row>
    <row r="353" spans="1:8" x14ac:dyDescent="0.25">
      <c r="A353" s="491">
        <v>42360</v>
      </c>
      <c r="B353" s="291" t="s">
        <v>654</v>
      </c>
      <c r="C353" s="541">
        <v>-55.033000000000001</v>
      </c>
      <c r="D353" s="541">
        <v>-55033</v>
      </c>
      <c r="E353" s="494">
        <v>539</v>
      </c>
      <c r="F353" s="495">
        <v>4122</v>
      </c>
      <c r="G353" s="503"/>
      <c r="H353" s="503"/>
    </row>
    <row r="354" spans="1:8" x14ac:dyDescent="0.25">
      <c r="A354" s="491"/>
      <c r="B354" s="291" t="s">
        <v>309</v>
      </c>
      <c r="C354" s="541">
        <v>50</v>
      </c>
      <c r="D354" s="541">
        <v>50000</v>
      </c>
      <c r="E354" s="494">
        <v>551</v>
      </c>
      <c r="F354" s="495">
        <v>4122</v>
      </c>
      <c r="G354" s="471"/>
      <c r="H354" s="503"/>
    </row>
    <row r="355" spans="1:8" x14ac:dyDescent="0.25">
      <c r="A355" s="491"/>
      <c r="B355" s="291" t="s">
        <v>640</v>
      </c>
      <c r="C355" s="541">
        <v>23.713999999999999</v>
      </c>
      <c r="D355" s="541">
        <v>23714</v>
      </c>
      <c r="E355" s="494">
        <v>14004</v>
      </c>
      <c r="F355" s="495">
        <v>4122</v>
      </c>
      <c r="G355" s="471"/>
      <c r="H355" s="503"/>
    </row>
    <row r="356" spans="1:8" x14ac:dyDescent="0.25">
      <c r="A356" s="491"/>
      <c r="B356" s="291" t="s">
        <v>644</v>
      </c>
      <c r="C356" s="541">
        <v>300</v>
      </c>
      <c r="D356" s="541">
        <v>300000</v>
      </c>
      <c r="E356" s="494">
        <v>374</v>
      </c>
      <c r="F356" s="495">
        <v>4122</v>
      </c>
      <c r="G356" s="503"/>
      <c r="H356" s="503"/>
    </row>
    <row r="357" spans="1:8" x14ac:dyDescent="0.25">
      <c r="A357" s="491"/>
      <c r="B357" s="291" t="s">
        <v>311</v>
      </c>
      <c r="C357" s="541">
        <v>130</v>
      </c>
      <c r="D357" s="541">
        <v>130000</v>
      </c>
      <c r="E357" s="494">
        <v>551</v>
      </c>
      <c r="F357" s="495">
        <v>4122</v>
      </c>
      <c r="G357" s="503"/>
      <c r="H357" s="503"/>
    </row>
    <row r="358" spans="1:8" x14ac:dyDescent="0.25">
      <c r="A358" s="491"/>
      <c r="B358" s="291" t="s">
        <v>625</v>
      </c>
      <c r="C358" s="541">
        <v>7.0039999999999996</v>
      </c>
      <c r="D358" s="541">
        <v>7004</v>
      </c>
      <c r="E358" s="494">
        <v>14004</v>
      </c>
      <c r="F358" s="495">
        <v>4122</v>
      </c>
      <c r="G358" s="503"/>
      <c r="H358" s="503"/>
    </row>
    <row r="359" spans="1:8" x14ac:dyDescent="0.25">
      <c r="A359" s="491"/>
      <c r="B359" s="291" t="s">
        <v>641</v>
      </c>
      <c r="C359" s="541">
        <v>14.084</v>
      </c>
      <c r="D359" s="541">
        <v>14084</v>
      </c>
      <c r="E359" s="494">
        <v>14004</v>
      </c>
      <c r="F359" s="495">
        <v>4122</v>
      </c>
      <c r="G359" s="503"/>
      <c r="H359" s="503"/>
    </row>
    <row r="360" spans="1:8" x14ac:dyDescent="0.25">
      <c r="A360" s="491"/>
      <c r="B360" s="291" t="s">
        <v>589</v>
      </c>
      <c r="C360" s="541">
        <v>50</v>
      </c>
      <c r="D360" s="56">
        <v>50000</v>
      </c>
      <c r="E360" s="494">
        <v>331</v>
      </c>
      <c r="F360" s="495">
        <v>4122</v>
      </c>
      <c r="G360" s="503"/>
      <c r="H360" s="470"/>
    </row>
    <row r="361" spans="1:8" x14ac:dyDescent="0.25">
      <c r="A361" s="491"/>
      <c r="B361" s="291" t="s">
        <v>249</v>
      </c>
      <c r="C361" s="541">
        <v>60</v>
      </c>
      <c r="D361" s="541">
        <v>60000</v>
      </c>
      <c r="E361" s="494">
        <v>539</v>
      </c>
      <c r="F361" s="495">
        <v>4122</v>
      </c>
      <c r="G361" s="471"/>
    </row>
    <row r="362" spans="1:8" x14ac:dyDescent="0.25">
      <c r="A362" s="491"/>
      <c r="B362" s="291" t="s">
        <v>421</v>
      </c>
      <c r="C362" s="541">
        <v>70</v>
      </c>
      <c r="D362" s="541">
        <v>70000</v>
      </c>
      <c r="E362" s="494">
        <v>551</v>
      </c>
      <c r="F362" s="495">
        <v>4122</v>
      </c>
      <c r="G362" s="503"/>
      <c r="H362" s="503"/>
    </row>
    <row r="363" spans="1:8" x14ac:dyDescent="0.25">
      <c r="A363" s="491"/>
      <c r="B363" s="291" t="s">
        <v>69</v>
      </c>
      <c r="C363" s="541">
        <f>674.88547+191.22315+33.74527</f>
        <v>899.85389000000009</v>
      </c>
      <c r="D363" s="541">
        <f>674885.47+224968.42</f>
        <v>899853.89</v>
      </c>
      <c r="E363" s="494">
        <v>33030</v>
      </c>
      <c r="F363" s="495">
        <v>4122</v>
      </c>
      <c r="G363" s="471"/>
    </row>
    <row r="364" spans="1:8" x14ac:dyDescent="0.25">
      <c r="A364" s="491"/>
      <c r="B364" s="291" t="s">
        <v>259</v>
      </c>
      <c r="C364" s="541">
        <v>35</v>
      </c>
      <c r="D364" s="541">
        <v>35000</v>
      </c>
      <c r="E364" s="494">
        <v>539</v>
      </c>
      <c r="F364" s="495">
        <v>4122</v>
      </c>
      <c r="G364" s="471"/>
    </row>
    <row r="365" spans="1:8" x14ac:dyDescent="0.25">
      <c r="A365" s="491"/>
      <c r="B365" s="291" t="s">
        <v>139</v>
      </c>
      <c r="C365" s="541">
        <f>669.36+446.24+138.2</f>
        <v>1253.8</v>
      </c>
      <c r="D365" s="541">
        <f>669360+446240+138200</f>
        <v>1253800</v>
      </c>
      <c r="E365" s="494">
        <v>13305</v>
      </c>
      <c r="F365" s="495">
        <v>4122</v>
      </c>
      <c r="G365" s="471"/>
    </row>
    <row r="366" spans="1:8" x14ac:dyDescent="0.25">
      <c r="A366" s="491"/>
      <c r="B366" s="291" t="s">
        <v>151</v>
      </c>
      <c r="C366" s="541">
        <v>964</v>
      </c>
      <c r="D366" s="541">
        <f>578400+385600</f>
        <v>964000</v>
      </c>
      <c r="E366" s="494">
        <v>13305</v>
      </c>
      <c r="F366" s="495">
        <v>4122</v>
      </c>
      <c r="G366" s="471"/>
    </row>
    <row r="367" spans="1:8" x14ac:dyDescent="0.25">
      <c r="A367" s="491"/>
      <c r="B367" s="291" t="s">
        <v>332</v>
      </c>
      <c r="C367" s="541">
        <v>80</v>
      </c>
      <c r="D367" s="541">
        <v>80000</v>
      </c>
      <c r="E367" s="494">
        <v>551</v>
      </c>
      <c r="F367" s="495">
        <v>4122</v>
      </c>
      <c r="G367" s="503"/>
      <c r="H367" s="503"/>
    </row>
    <row r="368" spans="1:8" x14ac:dyDescent="0.25">
      <c r="A368" s="491"/>
      <c r="B368" s="291" t="s">
        <v>626</v>
      </c>
      <c r="C368" s="541">
        <v>27.533999999999999</v>
      </c>
      <c r="D368" s="541">
        <v>27534</v>
      </c>
      <c r="E368" s="494">
        <v>14004</v>
      </c>
      <c r="F368" s="495">
        <v>4122</v>
      </c>
      <c r="G368" s="503"/>
      <c r="H368" s="503"/>
    </row>
    <row r="369" spans="1:8" x14ac:dyDescent="0.25">
      <c r="A369" s="491"/>
      <c r="B369" s="291" t="s">
        <v>600</v>
      </c>
      <c r="C369" s="541">
        <v>60</v>
      </c>
      <c r="D369" s="541">
        <v>60000</v>
      </c>
      <c r="E369" s="494">
        <v>331</v>
      </c>
      <c r="F369" s="495">
        <v>4122</v>
      </c>
      <c r="G369" s="503"/>
      <c r="H369" s="503"/>
    </row>
    <row r="370" spans="1:8" x14ac:dyDescent="0.25">
      <c r="A370" s="491"/>
      <c r="B370" s="291" t="s">
        <v>304</v>
      </c>
      <c r="C370" s="541">
        <v>55</v>
      </c>
      <c r="D370" s="541">
        <v>55000</v>
      </c>
      <c r="E370" s="494">
        <v>551</v>
      </c>
      <c r="F370" s="495">
        <v>4122</v>
      </c>
      <c r="G370" s="503"/>
      <c r="H370" s="503"/>
    </row>
    <row r="371" spans="1:8" x14ac:dyDescent="0.25">
      <c r="A371" s="491"/>
      <c r="B371" s="291" t="s">
        <v>619</v>
      </c>
      <c r="C371" s="541">
        <v>50</v>
      </c>
      <c r="D371" s="541">
        <v>50000</v>
      </c>
      <c r="E371" s="494">
        <v>331</v>
      </c>
      <c r="F371" s="495">
        <v>4122</v>
      </c>
      <c r="G371" s="503"/>
      <c r="H371" s="503"/>
    </row>
    <row r="372" spans="1:8" x14ac:dyDescent="0.25">
      <c r="A372" s="491"/>
      <c r="B372" s="291" t="s">
        <v>426</v>
      </c>
      <c r="C372" s="541">
        <v>70</v>
      </c>
      <c r="D372" s="541">
        <v>70000</v>
      </c>
      <c r="E372" s="494">
        <v>101</v>
      </c>
      <c r="F372" s="495">
        <v>4122</v>
      </c>
      <c r="G372" s="503"/>
      <c r="H372" s="503"/>
    </row>
    <row r="373" spans="1:8" x14ac:dyDescent="0.25">
      <c r="A373" s="491"/>
      <c r="B373" s="291" t="s">
        <v>627</v>
      </c>
      <c r="C373" s="541">
        <v>25</v>
      </c>
      <c r="D373" s="541">
        <v>25000</v>
      </c>
      <c r="E373" s="494">
        <v>331</v>
      </c>
      <c r="F373" s="495">
        <v>4122</v>
      </c>
      <c r="G373" s="503"/>
      <c r="H373" s="503"/>
    </row>
    <row r="374" spans="1:8" x14ac:dyDescent="0.25">
      <c r="A374" s="491"/>
      <c r="B374" s="291" t="s">
        <v>628</v>
      </c>
      <c r="C374" s="541">
        <v>50</v>
      </c>
      <c r="D374" s="541">
        <v>50000</v>
      </c>
      <c r="E374" s="494">
        <v>331</v>
      </c>
      <c r="F374" s="495">
        <v>4122</v>
      </c>
      <c r="G374" s="503"/>
      <c r="H374" s="503"/>
    </row>
    <row r="375" spans="1:8" x14ac:dyDescent="0.25">
      <c r="A375" s="491"/>
      <c r="B375" s="291" t="s">
        <v>561</v>
      </c>
      <c r="C375" s="541">
        <v>50</v>
      </c>
      <c r="D375" s="541">
        <v>50000</v>
      </c>
      <c r="E375" s="494">
        <v>439</v>
      </c>
      <c r="F375" s="495">
        <v>4122</v>
      </c>
      <c r="G375" s="503"/>
      <c r="H375" s="503"/>
    </row>
    <row r="376" spans="1:8" x14ac:dyDescent="0.25">
      <c r="A376" s="491"/>
      <c r="B376" s="291" t="s">
        <v>331</v>
      </c>
      <c r="C376" s="541">
        <v>90</v>
      </c>
      <c r="D376" s="541">
        <v>90000</v>
      </c>
      <c r="E376" s="494">
        <v>551</v>
      </c>
      <c r="F376" s="495">
        <v>4122</v>
      </c>
      <c r="G376" s="503"/>
      <c r="H376" s="503"/>
    </row>
    <row r="377" spans="1:8" x14ac:dyDescent="0.25">
      <c r="A377" s="491"/>
      <c r="B377" s="291" t="s">
        <v>629</v>
      </c>
      <c r="C377" s="541">
        <v>8</v>
      </c>
      <c r="D377" s="541">
        <v>8000</v>
      </c>
      <c r="E377" s="494">
        <v>14004</v>
      </c>
      <c r="F377" s="495">
        <v>4122</v>
      </c>
      <c r="G377" s="503"/>
      <c r="H377" s="503"/>
    </row>
    <row r="378" spans="1:8" x14ac:dyDescent="0.25">
      <c r="A378" s="491"/>
      <c r="B378" s="291" t="s">
        <v>310</v>
      </c>
      <c r="C378" s="541">
        <v>55</v>
      </c>
      <c r="D378" s="541">
        <v>55000</v>
      </c>
      <c r="E378" s="494">
        <v>551</v>
      </c>
      <c r="F378" s="495">
        <v>4122</v>
      </c>
      <c r="G378" s="503"/>
      <c r="H378" s="503"/>
    </row>
    <row r="379" spans="1:8" x14ac:dyDescent="0.25">
      <c r="A379" s="491"/>
      <c r="B379" s="291"/>
      <c r="C379" s="541"/>
      <c r="D379" s="541"/>
      <c r="E379" s="494"/>
      <c r="F379" s="495"/>
      <c r="G379" s="471"/>
    </row>
    <row r="380" spans="1:8" x14ac:dyDescent="0.25">
      <c r="A380" s="491"/>
      <c r="B380" s="538" t="s">
        <v>50</v>
      </c>
      <c r="C380" s="493">
        <f>+SUM(C381:C384)</f>
        <v>3370.2083499999999</v>
      </c>
      <c r="D380" s="493">
        <f>+SUM(D381:D384)</f>
        <v>3370208.3499999996</v>
      </c>
      <c r="E380" s="494"/>
      <c r="F380" s="495"/>
      <c r="G380" s="471"/>
    </row>
    <row r="381" spans="1:8" x14ac:dyDescent="0.25">
      <c r="A381" s="491">
        <v>42101</v>
      </c>
      <c r="B381" s="291" t="s">
        <v>138</v>
      </c>
      <c r="C381" s="541">
        <v>131.06369000000001</v>
      </c>
      <c r="D381" s="541">
        <v>131063.69</v>
      </c>
      <c r="E381" s="494">
        <v>86005</v>
      </c>
      <c r="F381" s="495">
        <v>4123</v>
      </c>
      <c r="G381" s="471"/>
    </row>
    <row r="382" spans="1:8" x14ac:dyDescent="0.25">
      <c r="A382" s="491">
        <v>42131</v>
      </c>
      <c r="B382" s="291" t="s">
        <v>417</v>
      </c>
      <c r="C382" s="541">
        <v>853.73328000000004</v>
      </c>
      <c r="D382" s="541">
        <v>853733.28</v>
      </c>
      <c r="E382" s="494">
        <v>86005</v>
      </c>
      <c r="F382" s="495">
        <v>4123</v>
      </c>
      <c r="G382" s="471"/>
    </row>
    <row r="383" spans="1:8" x14ac:dyDescent="0.25">
      <c r="A383" s="491">
        <v>42178</v>
      </c>
      <c r="B383" s="291" t="s">
        <v>245</v>
      </c>
      <c r="C383" s="541">
        <v>823.85523999999998</v>
      </c>
      <c r="D383" s="541">
        <v>823855.24</v>
      </c>
      <c r="E383" s="494">
        <v>86005</v>
      </c>
      <c r="F383" s="495">
        <v>4123</v>
      </c>
      <c r="G383" s="471"/>
    </row>
    <row r="384" spans="1:8" x14ac:dyDescent="0.25">
      <c r="A384" s="491">
        <v>42324</v>
      </c>
      <c r="B384" s="291" t="s">
        <v>604</v>
      </c>
      <c r="C384" s="535">
        <v>1561.5561399999999</v>
      </c>
      <c r="D384" s="541">
        <v>1561556.14</v>
      </c>
      <c r="E384" s="494">
        <v>86005</v>
      </c>
      <c r="F384" s="495">
        <v>4123</v>
      </c>
      <c r="G384" s="471"/>
    </row>
    <row r="385" spans="1:7" x14ac:dyDescent="0.25">
      <c r="A385" s="491"/>
      <c r="B385" s="536"/>
      <c r="C385" s="535"/>
      <c r="D385" s="541"/>
      <c r="E385" s="494"/>
      <c r="F385" s="495"/>
      <c r="G385" s="471"/>
    </row>
    <row r="386" spans="1:7" x14ac:dyDescent="0.25">
      <c r="A386" s="491"/>
      <c r="B386" s="292" t="s">
        <v>52</v>
      </c>
      <c r="C386" s="506">
        <f>+SUM(C387:C389)</f>
        <v>2377</v>
      </c>
      <c r="D386" s="506">
        <f>+SUM(D387:D389)</f>
        <v>2400018.1000000006</v>
      </c>
      <c r="E386" s="494"/>
      <c r="F386" s="495"/>
      <c r="G386" s="471"/>
    </row>
    <row r="387" spans="1:7" x14ac:dyDescent="0.25">
      <c r="A387" s="491">
        <v>42075</v>
      </c>
      <c r="B387" s="291" t="s">
        <v>124</v>
      </c>
      <c r="C387" s="541">
        <v>582</v>
      </c>
      <c r="D387" s="541">
        <v>581714.24</v>
      </c>
      <c r="E387" s="494"/>
      <c r="F387" s="495">
        <v>4152</v>
      </c>
      <c r="G387" s="471"/>
    </row>
    <row r="388" spans="1:7" x14ac:dyDescent="0.25">
      <c r="A388" s="491">
        <v>42174</v>
      </c>
      <c r="B388" s="291" t="s">
        <v>244</v>
      </c>
      <c r="C388" s="541">
        <v>1795</v>
      </c>
      <c r="D388" s="541">
        <v>1794728.87</v>
      </c>
      <c r="E388" s="494"/>
      <c r="F388" s="495">
        <v>4152</v>
      </c>
      <c r="G388" s="471"/>
    </row>
    <row r="389" spans="1:7" x14ac:dyDescent="0.25">
      <c r="A389" s="491">
        <v>42233</v>
      </c>
      <c r="B389" s="291" t="s">
        <v>402</v>
      </c>
      <c r="C389" s="541">
        <v>0</v>
      </c>
      <c r="D389" s="541">
        <v>23574.99</v>
      </c>
      <c r="E389" s="494"/>
      <c r="F389" s="495">
        <v>4152</v>
      </c>
      <c r="G389" s="471"/>
    </row>
    <row r="390" spans="1:7" x14ac:dyDescent="0.25">
      <c r="A390" s="504"/>
      <c r="B390" s="483"/>
      <c r="C390" s="505"/>
      <c r="D390" s="429"/>
      <c r="E390" s="501"/>
      <c r="F390" s="544"/>
      <c r="G390" s="471"/>
    </row>
    <row r="391" spans="1:7" ht="15.6" customHeight="1" x14ac:dyDescent="0.25">
      <c r="A391" s="491"/>
      <c r="B391" s="555" t="s">
        <v>53</v>
      </c>
      <c r="C391" s="493">
        <f>+C386+C380+C307+C284+C276+C255+C231+C227+C219+C210+C109+C71+C68+C36+C32+C13+C7</f>
        <v>326829.80862999998</v>
      </c>
      <c r="D391" s="493">
        <f>+D386+D380+D307+D284+D276+D255+D231+D227+D219+D210+D109+D71+D68+D36+D32+D13+D7</f>
        <v>322636678.73000002</v>
      </c>
      <c r="E391" s="556"/>
      <c r="F391" s="501"/>
      <c r="G391" s="471"/>
    </row>
    <row r="392" spans="1:7" ht="16.5" thickBot="1" x14ac:dyDescent="0.3">
      <c r="A392" s="557"/>
      <c r="B392" s="558"/>
      <c r="C392" s="559"/>
      <c r="D392" s="559"/>
      <c r="E392" s="560"/>
      <c r="F392" s="561"/>
      <c r="G392" s="471"/>
    </row>
    <row r="393" spans="1:7" x14ac:dyDescent="0.25">
      <c r="A393" s="562"/>
      <c r="B393" s="483"/>
      <c r="C393" s="563"/>
      <c r="D393" s="563"/>
      <c r="E393" s="564"/>
      <c r="F393" s="564"/>
      <c r="G393" s="471"/>
    </row>
    <row r="394" spans="1:7" ht="16.5" thickBot="1" x14ac:dyDescent="0.3">
      <c r="A394" s="562"/>
      <c r="B394" s="483"/>
      <c r="C394" s="563"/>
      <c r="D394" s="563"/>
      <c r="E394" s="564"/>
      <c r="F394" s="564"/>
      <c r="G394" s="471"/>
    </row>
    <row r="395" spans="1:7" x14ac:dyDescent="0.25">
      <c r="A395" s="690" t="s">
        <v>141</v>
      </c>
      <c r="B395" s="479"/>
      <c r="C395" s="480"/>
      <c r="D395" s="480"/>
      <c r="E395" s="565"/>
      <c r="F395" s="565"/>
      <c r="G395" s="471"/>
    </row>
    <row r="396" spans="1:7" ht="16.5" thickBot="1" x14ac:dyDescent="0.3">
      <c r="A396" s="691"/>
      <c r="B396" s="484" t="s">
        <v>54</v>
      </c>
      <c r="C396" s="485" t="s">
        <v>3</v>
      </c>
      <c r="D396" s="485" t="s">
        <v>4</v>
      </c>
      <c r="E396" s="566" t="s">
        <v>5</v>
      </c>
      <c r="F396" s="566" t="s">
        <v>6</v>
      </c>
      <c r="G396" s="471"/>
    </row>
    <row r="397" spans="1:7" x14ac:dyDescent="0.25">
      <c r="A397" s="491"/>
      <c r="B397" s="492" t="s">
        <v>14</v>
      </c>
      <c r="C397" s="524">
        <f>+SUM(C398:C440)</f>
        <v>4158.3324600000005</v>
      </c>
      <c r="D397" s="524">
        <f>+SUM(D398:D440)</f>
        <v>4158332.4600000004</v>
      </c>
      <c r="E397" s="544"/>
      <c r="F397" s="544"/>
      <c r="G397" s="471"/>
    </row>
    <row r="398" spans="1:7" x14ac:dyDescent="0.25">
      <c r="A398" s="491">
        <v>42069</v>
      </c>
      <c r="B398" s="499" t="s">
        <v>114</v>
      </c>
      <c r="C398" s="529">
        <v>141.55572000000001</v>
      </c>
      <c r="D398" s="505">
        <v>141555.72</v>
      </c>
      <c r="E398" s="544">
        <v>90877</v>
      </c>
      <c r="F398" s="544">
        <v>4213</v>
      </c>
      <c r="G398" s="471"/>
    </row>
    <row r="399" spans="1:7" x14ac:dyDescent="0.25">
      <c r="A399" s="491">
        <v>42114</v>
      </c>
      <c r="B399" s="499" t="s">
        <v>156</v>
      </c>
      <c r="C399" s="529">
        <v>47.117789999999999</v>
      </c>
      <c r="D399" s="505">
        <v>47117.79</v>
      </c>
      <c r="E399" s="544">
        <v>90877</v>
      </c>
      <c r="F399" s="544">
        <v>4213</v>
      </c>
      <c r="G399" s="471"/>
    </row>
    <row r="400" spans="1:7" x14ac:dyDescent="0.25">
      <c r="A400" s="491">
        <v>42142</v>
      </c>
      <c r="B400" s="499" t="s">
        <v>169</v>
      </c>
      <c r="C400" s="529">
        <v>21.145890000000001</v>
      </c>
      <c r="D400" s="505">
        <v>21145.89</v>
      </c>
      <c r="E400" s="544">
        <v>90877</v>
      </c>
      <c r="F400" s="544">
        <v>4213</v>
      </c>
      <c r="G400" s="471"/>
    </row>
    <row r="401" spans="1:7" x14ac:dyDescent="0.25">
      <c r="A401" s="491">
        <v>42150</v>
      </c>
      <c r="B401" s="499" t="s">
        <v>218</v>
      </c>
      <c r="C401" s="529">
        <v>32.193080000000002</v>
      </c>
      <c r="D401" s="505">
        <v>32193.08</v>
      </c>
      <c r="E401" s="544">
        <v>90877</v>
      </c>
      <c r="F401" s="544">
        <v>4213</v>
      </c>
      <c r="G401" s="471"/>
    </row>
    <row r="402" spans="1:7" x14ac:dyDescent="0.25">
      <c r="A402" s="491">
        <v>42150</v>
      </c>
      <c r="B402" s="499" t="s">
        <v>219</v>
      </c>
      <c r="C402" s="529">
        <v>21.296060000000001</v>
      </c>
      <c r="D402" s="505">
        <v>21296.06</v>
      </c>
      <c r="E402" s="544">
        <v>90877</v>
      </c>
      <c r="F402" s="544">
        <v>4213</v>
      </c>
      <c r="G402" s="471"/>
    </row>
    <row r="403" spans="1:7" x14ac:dyDescent="0.25">
      <c r="A403" s="491">
        <v>42167</v>
      </c>
      <c r="B403" s="499" t="s">
        <v>232</v>
      </c>
      <c r="C403" s="529">
        <v>28.64677</v>
      </c>
      <c r="D403" s="505">
        <v>28646.77</v>
      </c>
      <c r="E403" s="544">
        <v>90877</v>
      </c>
      <c r="F403" s="544">
        <v>4213</v>
      </c>
      <c r="G403" s="471"/>
    </row>
    <row r="404" spans="1:7" x14ac:dyDescent="0.25">
      <c r="A404" s="491">
        <v>42199</v>
      </c>
      <c r="B404" s="499" t="s">
        <v>280</v>
      </c>
      <c r="C404" s="529">
        <v>120.05096</v>
      </c>
      <c r="D404" s="505">
        <v>120050.96</v>
      </c>
      <c r="E404" s="544">
        <v>90877</v>
      </c>
      <c r="F404" s="544">
        <v>4213</v>
      </c>
      <c r="G404" s="471"/>
    </row>
    <row r="405" spans="1:7" x14ac:dyDescent="0.25">
      <c r="A405" s="491">
        <v>42195</v>
      </c>
      <c r="B405" s="499" t="s">
        <v>294</v>
      </c>
      <c r="C405" s="529">
        <v>20.106369999999998</v>
      </c>
      <c r="D405" s="505">
        <v>20106.37</v>
      </c>
      <c r="E405" s="544">
        <v>90877</v>
      </c>
      <c r="F405" s="544">
        <v>4213</v>
      </c>
      <c r="G405" s="471"/>
    </row>
    <row r="406" spans="1:7" x14ac:dyDescent="0.25">
      <c r="A406" s="491">
        <v>42205</v>
      </c>
      <c r="B406" s="499" t="s">
        <v>303</v>
      </c>
      <c r="C406" s="529">
        <v>19.5185</v>
      </c>
      <c r="D406" s="505">
        <v>19518.5</v>
      </c>
      <c r="E406" s="544">
        <v>90877</v>
      </c>
      <c r="F406" s="544">
        <v>4213</v>
      </c>
      <c r="G406" s="471"/>
    </row>
    <row r="407" spans="1:7" x14ac:dyDescent="0.25">
      <c r="A407" s="491">
        <v>42209</v>
      </c>
      <c r="B407" s="499" t="s">
        <v>330</v>
      </c>
      <c r="C407" s="529">
        <v>20.354620000000001</v>
      </c>
      <c r="D407" s="505">
        <v>20354.62</v>
      </c>
      <c r="E407" s="544">
        <v>90877</v>
      </c>
      <c r="F407" s="544">
        <v>4213</v>
      </c>
      <c r="G407" s="471"/>
    </row>
    <row r="408" spans="1:7" x14ac:dyDescent="0.25">
      <c r="A408" s="491">
        <v>42220</v>
      </c>
      <c r="B408" s="499" t="s">
        <v>343</v>
      </c>
      <c r="C408" s="529">
        <v>72.443290000000005</v>
      </c>
      <c r="D408" s="505">
        <v>72443.289999999994</v>
      </c>
      <c r="E408" s="544">
        <v>90877</v>
      </c>
      <c r="F408" s="544">
        <v>4213</v>
      </c>
      <c r="G408" s="471"/>
    </row>
    <row r="409" spans="1:7" x14ac:dyDescent="0.25">
      <c r="A409" s="491">
        <v>42222</v>
      </c>
      <c r="B409" s="499" t="s">
        <v>368</v>
      </c>
      <c r="C409" s="529">
        <v>214.12066999999999</v>
      </c>
      <c r="D409" s="505">
        <v>214120.67</v>
      </c>
      <c r="E409" s="544">
        <v>90877</v>
      </c>
      <c r="F409" s="544">
        <v>4213</v>
      </c>
      <c r="G409" s="471"/>
    </row>
    <row r="410" spans="1:7" x14ac:dyDescent="0.25">
      <c r="A410" s="491">
        <v>42226</v>
      </c>
      <c r="B410" s="499" t="s">
        <v>218</v>
      </c>
      <c r="C410" s="529">
        <v>7.7073600000000004</v>
      </c>
      <c r="D410" s="505">
        <v>7707.36</v>
      </c>
      <c r="E410" s="544">
        <v>90877</v>
      </c>
      <c r="F410" s="544">
        <v>4213</v>
      </c>
      <c r="G410" s="471"/>
    </row>
    <row r="411" spans="1:7" x14ac:dyDescent="0.25">
      <c r="A411" s="491">
        <v>42251</v>
      </c>
      <c r="B411" s="499" t="s">
        <v>330</v>
      </c>
      <c r="C411" s="505">
        <v>0.30249999999999999</v>
      </c>
      <c r="D411" s="505">
        <v>302.5</v>
      </c>
      <c r="E411" s="544">
        <v>90877</v>
      </c>
      <c r="F411" s="544">
        <v>4213</v>
      </c>
      <c r="G411" s="471"/>
    </row>
    <row r="412" spans="1:7" x14ac:dyDescent="0.25">
      <c r="A412" s="491">
        <v>42283</v>
      </c>
      <c r="B412" s="499" t="s">
        <v>232</v>
      </c>
      <c r="C412" s="505">
        <v>0.30249999999999999</v>
      </c>
      <c r="D412" s="505">
        <v>302.5</v>
      </c>
      <c r="E412" s="544">
        <v>90877</v>
      </c>
      <c r="F412" s="544">
        <v>4213</v>
      </c>
      <c r="G412" s="471"/>
    </row>
    <row r="413" spans="1:7" x14ac:dyDescent="0.25">
      <c r="A413" s="491">
        <v>42283</v>
      </c>
      <c r="B413" s="499" t="s">
        <v>536</v>
      </c>
      <c r="C413" s="505">
        <v>10.69867</v>
      </c>
      <c r="D413" s="505">
        <v>10698.67</v>
      </c>
      <c r="E413" s="544">
        <v>90877</v>
      </c>
      <c r="F413" s="544">
        <v>4213</v>
      </c>
      <c r="G413" s="471"/>
    </row>
    <row r="414" spans="1:7" x14ac:dyDescent="0.25">
      <c r="A414" s="491">
        <v>42334</v>
      </c>
      <c r="B414" s="499" t="s">
        <v>686</v>
      </c>
      <c r="C414" s="505">
        <v>26.439350000000001</v>
      </c>
      <c r="D414" s="505">
        <v>26439.35</v>
      </c>
      <c r="E414" s="544">
        <v>90877</v>
      </c>
      <c r="F414" s="544">
        <v>4213</v>
      </c>
      <c r="G414" s="471"/>
    </row>
    <row r="415" spans="1:7" x14ac:dyDescent="0.25">
      <c r="A415" s="491">
        <v>42335</v>
      </c>
      <c r="B415" s="499" t="s">
        <v>616</v>
      </c>
      <c r="C415" s="505">
        <v>113.10644000000001</v>
      </c>
      <c r="D415" s="505">
        <v>113106.44</v>
      </c>
      <c r="E415" s="544">
        <v>90877</v>
      </c>
      <c r="F415" s="544">
        <v>4213</v>
      </c>
      <c r="G415" s="471"/>
    </row>
    <row r="416" spans="1:7" x14ac:dyDescent="0.25">
      <c r="A416" s="491">
        <v>42349</v>
      </c>
      <c r="B416" s="499" t="s">
        <v>671</v>
      </c>
      <c r="C416" s="505">
        <v>33.109760000000001</v>
      </c>
      <c r="D416" s="505">
        <v>33109.760000000002</v>
      </c>
      <c r="E416" s="544">
        <v>90877</v>
      </c>
      <c r="F416" s="544">
        <v>4213</v>
      </c>
      <c r="G416" s="471"/>
    </row>
    <row r="417" spans="1:7" x14ac:dyDescent="0.25">
      <c r="A417" s="491">
        <v>42354</v>
      </c>
      <c r="B417" s="499" t="s">
        <v>655</v>
      </c>
      <c r="C417" s="505">
        <v>101.94318</v>
      </c>
      <c r="D417" s="505">
        <v>101943.18</v>
      </c>
      <c r="E417" s="544">
        <v>90877</v>
      </c>
      <c r="F417" s="544">
        <v>4213</v>
      </c>
      <c r="G417" s="471"/>
    </row>
    <row r="418" spans="1:7" x14ac:dyDescent="0.25">
      <c r="A418" s="491">
        <v>42354</v>
      </c>
      <c r="B418" s="499" t="s">
        <v>656</v>
      </c>
      <c r="C418" s="505">
        <v>151.29542000000001</v>
      </c>
      <c r="D418" s="505">
        <v>151295.42000000001</v>
      </c>
      <c r="E418" s="544">
        <v>90877</v>
      </c>
      <c r="F418" s="544">
        <v>4213</v>
      </c>
      <c r="G418" s="471"/>
    </row>
    <row r="419" spans="1:7" x14ac:dyDescent="0.25">
      <c r="A419" s="491">
        <v>42354</v>
      </c>
      <c r="B419" s="499" t="s">
        <v>657</v>
      </c>
      <c r="C419" s="505">
        <v>99.361320000000006</v>
      </c>
      <c r="D419" s="505">
        <v>99361.32</v>
      </c>
      <c r="E419" s="544">
        <v>90877</v>
      </c>
      <c r="F419" s="544">
        <v>4213</v>
      </c>
      <c r="G419" s="471"/>
    </row>
    <row r="420" spans="1:7" x14ac:dyDescent="0.25">
      <c r="A420" s="491">
        <v>42354</v>
      </c>
      <c r="B420" s="499" t="s">
        <v>667</v>
      </c>
      <c r="C420" s="505">
        <v>61.886699999999998</v>
      </c>
      <c r="D420" s="505">
        <v>61886.7</v>
      </c>
      <c r="E420" s="544">
        <v>90877</v>
      </c>
      <c r="F420" s="544">
        <v>4213</v>
      </c>
      <c r="G420" s="471"/>
    </row>
    <row r="421" spans="1:7" x14ac:dyDescent="0.25">
      <c r="A421" s="491">
        <v>42354</v>
      </c>
      <c r="B421" s="499" t="s">
        <v>668</v>
      </c>
      <c r="C421" s="505">
        <v>206.00523999999999</v>
      </c>
      <c r="D421" s="505">
        <v>206005.24</v>
      </c>
      <c r="E421" s="544">
        <v>90877</v>
      </c>
      <c r="F421" s="544">
        <v>4213</v>
      </c>
      <c r="G421" s="471"/>
    </row>
    <row r="422" spans="1:7" x14ac:dyDescent="0.25">
      <c r="A422" s="491">
        <v>42356</v>
      </c>
      <c r="B422" s="499" t="s">
        <v>669</v>
      </c>
      <c r="C422" s="505">
        <v>375.35138999999998</v>
      </c>
      <c r="D422" s="505">
        <v>375351.39</v>
      </c>
      <c r="E422" s="544">
        <v>90877</v>
      </c>
      <c r="F422" s="544">
        <v>4213</v>
      </c>
      <c r="G422" s="471"/>
    </row>
    <row r="423" spans="1:7" x14ac:dyDescent="0.25">
      <c r="A423" s="491">
        <v>42356</v>
      </c>
      <c r="B423" s="499" t="s">
        <v>631</v>
      </c>
      <c r="C423" s="505">
        <v>144.53725</v>
      </c>
      <c r="D423" s="505">
        <v>144537.25</v>
      </c>
      <c r="E423" s="544">
        <v>90877</v>
      </c>
      <c r="F423" s="544">
        <v>4213</v>
      </c>
      <c r="G423" s="471"/>
    </row>
    <row r="424" spans="1:7" x14ac:dyDescent="0.25">
      <c r="A424" s="491"/>
      <c r="B424" s="499" t="s">
        <v>501</v>
      </c>
      <c r="C424" s="505">
        <v>125.34887000000001</v>
      </c>
      <c r="D424" s="505">
        <f>105331.32+20017.55</f>
        <v>125348.87000000001</v>
      </c>
      <c r="E424" s="544">
        <v>90877</v>
      </c>
      <c r="F424" s="544">
        <v>4213</v>
      </c>
      <c r="G424" s="503"/>
    </row>
    <row r="425" spans="1:7" x14ac:dyDescent="0.25">
      <c r="A425" s="491"/>
      <c r="B425" s="499" t="s">
        <v>121</v>
      </c>
      <c r="C425" s="505">
        <v>0.97499999999999998</v>
      </c>
      <c r="D425" s="505">
        <v>975</v>
      </c>
      <c r="E425" s="544">
        <v>90877</v>
      </c>
      <c r="F425" s="544">
        <v>4213</v>
      </c>
      <c r="G425" s="471"/>
    </row>
    <row r="426" spans="1:7" x14ac:dyDescent="0.25">
      <c r="A426" s="491"/>
      <c r="B426" s="499" t="s">
        <v>636</v>
      </c>
      <c r="C426" s="505">
        <v>112.23195</v>
      </c>
      <c r="D426" s="505">
        <v>112231.95</v>
      </c>
      <c r="E426" s="544">
        <v>90877</v>
      </c>
      <c r="F426" s="544">
        <v>4213</v>
      </c>
      <c r="G426" s="471"/>
    </row>
    <row r="427" spans="1:7" x14ac:dyDescent="0.25">
      <c r="A427" s="491"/>
      <c r="B427" s="499" t="s">
        <v>645</v>
      </c>
      <c r="C427" s="505">
        <v>318.23723999999999</v>
      </c>
      <c r="D427" s="505">
        <v>318237.24</v>
      </c>
      <c r="E427" s="544">
        <v>90877</v>
      </c>
      <c r="F427" s="544">
        <v>4213</v>
      </c>
      <c r="G427" s="471"/>
    </row>
    <row r="428" spans="1:7" x14ac:dyDescent="0.25">
      <c r="A428" s="491"/>
      <c r="B428" s="499" t="s">
        <v>502</v>
      </c>
      <c r="C428" s="505">
        <v>1.42302</v>
      </c>
      <c r="D428" s="505">
        <v>1423.02</v>
      </c>
      <c r="E428" s="544">
        <v>90877</v>
      </c>
      <c r="F428" s="544">
        <v>4213</v>
      </c>
      <c r="G428" s="471"/>
    </row>
    <row r="429" spans="1:7" x14ac:dyDescent="0.25">
      <c r="A429" s="491"/>
      <c r="B429" s="499" t="s">
        <v>503</v>
      </c>
      <c r="C429" s="505">
        <f>54.1373+24.18255+17.99265</f>
        <v>96.3125</v>
      </c>
      <c r="D429" s="505">
        <f>54137.3+24182.55+17992.65</f>
        <v>96312.5</v>
      </c>
      <c r="E429" s="544">
        <v>90877</v>
      </c>
      <c r="F429" s="544">
        <v>4213</v>
      </c>
      <c r="G429" s="471"/>
    </row>
    <row r="430" spans="1:7" x14ac:dyDescent="0.25">
      <c r="A430" s="491"/>
      <c r="B430" s="499" t="s">
        <v>110</v>
      </c>
      <c r="C430" s="505">
        <v>392.03399999999999</v>
      </c>
      <c r="D430" s="505">
        <v>392034</v>
      </c>
      <c r="E430" s="544">
        <v>90909</v>
      </c>
      <c r="F430" s="544">
        <v>4213</v>
      </c>
      <c r="G430" s="503"/>
    </row>
    <row r="431" spans="1:7" x14ac:dyDescent="0.25">
      <c r="A431" s="491"/>
      <c r="B431" s="499" t="s">
        <v>538</v>
      </c>
      <c r="C431" s="505">
        <v>53.892980000000001</v>
      </c>
      <c r="D431" s="505">
        <v>53892.98</v>
      </c>
      <c r="E431" s="544">
        <v>90877</v>
      </c>
      <c r="F431" s="544">
        <v>4213</v>
      </c>
      <c r="G431" s="471"/>
    </row>
    <row r="432" spans="1:7" x14ac:dyDescent="0.25">
      <c r="A432" s="491"/>
      <c r="B432" s="499" t="s">
        <v>630</v>
      </c>
      <c r="C432" s="505">
        <v>80.902780000000007</v>
      </c>
      <c r="D432" s="505">
        <v>80902.78</v>
      </c>
      <c r="E432" s="544">
        <v>90877</v>
      </c>
      <c r="F432" s="544">
        <v>4213</v>
      </c>
      <c r="G432" s="471"/>
    </row>
    <row r="433" spans="1:7" x14ac:dyDescent="0.25">
      <c r="A433" s="491"/>
      <c r="B433" s="499" t="s">
        <v>284</v>
      </c>
      <c r="C433" s="505">
        <f>277.85216+324.51602+77.37282</f>
        <v>679.7410000000001</v>
      </c>
      <c r="D433" s="505">
        <f>217082.01+60770.15+324516.02+77372.82</f>
        <v>679741</v>
      </c>
      <c r="E433" s="544">
        <v>90877</v>
      </c>
      <c r="F433" s="544">
        <v>4213</v>
      </c>
      <c r="G433" s="471"/>
    </row>
    <row r="434" spans="1:7" x14ac:dyDescent="0.25">
      <c r="A434" s="491"/>
      <c r="B434" s="499" t="s">
        <v>499</v>
      </c>
      <c r="C434" s="505">
        <v>0.30249999999999999</v>
      </c>
      <c r="D434" s="505">
        <v>302.5</v>
      </c>
      <c r="E434" s="544">
        <v>90877</v>
      </c>
      <c r="F434" s="544">
        <v>4213</v>
      </c>
      <c r="G434" s="471"/>
    </row>
    <row r="435" spans="1:7" x14ac:dyDescent="0.25">
      <c r="A435" s="491"/>
      <c r="B435" s="499" t="s">
        <v>360</v>
      </c>
      <c r="C435" s="505">
        <v>9.3895999999999997</v>
      </c>
      <c r="D435" s="505">
        <v>9389.6</v>
      </c>
      <c r="E435" s="544">
        <v>90877</v>
      </c>
      <c r="F435" s="544">
        <v>4213</v>
      </c>
      <c r="G435" s="471"/>
    </row>
    <row r="436" spans="1:7" x14ac:dyDescent="0.25">
      <c r="A436" s="491"/>
      <c r="B436" s="499" t="s">
        <v>228</v>
      </c>
      <c r="C436" s="505">
        <v>2.125</v>
      </c>
      <c r="D436" s="505">
        <v>2125</v>
      </c>
      <c r="E436" s="544">
        <v>90877</v>
      </c>
      <c r="F436" s="544">
        <v>4213</v>
      </c>
      <c r="G436" s="471"/>
    </row>
    <row r="437" spans="1:7" x14ac:dyDescent="0.25">
      <c r="A437" s="491"/>
      <c r="B437" s="499" t="s">
        <v>230</v>
      </c>
      <c r="C437" s="505">
        <v>3.4999799999999999</v>
      </c>
      <c r="D437" s="505">
        <v>3499.98</v>
      </c>
      <c r="E437" s="544">
        <v>90877</v>
      </c>
      <c r="F437" s="544">
        <v>4213</v>
      </c>
      <c r="G437" s="471"/>
    </row>
    <row r="438" spans="1:7" x14ac:dyDescent="0.25">
      <c r="A438" s="491"/>
      <c r="B438" s="499" t="s">
        <v>504</v>
      </c>
      <c r="C438" s="505">
        <v>77.736059999999995</v>
      </c>
      <c r="D438" s="505">
        <v>77736.06</v>
      </c>
      <c r="E438" s="544">
        <v>90877</v>
      </c>
      <c r="F438" s="544">
        <v>4213</v>
      </c>
      <c r="G438" s="503"/>
    </row>
    <row r="439" spans="1:7" x14ac:dyDescent="0.25">
      <c r="A439" s="491"/>
      <c r="B439" s="499" t="s">
        <v>608</v>
      </c>
      <c r="C439" s="505">
        <v>68.21302</v>
      </c>
      <c r="D439" s="505">
        <v>68213.02</v>
      </c>
      <c r="E439" s="544">
        <v>90877</v>
      </c>
      <c r="F439" s="544">
        <v>4213</v>
      </c>
      <c r="G439" s="503"/>
    </row>
    <row r="440" spans="1:7" x14ac:dyDescent="0.25">
      <c r="A440" s="491"/>
      <c r="B440" s="499" t="s">
        <v>642</v>
      </c>
      <c r="C440" s="505">
        <v>45.370159999999998</v>
      </c>
      <c r="D440" s="505">
        <v>45370.16</v>
      </c>
      <c r="E440" s="544">
        <v>90877</v>
      </c>
      <c r="F440" s="544">
        <v>4213</v>
      </c>
      <c r="G440" s="471"/>
    </row>
    <row r="441" spans="1:7" x14ac:dyDescent="0.25">
      <c r="A441" s="491"/>
      <c r="B441" s="568"/>
      <c r="C441" s="505"/>
      <c r="D441" s="505"/>
      <c r="E441" s="544"/>
      <c r="F441" s="544"/>
      <c r="G441" s="471"/>
    </row>
    <row r="442" spans="1:7" x14ac:dyDescent="0.25">
      <c r="A442" s="491"/>
      <c r="B442" s="568"/>
      <c r="C442" s="505"/>
      <c r="D442" s="505"/>
      <c r="E442" s="544"/>
      <c r="F442" s="544"/>
      <c r="G442" s="471"/>
    </row>
    <row r="443" spans="1:7" x14ac:dyDescent="0.25">
      <c r="A443" s="491"/>
      <c r="B443" s="523" t="s">
        <v>33</v>
      </c>
      <c r="C443" s="524">
        <f>+C444</f>
        <v>100</v>
      </c>
      <c r="D443" s="524">
        <f>+D444</f>
        <v>100000</v>
      </c>
      <c r="E443" s="544"/>
      <c r="F443" s="544"/>
      <c r="G443" s="471"/>
    </row>
    <row r="444" spans="1:7" x14ac:dyDescent="0.25">
      <c r="A444" s="491">
        <v>42244</v>
      </c>
      <c r="B444" s="522" t="s">
        <v>322</v>
      </c>
      <c r="C444" s="505">
        <v>100</v>
      </c>
      <c r="D444" s="505">
        <v>100000</v>
      </c>
      <c r="E444" s="544">
        <v>34941</v>
      </c>
      <c r="F444" s="544">
        <v>4216</v>
      </c>
      <c r="G444" s="471"/>
    </row>
    <row r="445" spans="1:7" x14ac:dyDescent="0.25">
      <c r="A445" s="491"/>
      <c r="B445" s="522"/>
      <c r="C445" s="505"/>
      <c r="D445" s="524"/>
      <c r="E445" s="544"/>
      <c r="F445" s="544"/>
      <c r="G445" s="471"/>
    </row>
    <row r="446" spans="1:7" x14ac:dyDescent="0.25">
      <c r="A446" s="491"/>
      <c r="B446" s="492" t="s">
        <v>45</v>
      </c>
      <c r="C446" s="524">
        <f>+SUM(C447:C504)</f>
        <v>83541.812479999964</v>
      </c>
      <c r="D446" s="524">
        <f>+SUM(D447:D504)</f>
        <v>83541812.480000019</v>
      </c>
      <c r="E446" s="544"/>
      <c r="F446" s="544"/>
      <c r="G446" s="471"/>
    </row>
    <row r="447" spans="1:7" x14ac:dyDescent="0.25">
      <c r="A447" s="491">
        <v>42114</v>
      </c>
      <c r="B447" s="499" t="s">
        <v>156</v>
      </c>
      <c r="C447" s="529">
        <v>801.00243</v>
      </c>
      <c r="D447" s="505">
        <v>801002.43</v>
      </c>
      <c r="E447" s="544">
        <v>15827</v>
      </c>
      <c r="F447" s="544">
        <v>4216</v>
      </c>
      <c r="G447" s="471"/>
    </row>
    <row r="448" spans="1:7" x14ac:dyDescent="0.25">
      <c r="A448" s="491">
        <v>42139</v>
      </c>
      <c r="B448" s="499" t="s">
        <v>169</v>
      </c>
      <c r="C448" s="529">
        <v>359.48018999999999</v>
      </c>
      <c r="D448" s="505">
        <v>359480.19</v>
      </c>
      <c r="E448" s="544">
        <v>15835</v>
      </c>
      <c r="F448" s="544">
        <v>4216</v>
      </c>
      <c r="G448" s="471"/>
    </row>
    <row r="449" spans="1:7" x14ac:dyDescent="0.25">
      <c r="A449" s="491">
        <v>42150</v>
      </c>
      <c r="B449" s="499" t="s">
        <v>218</v>
      </c>
      <c r="C449" s="529">
        <v>547.28240000000005</v>
      </c>
      <c r="D449" s="505">
        <v>547282.4</v>
      </c>
      <c r="E449" s="544">
        <v>15835</v>
      </c>
      <c r="F449" s="544">
        <v>4216</v>
      </c>
      <c r="G449" s="679"/>
    </row>
    <row r="450" spans="1:7" x14ac:dyDescent="0.25">
      <c r="A450" s="491">
        <v>42150</v>
      </c>
      <c r="B450" s="499" t="s">
        <v>219</v>
      </c>
      <c r="C450" s="529">
        <v>362.03313000000003</v>
      </c>
      <c r="D450" s="505">
        <v>362033.13</v>
      </c>
      <c r="E450" s="544">
        <v>15835</v>
      </c>
      <c r="F450" s="544">
        <v>4216</v>
      </c>
      <c r="G450" s="679"/>
    </row>
    <row r="451" spans="1:7" x14ac:dyDescent="0.25">
      <c r="A451" s="491">
        <v>42167</v>
      </c>
      <c r="B451" s="499" t="s">
        <v>232</v>
      </c>
      <c r="C451" s="529">
        <v>486.99520000000001</v>
      </c>
      <c r="D451" s="505">
        <v>486995.20000000001</v>
      </c>
      <c r="E451" s="544">
        <v>15835</v>
      </c>
      <c r="F451" s="544">
        <v>4216</v>
      </c>
      <c r="G451" s="679"/>
    </row>
    <row r="452" spans="1:7" x14ac:dyDescent="0.25">
      <c r="A452" s="491">
        <v>42198</v>
      </c>
      <c r="B452" s="499" t="s">
        <v>280</v>
      </c>
      <c r="C452" s="529">
        <v>2040.8663899999999</v>
      </c>
      <c r="D452" s="505">
        <v>2040866.39</v>
      </c>
      <c r="E452" s="544">
        <v>15835</v>
      </c>
      <c r="F452" s="544">
        <v>4216</v>
      </c>
      <c r="G452" s="679"/>
    </row>
    <row r="453" spans="1:7" x14ac:dyDescent="0.25">
      <c r="A453" s="491">
        <v>42194</v>
      </c>
      <c r="B453" s="499" t="s">
        <v>294</v>
      </c>
      <c r="C453" s="529">
        <v>341.80831999999998</v>
      </c>
      <c r="D453" s="505">
        <v>341808.32</v>
      </c>
      <c r="E453" s="544">
        <v>15835</v>
      </c>
      <c r="F453" s="544">
        <v>4216</v>
      </c>
      <c r="G453" s="679"/>
    </row>
    <row r="454" spans="1:7" x14ac:dyDescent="0.25">
      <c r="A454" s="491">
        <v>42205</v>
      </c>
      <c r="B454" s="499" t="s">
        <v>303</v>
      </c>
      <c r="C454" s="529">
        <v>331.81452999999999</v>
      </c>
      <c r="D454" s="505">
        <v>331814.53000000003</v>
      </c>
      <c r="E454" s="544">
        <v>15835</v>
      </c>
      <c r="F454" s="544">
        <v>4216</v>
      </c>
      <c r="G454" s="471"/>
    </row>
    <row r="455" spans="1:7" x14ac:dyDescent="0.25">
      <c r="A455" s="491">
        <v>42209</v>
      </c>
      <c r="B455" s="499" t="s">
        <v>329</v>
      </c>
      <c r="C455" s="529">
        <v>346.02866999999998</v>
      </c>
      <c r="D455" s="505">
        <v>346028.67</v>
      </c>
      <c r="E455" s="544">
        <v>15835</v>
      </c>
      <c r="F455" s="544">
        <v>4216</v>
      </c>
      <c r="G455" s="471"/>
    </row>
    <row r="456" spans="1:7" x14ac:dyDescent="0.25">
      <c r="A456" s="491">
        <v>42220</v>
      </c>
      <c r="B456" s="499" t="s">
        <v>343</v>
      </c>
      <c r="C456" s="529">
        <v>1231.53595</v>
      </c>
      <c r="D456" s="505">
        <v>1231535.95</v>
      </c>
      <c r="E456" s="544">
        <v>15835</v>
      </c>
      <c r="F456" s="544">
        <v>4216</v>
      </c>
      <c r="G456" s="471"/>
    </row>
    <row r="457" spans="1:7" x14ac:dyDescent="0.25">
      <c r="A457" s="491">
        <v>42222</v>
      </c>
      <c r="B457" s="499" t="s">
        <v>368</v>
      </c>
      <c r="C457" s="529">
        <v>3640.0515500000001</v>
      </c>
      <c r="D457" s="505">
        <v>3640051.55</v>
      </c>
      <c r="E457" s="544">
        <v>15835</v>
      </c>
      <c r="F457" s="544">
        <v>4216</v>
      </c>
      <c r="G457" s="471"/>
    </row>
    <row r="458" spans="1:7" x14ac:dyDescent="0.25">
      <c r="A458" s="491">
        <v>42223</v>
      </c>
      <c r="B458" s="499" t="s">
        <v>218</v>
      </c>
      <c r="C458" s="529">
        <v>131.02522999999999</v>
      </c>
      <c r="D458" s="505">
        <v>131025.23</v>
      </c>
      <c r="E458" s="544">
        <v>15835</v>
      </c>
      <c r="F458" s="544">
        <v>4216</v>
      </c>
      <c r="G458" s="471"/>
    </row>
    <row r="459" spans="1:7" x14ac:dyDescent="0.25">
      <c r="A459" s="491">
        <v>42251</v>
      </c>
      <c r="B459" s="499" t="s">
        <v>329</v>
      </c>
      <c r="C459" s="529">
        <v>5.1425000000000001</v>
      </c>
      <c r="D459" s="505">
        <v>5142.5</v>
      </c>
      <c r="E459" s="544">
        <v>15835</v>
      </c>
      <c r="F459" s="544">
        <v>4216</v>
      </c>
      <c r="G459" s="471"/>
    </row>
    <row r="460" spans="1:7" x14ac:dyDescent="0.25">
      <c r="A460" s="491">
        <v>42279</v>
      </c>
      <c r="B460" s="499" t="s">
        <v>232</v>
      </c>
      <c r="C460" s="529">
        <v>5.1425000000000001</v>
      </c>
      <c r="D460" s="505">
        <v>5142.5</v>
      </c>
      <c r="E460" s="544">
        <v>15835</v>
      </c>
      <c r="F460" s="544">
        <v>4216</v>
      </c>
      <c r="G460" s="471"/>
    </row>
    <row r="461" spans="1:7" x14ac:dyDescent="0.25">
      <c r="A461" s="491">
        <v>42279</v>
      </c>
      <c r="B461" s="499" t="s">
        <v>536</v>
      </c>
      <c r="C461" s="529">
        <v>181.87738999999999</v>
      </c>
      <c r="D461" s="505">
        <v>181877.39</v>
      </c>
      <c r="E461" s="544">
        <v>15835</v>
      </c>
      <c r="F461" s="544">
        <v>4216</v>
      </c>
      <c r="G461" s="471"/>
    </row>
    <row r="462" spans="1:7" x14ac:dyDescent="0.25">
      <c r="A462" s="491">
        <v>42285</v>
      </c>
      <c r="B462" s="499" t="s">
        <v>537</v>
      </c>
      <c r="C462" s="529">
        <v>381.30919999999998</v>
      </c>
      <c r="D462" s="505">
        <v>381309.2</v>
      </c>
      <c r="E462" s="544">
        <v>15828</v>
      </c>
      <c r="F462" s="544">
        <v>4216</v>
      </c>
      <c r="G462" s="471"/>
    </row>
    <row r="463" spans="1:7" x14ac:dyDescent="0.25">
      <c r="A463" s="491">
        <v>42285</v>
      </c>
      <c r="B463" s="499" t="s">
        <v>537</v>
      </c>
      <c r="C463" s="529">
        <v>6482.2565699999996</v>
      </c>
      <c r="D463" s="505">
        <v>6482256.5700000003</v>
      </c>
      <c r="E463" s="544">
        <v>15829</v>
      </c>
      <c r="F463" s="544">
        <v>4216</v>
      </c>
      <c r="G463" s="471"/>
    </row>
    <row r="464" spans="1:7" x14ac:dyDescent="0.25">
      <c r="A464" s="491">
        <v>42334</v>
      </c>
      <c r="B464" s="499" t="s">
        <v>686</v>
      </c>
      <c r="C464" s="529">
        <v>449.47395</v>
      </c>
      <c r="D464" s="505">
        <v>449473.95</v>
      </c>
      <c r="E464" s="544">
        <v>15827</v>
      </c>
      <c r="F464" s="544">
        <v>4216</v>
      </c>
      <c r="G464" s="471"/>
    </row>
    <row r="465" spans="1:7" x14ac:dyDescent="0.25">
      <c r="A465" s="491">
        <v>42335</v>
      </c>
      <c r="B465" s="499" t="s">
        <v>616</v>
      </c>
      <c r="C465" s="529">
        <v>1922.80963</v>
      </c>
      <c r="D465" s="505">
        <v>1922809.63</v>
      </c>
      <c r="E465" s="544">
        <v>15827</v>
      </c>
      <c r="F465" s="544">
        <v>4216</v>
      </c>
      <c r="G465" s="471"/>
    </row>
    <row r="466" spans="1:7" x14ac:dyDescent="0.25">
      <c r="A466" s="491">
        <v>42349</v>
      </c>
      <c r="B466" s="499" t="s">
        <v>671</v>
      </c>
      <c r="C466" s="529">
        <v>463.53671000000003</v>
      </c>
      <c r="D466" s="505">
        <v>463536.71</v>
      </c>
      <c r="E466" s="544">
        <v>15827</v>
      </c>
      <c r="F466" s="544">
        <v>4216</v>
      </c>
      <c r="G466" s="471"/>
    </row>
    <row r="467" spans="1:7" x14ac:dyDescent="0.25">
      <c r="A467" s="491">
        <v>42354</v>
      </c>
      <c r="B467" s="505" t="s">
        <v>655</v>
      </c>
      <c r="C467" s="505">
        <v>1733.0340799999999</v>
      </c>
      <c r="D467" s="505">
        <v>1733034.08</v>
      </c>
      <c r="E467" s="544">
        <v>15835</v>
      </c>
      <c r="F467" s="544">
        <v>4216</v>
      </c>
      <c r="G467" s="471"/>
    </row>
    <row r="468" spans="1:7" x14ac:dyDescent="0.25">
      <c r="A468" s="491">
        <v>42354</v>
      </c>
      <c r="B468" s="505" t="s">
        <v>656</v>
      </c>
      <c r="C468" s="505">
        <v>2572.0222399999998</v>
      </c>
      <c r="D468" s="505">
        <v>2572022.2400000002</v>
      </c>
      <c r="E468" s="544">
        <v>15835</v>
      </c>
      <c r="F468" s="544">
        <v>4216</v>
      </c>
      <c r="G468" s="471"/>
    </row>
    <row r="469" spans="1:7" x14ac:dyDescent="0.25">
      <c r="A469" s="491">
        <v>42354</v>
      </c>
      <c r="B469" s="505" t="s">
        <v>657</v>
      </c>
      <c r="C469" s="505">
        <v>1689.14258</v>
      </c>
      <c r="D469" s="505">
        <v>1689142.58</v>
      </c>
      <c r="E469" s="544">
        <v>15835</v>
      </c>
      <c r="F469" s="544">
        <v>4216</v>
      </c>
      <c r="G469" s="471"/>
    </row>
    <row r="470" spans="1:7" x14ac:dyDescent="0.25">
      <c r="A470" s="491">
        <v>42354</v>
      </c>
      <c r="B470" s="499" t="s">
        <v>537</v>
      </c>
      <c r="C470" s="529">
        <v>81.832679999999996</v>
      </c>
      <c r="D470" s="505">
        <v>81832.679999999993</v>
      </c>
      <c r="E470" s="544">
        <v>15828</v>
      </c>
      <c r="F470" s="544">
        <v>4216</v>
      </c>
      <c r="G470" s="471"/>
    </row>
    <row r="471" spans="1:7" x14ac:dyDescent="0.25">
      <c r="A471" s="491">
        <v>42354</v>
      </c>
      <c r="B471" s="499" t="s">
        <v>537</v>
      </c>
      <c r="C471" s="529">
        <v>1391.1556800000001</v>
      </c>
      <c r="D471" s="505">
        <v>1391155.68</v>
      </c>
      <c r="E471" s="544">
        <v>15829</v>
      </c>
      <c r="F471" s="544">
        <v>4216</v>
      </c>
      <c r="G471" s="471"/>
    </row>
    <row r="472" spans="1:7" x14ac:dyDescent="0.25">
      <c r="A472" s="491">
        <v>42354</v>
      </c>
      <c r="B472" s="505" t="s">
        <v>665</v>
      </c>
      <c r="C472" s="529">
        <v>42.706600000000002</v>
      </c>
      <c r="D472" s="505">
        <v>42706.6</v>
      </c>
      <c r="E472" s="544">
        <v>15835</v>
      </c>
      <c r="F472" s="544">
        <v>4216</v>
      </c>
      <c r="G472" s="471"/>
    </row>
    <row r="473" spans="1:7" x14ac:dyDescent="0.25">
      <c r="A473" s="491">
        <v>42354</v>
      </c>
      <c r="B473" s="505" t="s">
        <v>666</v>
      </c>
      <c r="C473" s="529">
        <v>1274.1558600000001</v>
      </c>
      <c r="D473" s="505">
        <v>1274155.8600000001</v>
      </c>
      <c r="E473" s="544">
        <v>15835</v>
      </c>
      <c r="F473" s="544">
        <v>4216</v>
      </c>
      <c r="G473" s="471"/>
    </row>
    <row r="474" spans="1:7" x14ac:dyDescent="0.25">
      <c r="A474" s="491">
        <v>42356</v>
      </c>
      <c r="B474" s="505" t="s">
        <v>631</v>
      </c>
      <c r="C474" s="529">
        <v>2457.1332499999999</v>
      </c>
      <c r="D474" s="505">
        <v>2457133.25</v>
      </c>
      <c r="E474" s="544">
        <v>15835</v>
      </c>
      <c r="F474" s="544">
        <v>4216</v>
      </c>
      <c r="G474" s="471"/>
    </row>
    <row r="475" spans="1:7" x14ac:dyDescent="0.25">
      <c r="A475" s="491">
        <v>42354</v>
      </c>
      <c r="B475" s="505" t="s">
        <v>667</v>
      </c>
      <c r="C475" s="529">
        <v>1052.0739000000001</v>
      </c>
      <c r="D475" s="505">
        <v>1052073.8999999999</v>
      </c>
      <c r="E475" s="544">
        <v>15835</v>
      </c>
      <c r="F475" s="544">
        <v>4216</v>
      </c>
      <c r="G475" s="471"/>
    </row>
    <row r="476" spans="1:7" x14ac:dyDescent="0.25">
      <c r="A476" s="491">
        <v>42354</v>
      </c>
      <c r="B476" s="505" t="s">
        <v>668</v>
      </c>
      <c r="C476" s="529">
        <v>3502.0890899999999</v>
      </c>
      <c r="D476" s="505">
        <v>3502089.09</v>
      </c>
      <c r="E476" s="544">
        <v>15835</v>
      </c>
      <c r="F476" s="544">
        <v>4216</v>
      </c>
      <c r="G476" s="471"/>
    </row>
    <row r="477" spans="1:7" x14ac:dyDescent="0.25">
      <c r="A477" s="491">
        <v>42355</v>
      </c>
      <c r="B477" s="505" t="s">
        <v>670</v>
      </c>
      <c r="C477" s="529">
        <v>6380.9737100000002</v>
      </c>
      <c r="D477" s="505">
        <v>6380973.71</v>
      </c>
      <c r="E477" s="544">
        <v>15835</v>
      </c>
      <c r="F477" s="544">
        <v>4216</v>
      </c>
      <c r="G477" s="471"/>
    </row>
    <row r="478" spans="1:7" x14ac:dyDescent="0.25">
      <c r="A478" s="491"/>
      <c r="B478" s="499" t="s">
        <v>501</v>
      </c>
      <c r="C478" s="505">
        <v>2130.9309899999998</v>
      </c>
      <c r="D478" s="505">
        <f>1790632.56+340298.43</f>
        <v>2130930.9900000002</v>
      </c>
      <c r="E478" s="544">
        <v>15835</v>
      </c>
      <c r="F478" s="544">
        <v>4216</v>
      </c>
      <c r="G478" s="503"/>
    </row>
    <row r="479" spans="1:7" x14ac:dyDescent="0.25">
      <c r="A479" s="491"/>
      <c r="B479" s="499" t="s">
        <v>121</v>
      </c>
      <c r="C479" s="505">
        <v>16.574999999999999</v>
      </c>
      <c r="D479" s="505">
        <v>16575</v>
      </c>
      <c r="E479" s="544">
        <v>15835</v>
      </c>
      <c r="F479" s="544">
        <v>4216</v>
      </c>
      <c r="G479" s="471"/>
    </row>
    <row r="480" spans="1:7" x14ac:dyDescent="0.25">
      <c r="A480" s="491"/>
      <c r="B480" s="499" t="s">
        <v>636</v>
      </c>
      <c r="C480" s="505">
        <v>1907.9431500000001</v>
      </c>
      <c r="D480" s="505">
        <v>1907943.15</v>
      </c>
      <c r="E480" s="544">
        <v>15835</v>
      </c>
      <c r="F480" s="544">
        <v>4216</v>
      </c>
      <c r="G480" s="471"/>
    </row>
    <row r="481" spans="1:7" x14ac:dyDescent="0.25">
      <c r="A481" s="491"/>
      <c r="B481" s="499" t="s">
        <v>502</v>
      </c>
      <c r="C481" s="505">
        <v>24.19134</v>
      </c>
      <c r="D481" s="505">
        <v>24191.34</v>
      </c>
      <c r="E481" s="544">
        <v>15835</v>
      </c>
      <c r="F481" s="544">
        <v>4216</v>
      </c>
      <c r="G481" s="471"/>
    </row>
    <row r="482" spans="1:7" x14ac:dyDescent="0.25">
      <c r="A482" s="491"/>
      <c r="B482" s="499" t="s">
        <v>503</v>
      </c>
      <c r="C482" s="505">
        <f>920.3341+411.10335+305.87505</f>
        <v>1637.3125</v>
      </c>
      <c r="D482" s="505">
        <f>920334.1+411103.35+305875.05</f>
        <v>1637312.5</v>
      </c>
      <c r="E482" s="544">
        <v>15835</v>
      </c>
      <c r="F482" s="544">
        <v>4216</v>
      </c>
      <c r="G482" s="471"/>
    </row>
    <row r="483" spans="1:7" x14ac:dyDescent="0.25">
      <c r="A483" s="491"/>
      <c r="B483" s="499" t="s">
        <v>595</v>
      </c>
      <c r="C483" s="505">
        <f>98.82238+19.7342</f>
        <v>118.55658</v>
      </c>
      <c r="D483" s="505">
        <f>98822.38+19734.2</f>
        <v>118556.58</v>
      </c>
      <c r="E483" s="544">
        <v>15828</v>
      </c>
      <c r="F483" s="544">
        <v>4216</v>
      </c>
      <c r="G483" s="471"/>
    </row>
    <row r="484" spans="1:7" x14ac:dyDescent="0.25">
      <c r="A484" s="491"/>
      <c r="B484" s="499" t="s">
        <v>595</v>
      </c>
      <c r="C484" s="505">
        <f>1679.98046+335.4814</f>
        <v>2015.4618599999999</v>
      </c>
      <c r="D484" s="505">
        <f>1679980.46+335481.4</f>
        <v>2015461.8599999999</v>
      </c>
      <c r="E484" s="544">
        <v>15829</v>
      </c>
      <c r="F484" s="544">
        <v>4216</v>
      </c>
      <c r="G484" s="471"/>
    </row>
    <row r="485" spans="1:7" x14ac:dyDescent="0.25">
      <c r="A485" s="491"/>
      <c r="B485" s="499" t="s">
        <v>596</v>
      </c>
      <c r="C485" s="505">
        <f>78.1042+15.58288</f>
        <v>93.687080000000009</v>
      </c>
      <c r="D485" s="505">
        <f>78104.2+15582.88</f>
        <v>93687.08</v>
      </c>
      <c r="E485" s="544">
        <v>15828</v>
      </c>
      <c r="F485" s="544">
        <v>4216</v>
      </c>
      <c r="G485" s="471"/>
    </row>
    <row r="486" spans="1:7" x14ac:dyDescent="0.25">
      <c r="A486" s="491"/>
      <c r="B486" s="499" t="s">
        <v>596</v>
      </c>
      <c r="C486" s="505">
        <f>1327.7714+264.90899</f>
        <v>1592.68039</v>
      </c>
      <c r="D486" s="505">
        <f>1327771.4+264908.99</f>
        <v>1592680.39</v>
      </c>
      <c r="E486" s="544">
        <v>15829</v>
      </c>
      <c r="F486" s="544">
        <v>4216</v>
      </c>
      <c r="G486" s="471"/>
    </row>
    <row r="487" spans="1:7" x14ac:dyDescent="0.25">
      <c r="A487" s="491"/>
      <c r="B487" s="499" t="s">
        <v>645</v>
      </c>
      <c r="C487" s="505">
        <v>5410.0392700000002</v>
      </c>
      <c r="D487" s="505">
        <v>5410039.2699999996</v>
      </c>
      <c r="E487" s="544">
        <v>15835</v>
      </c>
      <c r="F487" s="544">
        <v>4216</v>
      </c>
      <c r="G487" s="471"/>
    </row>
    <row r="488" spans="1:7" x14ac:dyDescent="0.25">
      <c r="A488" s="491"/>
      <c r="B488" s="499" t="s">
        <v>624</v>
      </c>
      <c r="C488" s="505">
        <v>3741.9147899999998</v>
      </c>
      <c r="D488" s="505">
        <v>3741914.79</v>
      </c>
      <c r="E488" s="544">
        <v>15835</v>
      </c>
      <c r="F488" s="544">
        <v>4216</v>
      </c>
      <c r="G488" s="471"/>
    </row>
    <row r="489" spans="1:7" x14ac:dyDescent="0.25">
      <c r="A489" s="491"/>
      <c r="B489" s="499" t="s">
        <v>538</v>
      </c>
      <c r="C489" s="505">
        <v>808.39481999999998</v>
      </c>
      <c r="D489" s="505">
        <v>808394.82</v>
      </c>
      <c r="E489" s="544">
        <v>15827</v>
      </c>
      <c r="F489" s="544">
        <v>4216</v>
      </c>
      <c r="G489" s="471"/>
    </row>
    <row r="490" spans="1:7" x14ac:dyDescent="0.25">
      <c r="A490" s="491"/>
      <c r="B490" s="499" t="s">
        <v>630</v>
      </c>
      <c r="C490" s="505">
        <v>1375.3473100000001</v>
      </c>
      <c r="D490" s="505">
        <v>1375347.31</v>
      </c>
      <c r="E490" s="544">
        <v>15835</v>
      </c>
      <c r="F490" s="544">
        <v>4216</v>
      </c>
      <c r="G490" s="471"/>
    </row>
    <row r="491" spans="1:7" x14ac:dyDescent="0.25">
      <c r="A491" s="491"/>
      <c r="B491" s="499" t="s">
        <v>284</v>
      </c>
      <c r="C491" s="505">
        <f>4723.48694+5516.77245+1315.34061</f>
        <v>11555.599999999999</v>
      </c>
      <c r="D491" s="505">
        <f>3690394.27+1033092.67+5516772.45+1315340.61</f>
        <v>11555600</v>
      </c>
      <c r="E491" s="544">
        <v>15835</v>
      </c>
      <c r="F491" s="544">
        <v>4216</v>
      </c>
      <c r="G491" s="503"/>
    </row>
    <row r="492" spans="1:7" x14ac:dyDescent="0.25">
      <c r="A492" s="491"/>
      <c r="B492" s="499" t="s">
        <v>637</v>
      </c>
      <c r="C492" s="505">
        <v>94.424949999999995</v>
      </c>
      <c r="D492" s="505">
        <v>94424.95</v>
      </c>
      <c r="E492" s="544">
        <v>15828</v>
      </c>
      <c r="F492" s="544">
        <v>4216</v>
      </c>
      <c r="G492" s="503"/>
    </row>
    <row r="493" spans="1:7" x14ac:dyDescent="0.25">
      <c r="A493" s="491"/>
      <c r="B493" s="499" t="s">
        <v>637</v>
      </c>
      <c r="C493" s="505">
        <v>1605.22415</v>
      </c>
      <c r="D493" s="505">
        <v>1605224.15</v>
      </c>
      <c r="E493" s="544">
        <v>15829</v>
      </c>
      <c r="F493" s="544">
        <v>4216</v>
      </c>
      <c r="G493" s="503"/>
    </row>
    <row r="494" spans="1:7" x14ac:dyDescent="0.25">
      <c r="A494" s="491"/>
      <c r="B494" s="499" t="s">
        <v>638</v>
      </c>
      <c r="C494" s="505">
        <v>91.780799999999999</v>
      </c>
      <c r="D494" s="505">
        <v>91780.800000000003</v>
      </c>
      <c r="E494" s="544">
        <v>15828</v>
      </c>
      <c r="F494" s="544">
        <v>4216</v>
      </c>
      <c r="G494" s="503"/>
    </row>
    <row r="495" spans="1:7" x14ac:dyDescent="0.25">
      <c r="A495" s="491"/>
      <c r="B495" s="499" t="s">
        <v>638</v>
      </c>
      <c r="C495" s="505">
        <v>1560.2736</v>
      </c>
      <c r="D495" s="505">
        <v>1560273.6</v>
      </c>
      <c r="E495" s="544">
        <v>15829</v>
      </c>
      <c r="F495" s="544">
        <v>4216</v>
      </c>
      <c r="G495" s="503"/>
    </row>
    <row r="496" spans="1:7" x14ac:dyDescent="0.25">
      <c r="A496" s="491"/>
      <c r="B496" s="499" t="s">
        <v>639</v>
      </c>
      <c r="C496" s="505">
        <v>94.275679999999994</v>
      </c>
      <c r="D496" s="505">
        <v>94275.68</v>
      </c>
      <c r="E496" s="544">
        <v>15828</v>
      </c>
      <c r="F496" s="544">
        <v>4216</v>
      </c>
      <c r="G496" s="503"/>
    </row>
    <row r="497" spans="1:7" x14ac:dyDescent="0.25">
      <c r="A497" s="491"/>
      <c r="B497" s="499" t="s">
        <v>639</v>
      </c>
      <c r="C497" s="505">
        <v>1602.68685</v>
      </c>
      <c r="D497" s="505">
        <v>1602686.85</v>
      </c>
      <c r="E497" s="544">
        <v>15829</v>
      </c>
      <c r="F497" s="544">
        <v>4216</v>
      </c>
      <c r="G497" s="503"/>
    </row>
    <row r="498" spans="1:7" x14ac:dyDescent="0.25">
      <c r="A498" s="491"/>
      <c r="B498" s="499" t="s">
        <v>499</v>
      </c>
      <c r="C498" s="505">
        <v>5.1425000000000001</v>
      </c>
      <c r="D498" s="505">
        <v>5142.5</v>
      </c>
      <c r="E498" s="544">
        <v>15835</v>
      </c>
      <c r="F498" s="544">
        <v>4216</v>
      </c>
      <c r="G498" s="503"/>
    </row>
    <row r="499" spans="1:7" x14ac:dyDescent="0.25">
      <c r="A499" s="491"/>
      <c r="B499" s="499" t="s">
        <v>360</v>
      </c>
      <c r="C499" s="505">
        <v>159.6232</v>
      </c>
      <c r="D499" s="505">
        <v>159623.20000000001</v>
      </c>
      <c r="E499" s="544">
        <v>15835</v>
      </c>
      <c r="F499" s="544">
        <v>4216</v>
      </c>
      <c r="G499" s="471"/>
    </row>
    <row r="500" spans="1:7" x14ac:dyDescent="0.25">
      <c r="A500" s="491"/>
      <c r="B500" s="499" t="s">
        <v>228</v>
      </c>
      <c r="C500" s="505">
        <v>36.125</v>
      </c>
      <c r="D500" s="505">
        <v>36125</v>
      </c>
      <c r="E500" s="544">
        <v>15835</v>
      </c>
      <c r="F500" s="544">
        <v>4216</v>
      </c>
      <c r="G500" s="471"/>
    </row>
    <row r="501" spans="1:7" x14ac:dyDescent="0.25">
      <c r="A501" s="491"/>
      <c r="B501" s="499" t="s">
        <v>230</v>
      </c>
      <c r="C501" s="505">
        <v>59.499980000000001</v>
      </c>
      <c r="D501" s="505">
        <v>59499.98</v>
      </c>
      <c r="E501" s="544">
        <v>15835</v>
      </c>
      <c r="F501" s="544">
        <v>4216</v>
      </c>
      <c r="G501" s="471"/>
    </row>
    <row r="502" spans="1:7" x14ac:dyDescent="0.25">
      <c r="A502" s="491"/>
      <c r="B502" s="499" t="s">
        <v>504</v>
      </c>
      <c r="C502" s="505">
        <v>1321.5131100000001</v>
      </c>
      <c r="D502" s="505">
        <v>1321513.1100000001</v>
      </c>
      <c r="E502" s="544">
        <v>15835</v>
      </c>
      <c r="F502" s="544">
        <v>4216</v>
      </c>
      <c r="G502" s="503"/>
    </row>
    <row r="503" spans="1:7" x14ac:dyDescent="0.25">
      <c r="A503" s="491"/>
      <c r="B503" s="499" t="s">
        <v>608</v>
      </c>
      <c r="C503" s="529">
        <v>1159.63302</v>
      </c>
      <c r="D503" s="505">
        <v>1159633.02</v>
      </c>
      <c r="E503" s="544">
        <v>15835</v>
      </c>
      <c r="F503" s="544">
        <v>4216</v>
      </c>
      <c r="G503" s="471"/>
    </row>
    <row r="504" spans="1:7" x14ac:dyDescent="0.25">
      <c r="A504" s="491"/>
      <c r="B504" s="499" t="s">
        <v>642</v>
      </c>
      <c r="C504" s="529">
        <v>635.18245000000002</v>
      </c>
      <c r="D504" s="505">
        <v>635182.44999999995</v>
      </c>
      <c r="E504" s="544">
        <v>15827</v>
      </c>
      <c r="F504" s="544">
        <v>4216</v>
      </c>
      <c r="G504" s="471"/>
    </row>
    <row r="505" spans="1:7" x14ac:dyDescent="0.25">
      <c r="A505" s="491"/>
      <c r="B505" s="533"/>
      <c r="C505" s="505"/>
      <c r="D505" s="505"/>
      <c r="E505" s="544"/>
      <c r="F505" s="544"/>
      <c r="G505" s="471"/>
    </row>
    <row r="506" spans="1:7" x14ac:dyDescent="0.25">
      <c r="A506" s="491"/>
      <c r="B506" s="523" t="s">
        <v>91</v>
      </c>
      <c r="C506" s="524">
        <f>+SUM(C507:C512)</f>
        <v>38835.1636</v>
      </c>
      <c r="D506" s="524">
        <f>+SUM(D507:D512)</f>
        <v>38835163.599999994</v>
      </c>
      <c r="E506" s="544"/>
      <c r="F506" s="544"/>
      <c r="G506" s="471"/>
    </row>
    <row r="507" spans="1:7" x14ac:dyDescent="0.25">
      <c r="A507" s="491">
        <v>42034</v>
      </c>
      <c r="B507" s="533" t="s">
        <v>103</v>
      </c>
      <c r="C507" s="505">
        <v>4395.5924400000004</v>
      </c>
      <c r="D507" s="505">
        <v>4395592.4400000004</v>
      </c>
      <c r="E507" s="544">
        <v>17871</v>
      </c>
      <c r="F507" s="544">
        <v>4216</v>
      </c>
      <c r="G507" s="471"/>
    </row>
    <row r="508" spans="1:7" x14ac:dyDescent="0.25">
      <c r="A508" s="491">
        <v>42034</v>
      </c>
      <c r="B508" s="533" t="s">
        <v>103</v>
      </c>
      <c r="C508" s="505">
        <v>775.69277999999997</v>
      </c>
      <c r="D508" s="505">
        <v>775692.78</v>
      </c>
      <c r="E508" s="544">
        <v>17870</v>
      </c>
      <c r="F508" s="544">
        <v>4216</v>
      </c>
      <c r="G508" s="471"/>
    </row>
    <row r="509" spans="1:7" x14ac:dyDescent="0.25">
      <c r="A509" s="491">
        <v>42151</v>
      </c>
      <c r="B509" s="533" t="s">
        <v>220</v>
      </c>
      <c r="C509" s="505">
        <v>22777.845359999999</v>
      </c>
      <c r="D509" s="505">
        <v>22777845.359999999</v>
      </c>
      <c r="E509" s="544">
        <v>17871</v>
      </c>
      <c r="F509" s="544">
        <v>4216</v>
      </c>
      <c r="G509" s="471"/>
    </row>
    <row r="510" spans="1:7" x14ac:dyDescent="0.25">
      <c r="A510" s="491">
        <v>42250</v>
      </c>
      <c r="B510" s="533" t="s">
        <v>419</v>
      </c>
      <c r="C510" s="505">
        <v>1153.07475</v>
      </c>
      <c r="D510" s="505">
        <v>1153074.75</v>
      </c>
      <c r="E510" s="544">
        <v>17870</v>
      </c>
      <c r="F510" s="544">
        <v>4216</v>
      </c>
      <c r="G510" s="471"/>
    </row>
    <row r="511" spans="1:7" x14ac:dyDescent="0.25">
      <c r="A511" s="491">
        <v>42250</v>
      </c>
      <c r="B511" s="533" t="s">
        <v>419</v>
      </c>
      <c r="C511" s="505">
        <v>6534.0902699999997</v>
      </c>
      <c r="D511" s="505">
        <v>6534090.2699999996</v>
      </c>
      <c r="E511" s="544">
        <v>17871</v>
      </c>
      <c r="F511" s="544">
        <v>4216</v>
      </c>
      <c r="G511" s="471"/>
    </row>
    <row r="512" spans="1:7" x14ac:dyDescent="0.25">
      <c r="A512" s="491"/>
      <c r="B512" s="533" t="s">
        <v>541</v>
      </c>
      <c r="C512" s="505">
        <v>3198.8679999999999</v>
      </c>
      <c r="D512" s="505">
        <v>3198868</v>
      </c>
      <c r="E512" s="544">
        <v>17880</v>
      </c>
      <c r="F512" s="544">
        <v>4216</v>
      </c>
      <c r="G512" s="503"/>
    </row>
    <row r="513" spans="1:7" x14ac:dyDescent="0.25">
      <c r="A513" s="491"/>
      <c r="B513" s="533"/>
      <c r="C513" s="505"/>
      <c r="D513" s="505"/>
      <c r="E513" s="544"/>
      <c r="F513" s="544"/>
      <c r="G513" s="471"/>
    </row>
    <row r="514" spans="1:7" x14ac:dyDescent="0.25">
      <c r="A514" s="491"/>
      <c r="B514" s="538" t="s">
        <v>149</v>
      </c>
      <c r="C514" s="524">
        <f>+C515</f>
        <v>450</v>
      </c>
      <c r="D514" s="524">
        <f>+D515</f>
        <v>450000</v>
      </c>
      <c r="E514" s="544"/>
      <c r="F514" s="544"/>
      <c r="G514" s="471"/>
    </row>
    <row r="515" spans="1:7" x14ac:dyDescent="0.25">
      <c r="A515" s="491">
        <v>42121</v>
      </c>
      <c r="B515" s="533" t="s">
        <v>155</v>
      </c>
      <c r="C515" s="505">
        <v>450</v>
      </c>
      <c r="D515" s="505">
        <v>450000</v>
      </c>
      <c r="E515" s="544">
        <v>35674</v>
      </c>
      <c r="F515" s="544">
        <v>4216</v>
      </c>
      <c r="G515" s="471"/>
    </row>
    <row r="516" spans="1:7" x14ac:dyDescent="0.25">
      <c r="A516" s="491"/>
      <c r="B516" s="492"/>
      <c r="C516" s="524"/>
      <c r="D516" s="524"/>
      <c r="E516" s="544"/>
      <c r="F516" s="544"/>
      <c r="G516" s="471"/>
    </row>
    <row r="517" spans="1:7" x14ac:dyDescent="0.25">
      <c r="A517" s="491"/>
      <c r="B517" s="492" t="s">
        <v>48</v>
      </c>
      <c r="C517" s="524">
        <f>SUM(C518:C530)</f>
        <v>6388.9557999999997</v>
      </c>
      <c r="D517" s="524">
        <f>SUM(D518:D530)</f>
        <v>6388955.7999999998</v>
      </c>
      <c r="E517" s="544"/>
      <c r="F517" s="544"/>
      <c r="G517" s="471"/>
    </row>
    <row r="518" spans="1:7" x14ac:dyDescent="0.25">
      <c r="A518" s="491">
        <v>42356</v>
      </c>
      <c r="B518" s="533" t="s">
        <v>202</v>
      </c>
      <c r="C518" s="505">
        <f>186.11243+32.84337</f>
        <v>218.95579999999998</v>
      </c>
      <c r="D518" s="505">
        <f>186112.43+32843.37</f>
        <v>218955.8</v>
      </c>
      <c r="E518" s="544">
        <v>33926</v>
      </c>
      <c r="F518" s="544">
        <v>4222</v>
      </c>
      <c r="G518" s="471"/>
    </row>
    <row r="519" spans="1:7" x14ac:dyDescent="0.25">
      <c r="A519" s="491"/>
      <c r="B519" s="522" t="s">
        <v>308</v>
      </c>
      <c r="C519" s="505">
        <v>200</v>
      </c>
      <c r="D519" s="546">
        <v>200000</v>
      </c>
      <c r="E519" s="544">
        <v>551</v>
      </c>
      <c r="F519" s="544">
        <v>4222</v>
      </c>
      <c r="G519" s="471"/>
    </row>
    <row r="520" spans="1:7" x14ac:dyDescent="0.25">
      <c r="A520" s="491"/>
      <c r="B520" s="522" t="s">
        <v>305</v>
      </c>
      <c r="C520" s="505">
        <v>500</v>
      </c>
      <c r="D520" s="546">
        <v>500000</v>
      </c>
      <c r="E520" s="544">
        <v>551</v>
      </c>
      <c r="F520" s="544">
        <v>4222</v>
      </c>
      <c r="G520" s="471"/>
    </row>
    <row r="521" spans="1:7" x14ac:dyDescent="0.25">
      <c r="A521" s="491"/>
      <c r="B521" s="522" t="s">
        <v>312</v>
      </c>
      <c r="C521" s="505">
        <v>90</v>
      </c>
      <c r="D521" s="546">
        <v>90000</v>
      </c>
      <c r="E521" s="544">
        <v>551</v>
      </c>
      <c r="F521" s="544">
        <v>4222</v>
      </c>
      <c r="G521" s="471"/>
    </row>
    <row r="522" spans="1:7" x14ac:dyDescent="0.25">
      <c r="A522" s="491"/>
      <c r="B522" s="522" t="s">
        <v>676</v>
      </c>
      <c r="C522" s="505">
        <v>1850</v>
      </c>
      <c r="D522" s="546">
        <v>1850000</v>
      </c>
      <c r="E522" s="544">
        <v>341</v>
      </c>
      <c r="F522" s="544">
        <v>4222</v>
      </c>
      <c r="G522" s="528"/>
    </row>
    <row r="523" spans="1:7" x14ac:dyDescent="0.25">
      <c r="A523" s="491"/>
      <c r="B523" s="522" t="s">
        <v>659</v>
      </c>
      <c r="C523" s="505">
        <v>250</v>
      </c>
      <c r="D523" s="546">
        <v>250000</v>
      </c>
      <c r="E523" s="544">
        <v>551</v>
      </c>
      <c r="F523" s="544">
        <v>4222</v>
      </c>
      <c r="G523" s="471"/>
    </row>
    <row r="524" spans="1:7" x14ac:dyDescent="0.25">
      <c r="A524" s="491"/>
      <c r="B524" s="522" t="s">
        <v>658</v>
      </c>
      <c r="C524" s="505">
        <v>500</v>
      </c>
      <c r="D524" s="546">
        <v>500000</v>
      </c>
      <c r="E524" s="544">
        <v>551</v>
      </c>
      <c r="F524" s="544">
        <v>4222</v>
      </c>
      <c r="G524" s="471"/>
    </row>
    <row r="525" spans="1:7" x14ac:dyDescent="0.25">
      <c r="A525" s="491"/>
      <c r="B525" s="522" t="s">
        <v>306</v>
      </c>
      <c r="C525" s="505">
        <v>300</v>
      </c>
      <c r="D525" s="546">
        <v>300000</v>
      </c>
      <c r="E525" s="544">
        <v>551</v>
      </c>
      <c r="F525" s="544">
        <v>4222</v>
      </c>
      <c r="G525" s="471"/>
    </row>
    <row r="526" spans="1:7" x14ac:dyDescent="0.25">
      <c r="A526" s="491"/>
      <c r="B526" s="522" t="s">
        <v>313</v>
      </c>
      <c r="C526" s="505">
        <v>700</v>
      </c>
      <c r="D526" s="546">
        <v>700000</v>
      </c>
      <c r="E526" s="544">
        <v>551</v>
      </c>
      <c r="F526" s="544">
        <v>4222</v>
      </c>
      <c r="G526" s="471"/>
    </row>
    <row r="527" spans="1:7" x14ac:dyDescent="0.25">
      <c r="A527" s="491"/>
      <c r="B527" s="522" t="s">
        <v>506</v>
      </c>
      <c r="C527" s="535">
        <v>30</v>
      </c>
      <c r="D527" s="546">
        <v>30000</v>
      </c>
      <c r="E527" s="544">
        <v>433</v>
      </c>
      <c r="F527" s="544">
        <v>4222</v>
      </c>
      <c r="G527" s="471"/>
    </row>
    <row r="528" spans="1:7" x14ac:dyDescent="0.25">
      <c r="A528" s="491"/>
      <c r="B528" s="522" t="s">
        <v>561</v>
      </c>
      <c r="C528" s="505">
        <v>350</v>
      </c>
      <c r="D528" s="546">
        <v>350000</v>
      </c>
      <c r="E528" s="544">
        <v>439</v>
      </c>
      <c r="F528" s="544">
        <v>4222</v>
      </c>
      <c r="G528" s="528"/>
    </row>
    <row r="529" spans="1:7" x14ac:dyDescent="0.25">
      <c r="A529" s="491"/>
      <c r="B529" s="522" t="s">
        <v>660</v>
      </c>
      <c r="C529" s="505">
        <v>1000</v>
      </c>
      <c r="D529" s="546">
        <v>1000000</v>
      </c>
      <c r="E529" s="544">
        <v>311</v>
      </c>
      <c r="F529" s="544">
        <v>4222</v>
      </c>
      <c r="G529" s="528"/>
    </row>
    <row r="530" spans="1:7" x14ac:dyDescent="0.25">
      <c r="A530" s="491"/>
      <c r="B530" s="522" t="s">
        <v>307</v>
      </c>
      <c r="C530" s="505">
        <v>400</v>
      </c>
      <c r="D530" s="546">
        <v>400000</v>
      </c>
      <c r="E530" s="544">
        <v>551</v>
      </c>
      <c r="F530" s="544">
        <v>4222</v>
      </c>
      <c r="G530" s="471"/>
    </row>
    <row r="531" spans="1:7" x14ac:dyDescent="0.25">
      <c r="A531" s="491"/>
      <c r="B531" s="533"/>
      <c r="C531" s="529"/>
      <c r="D531" s="546"/>
      <c r="E531" s="501"/>
      <c r="F531" s="544"/>
      <c r="G531" s="471"/>
    </row>
    <row r="532" spans="1:7" x14ac:dyDescent="0.25">
      <c r="A532" s="491"/>
      <c r="B532" s="538" t="s">
        <v>50</v>
      </c>
      <c r="C532" s="506">
        <f>+SUM(C533:C551)</f>
        <v>208449.826</v>
      </c>
      <c r="D532" s="506">
        <f>+SUM(D533:D551)</f>
        <v>208449826</v>
      </c>
      <c r="E532" s="544"/>
      <c r="F532" s="544"/>
      <c r="G532" s="471"/>
    </row>
    <row r="533" spans="1:7" x14ac:dyDescent="0.25">
      <c r="A533" s="491">
        <v>42073</v>
      </c>
      <c r="B533" s="533" t="s">
        <v>112</v>
      </c>
      <c r="C533" s="505">
        <v>24568.326000000001</v>
      </c>
      <c r="D533" s="505">
        <v>24568326</v>
      </c>
      <c r="E533" s="544">
        <v>86505</v>
      </c>
      <c r="F533" s="544">
        <v>4223</v>
      </c>
      <c r="G533" s="471"/>
    </row>
    <row r="534" spans="1:7" x14ac:dyDescent="0.25">
      <c r="A534" s="491">
        <v>42073</v>
      </c>
      <c r="B534" s="533" t="s">
        <v>112</v>
      </c>
      <c r="C534" s="505">
        <v>2167.7934799999998</v>
      </c>
      <c r="D534" s="505">
        <v>2167793.48</v>
      </c>
      <c r="E534" s="544">
        <v>86501</v>
      </c>
      <c r="F534" s="544">
        <v>4223</v>
      </c>
      <c r="G534" s="471"/>
    </row>
    <row r="535" spans="1:7" x14ac:dyDescent="0.25">
      <c r="A535" s="491">
        <v>42087</v>
      </c>
      <c r="B535" s="522" t="s">
        <v>123</v>
      </c>
      <c r="C535" s="535">
        <v>17507.565600000002</v>
      </c>
      <c r="D535" s="535">
        <v>17507565.600000001</v>
      </c>
      <c r="E535" s="501">
        <v>86505</v>
      </c>
      <c r="F535" s="544">
        <v>4223</v>
      </c>
      <c r="G535" s="471"/>
    </row>
    <row r="536" spans="1:7" x14ac:dyDescent="0.25">
      <c r="A536" s="491">
        <v>42101</v>
      </c>
      <c r="B536" s="522" t="s">
        <v>138</v>
      </c>
      <c r="C536" s="535">
        <v>3893.92481</v>
      </c>
      <c r="D536" s="535">
        <v>3893924.81</v>
      </c>
      <c r="E536" s="501">
        <v>86505</v>
      </c>
      <c r="F536" s="544">
        <v>4223</v>
      </c>
      <c r="G536" s="471"/>
    </row>
    <row r="537" spans="1:7" x14ac:dyDescent="0.25">
      <c r="A537" s="491">
        <v>42122</v>
      </c>
      <c r="B537" s="522" t="s">
        <v>152</v>
      </c>
      <c r="C537" s="535">
        <v>4191.1944100000001</v>
      </c>
      <c r="D537" s="535">
        <v>4191194.41</v>
      </c>
      <c r="E537" s="501">
        <v>86505</v>
      </c>
      <c r="F537" s="544">
        <v>4223</v>
      </c>
      <c r="G537" s="471"/>
    </row>
    <row r="538" spans="1:7" x14ac:dyDescent="0.25">
      <c r="A538" s="491">
        <v>42143</v>
      </c>
      <c r="B538" s="522" t="s">
        <v>171</v>
      </c>
      <c r="C538" s="535">
        <v>18985.09273</v>
      </c>
      <c r="D538" s="505">
        <v>18985092.73</v>
      </c>
      <c r="E538" s="501">
        <v>86505</v>
      </c>
      <c r="F538" s="544">
        <v>4223</v>
      </c>
      <c r="G538" s="471"/>
    </row>
    <row r="539" spans="1:7" x14ac:dyDescent="0.25">
      <c r="A539" s="491">
        <v>42178</v>
      </c>
      <c r="B539" s="522" t="s">
        <v>245</v>
      </c>
      <c r="C539" s="535">
        <v>10777.64892</v>
      </c>
      <c r="D539" s="505">
        <v>10777648.92</v>
      </c>
      <c r="E539" s="501">
        <v>86505</v>
      </c>
      <c r="F539" s="544">
        <v>4223</v>
      </c>
      <c r="G539" s="471"/>
    </row>
    <row r="540" spans="1:7" x14ac:dyDescent="0.25">
      <c r="A540" s="491">
        <v>42242</v>
      </c>
      <c r="B540" s="522" t="s">
        <v>393</v>
      </c>
      <c r="C540" s="535">
        <v>9577.3184600000004</v>
      </c>
      <c r="D540" s="505">
        <v>9577318.4600000009</v>
      </c>
      <c r="E540" s="501">
        <v>86505</v>
      </c>
      <c r="F540" s="544">
        <v>4223</v>
      </c>
      <c r="G540" s="471"/>
    </row>
    <row r="541" spans="1:7" x14ac:dyDescent="0.25">
      <c r="A541" s="491">
        <v>42290</v>
      </c>
      <c r="B541" s="522" t="s">
        <v>539</v>
      </c>
      <c r="C541" s="535">
        <v>8424.0829799999992</v>
      </c>
      <c r="D541" s="505">
        <v>8424082.9800000004</v>
      </c>
      <c r="E541" s="501">
        <v>86505</v>
      </c>
      <c r="F541" s="544">
        <v>4223</v>
      </c>
      <c r="G541" s="471"/>
    </row>
    <row r="542" spans="1:7" x14ac:dyDescent="0.25">
      <c r="A542" s="491">
        <v>42312</v>
      </c>
      <c r="B542" s="522" t="s">
        <v>602</v>
      </c>
      <c r="C542" s="535">
        <v>9406.7392</v>
      </c>
      <c r="D542" s="505">
        <v>9406739.1999999993</v>
      </c>
      <c r="E542" s="501">
        <v>86505</v>
      </c>
      <c r="F542" s="544">
        <v>4223</v>
      </c>
      <c r="G542" s="471"/>
    </row>
    <row r="543" spans="1:7" x14ac:dyDescent="0.25">
      <c r="A543" s="491">
        <v>42324</v>
      </c>
      <c r="B543" s="522" t="s">
        <v>603</v>
      </c>
      <c r="C543" s="535">
        <v>9908.8551700000007</v>
      </c>
      <c r="D543" s="505">
        <v>9908855.1699999999</v>
      </c>
      <c r="E543" s="501">
        <v>86505</v>
      </c>
      <c r="F543" s="544">
        <v>4223</v>
      </c>
      <c r="G543" s="471"/>
    </row>
    <row r="544" spans="1:7" x14ac:dyDescent="0.25">
      <c r="A544" s="491">
        <v>42324</v>
      </c>
      <c r="B544" s="522" t="s">
        <v>604</v>
      </c>
      <c r="C544" s="535">
        <v>6220.0527199999997</v>
      </c>
      <c r="D544" s="505">
        <v>6220052.7199999997</v>
      </c>
      <c r="E544" s="501">
        <v>86505</v>
      </c>
      <c r="F544" s="544">
        <v>4223</v>
      </c>
      <c r="G544" s="471"/>
    </row>
    <row r="545" spans="1:8" x14ac:dyDescent="0.25">
      <c r="A545" s="491">
        <v>42331</v>
      </c>
      <c r="B545" s="522" t="s">
        <v>609</v>
      </c>
      <c r="C545" s="535">
        <v>51656.28239</v>
      </c>
      <c r="D545" s="505">
        <v>51656282.390000001</v>
      </c>
      <c r="E545" s="501">
        <v>86505</v>
      </c>
      <c r="F545" s="544">
        <v>4223</v>
      </c>
      <c r="G545" s="471"/>
    </row>
    <row r="546" spans="1:8" x14ac:dyDescent="0.25">
      <c r="A546" s="491">
        <v>42348</v>
      </c>
      <c r="B546" s="522" t="s">
        <v>632</v>
      </c>
      <c r="C546" s="535">
        <v>6308.3000700000002</v>
      </c>
      <c r="D546" s="505">
        <v>6308300.0700000003</v>
      </c>
      <c r="E546" s="501">
        <v>86505</v>
      </c>
      <c r="F546" s="544">
        <v>4223</v>
      </c>
      <c r="G546" s="471"/>
    </row>
    <row r="547" spans="1:8" x14ac:dyDescent="0.25">
      <c r="A547" s="491">
        <v>42348</v>
      </c>
      <c r="B547" s="522" t="s">
        <v>635</v>
      </c>
      <c r="C547" s="535">
        <v>7372.81765</v>
      </c>
      <c r="D547" s="505">
        <v>7372817.6500000004</v>
      </c>
      <c r="E547" s="501">
        <v>86505</v>
      </c>
      <c r="F547" s="544">
        <v>4223</v>
      </c>
      <c r="G547" s="471"/>
    </row>
    <row r="548" spans="1:8" x14ac:dyDescent="0.25">
      <c r="A548" s="491"/>
      <c r="B548" s="522" t="s">
        <v>675</v>
      </c>
      <c r="C548" s="535">
        <v>7886.4049199999999</v>
      </c>
      <c r="D548" s="505">
        <v>7886404.9199999999</v>
      </c>
      <c r="E548" s="501">
        <v>86505</v>
      </c>
      <c r="F548" s="544">
        <v>4223</v>
      </c>
      <c r="G548" s="503"/>
    </row>
    <row r="549" spans="1:8" x14ac:dyDescent="0.25">
      <c r="A549" s="491"/>
      <c r="B549" s="522" t="s">
        <v>437</v>
      </c>
      <c r="C549" s="535">
        <v>3985.4986899999999</v>
      </c>
      <c r="D549" s="505">
        <v>3985498.69</v>
      </c>
      <c r="E549" s="501">
        <v>86505</v>
      </c>
      <c r="F549" s="544">
        <v>4223</v>
      </c>
      <c r="G549" s="503"/>
    </row>
    <row r="550" spans="1:8" x14ac:dyDescent="0.25">
      <c r="A550" s="491"/>
      <c r="B550" s="522" t="s">
        <v>262</v>
      </c>
      <c r="C550" s="535">
        <v>5611.9278000000004</v>
      </c>
      <c r="D550" s="505">
        <v>5611927.7999999998</v>
      </c>
      <c r="E550" s="501">
        <v>86505</v>
      </c>
      <c r="F550" s="544">
        <v>4223</v>
      </c>
      <c r="G550" s="503"/>
    </row>
    <row r="551" spans="1:8" x14ac:dyDescent="0.25">
      <c r="A551" s="491"/>
      <c r="B551" s="680"/>
      <c r="C551" s="535"/>
      <c r="D551" s="505"/>
      <c r="E551" s="501"/>
      <c r="F551" s="544"/>
      <c r="G551" s="471"/>
    </row>
    <row r="552" spans="1:8" x14ac:dyDescent="0.25">
      <c r="A552" s="491"/>
      <c r="B552" s="554" t="s">
        <v>52</v>
      </c>
      <c r="C552" s="524">
        <f>+C553</f>
        <v>877</v>
      </c>
      <c r="D552" s="524">
        <f>+D553</f>
        <v>876199.86</v>
      </c>
      <c r="E552" s="501"/>
      <c r="F552" s="544"/>
      <c r="G552" s="471"/>
    </row>
    <row r="553" spans="1:8" x14ac:dyDescent="0.25">
      <c r="A553" s="491">
        <v>42174</v>
      </c>
      <c r="B553" s="522" t="s">
        <v>244</v>
      </c>
      <c r="C553" s="535">
        <v>877</v>
      </c>
      <c r="D553" s="505">
        <v>876199.86</v>
      </c>
      <c r="E553" s="501"/>
      <c r="F553" s="544">
        <v>4232</v>
      </c>
      <c r="G553" s="471"/>
    </row>
    <row r="554" spans="1:8" x14ac:dyDescent="0.25">
      <c r="A554" s="491"/>
      <c r="B554" s="533"/>
      <c r="C554" s="535"/>
      <c r="D554" s="573"/>
      <c r="E554" s="544"/>
      <c r="F554" s="544"/>
    </row>
    <row r="555" spans="1:8" x14ac:dyDescent="0.25">
      <c r="A555" s="491"/>
      <c r="B555" s="555" t="s">
        <v>55</v>
      </c>
      <c r="C555" s="493">
        <f>+C552+C532+C517+C514+C506+C446+C443+C397</f>
        <v>342801.09033999994</v>
      </c>
      <c r="D555" s="493">
        <f>+D552+D532+D517+D514+D506+D446+D443+D397</f>
        <v>342800290.19999999</v>
      </c>
      <c r="E555" s="556"/>
      <c r="F555" s="494"/>
    </row>
    <row r="556" spans="1:8" ht="16.5" thickBot="1" x14ac:dyDescent="0.3">
      <c r="A556" s="557"/>
      <c r="B556" s="558"/>
      <c r="C556" s="559"/>
      <c r="D556" s="559"/>
      <c r="E556" s="560"/>
      <c r="F556" s="560"/>
    </row>
    <row r="558" spans="1:8" ht="16.5" thickBot="1" x14ac:dyDescent="0.3">
      <c r="A558" s="578"/>
      <c r="B558" s="579"/>
      <c r="C558" s="580"/>
      <c r="D558" s="580"/>
      <c r="E558" s="581"/>
      <c r="F558" s="581"/>
    </row>
    <row r="559" spans="1:8" x14ac:dyDescent="0.25">
      <c r="A559" s="584"/>
      <c r="B559" s="585"/>
      <c r="C559" s="586"/>
      <c r="D559" s="480"/>
      <c r="E559" s="587"/>
      <c r="F559" s="588"/>
      <c r="G559" s="589"/>
      <c r="H559" s="470"/>
    </row>
    <row r="560" spans="1:8" ht="16.5" thickBot="1" x14ac:dyDescent="0.3">
      <c r="A560" s="584"/>
      <c r="B560" s="484" t="s">
        <v>56</v>
      </c>
      <c r="C560" s="485" t="s">
        <v>3</v>
      </c>
      <c r="D560" s="485" t="s">
        <v>4</v>
      </c>
      <c r="E560" s="587"/>
      <c r="F560" s="588"/>
      <c r="G560" s="589"/>
      <c r="H560" s="470"/>
    </row>
    <row r="561" spans="1:9" x14ac:dyDescent="0.25">
      <c r="A561" s="584"/>
      <c r="B561" s="590"/>
      <c r="C561" s="591"/>
      <c r="D561" s="592"/>
      <c r="E561" s="587"/>
      <c r="F561" s="588"/>
      <c r="G561" s="589"/>
      <c r="H561" s="470"/>
    </row>
    <row r="562" spans="1:9" x14ac:dyDescent="0.25">
      <c r="A562" s="593"/>
      <c r="B562" s="594" t="s">
        <v>57</v>
      </c>
      <c r="C562" s="595">
        <f>+C391</f>
        <v>326829.80862999998</v>
      </c>
      <c r="D562" s="541">
        <f>+D391</f>
        <v>322636678.73000002</v>
      </c>
      <c r="E562" s="587"/>
      <c r="F562" s="588"/>
      <c r="G562" s="589"/>
      <c r="H562" s="470"/>
    </row>
    <row r="563" spans="1:9" x14ac:dyDescent="0.25">
      <c r="A563" s="593"/>
      <c r="B563" s="594" t="s">
        <v>58</v>
      </c>
      <c r="C563" s="595">
        <f>+C555</f>
        <v>342801.09033999994</v>
      </c>
      <c r="D563" s="595">
        <f>+D555</f>
        <v>342800290.19999999</v>
      </c>
      <c r="E563" s="587"/>
      <c r="F563" s="588"/>
      <c r="G563" s="589"/>
      <c r="H563" s="470"/>
    </row>
    <row r="564" spans="1:9" x14ac:dyDescent="0.25">
      <c r="A564" s="593"/>
      <c r="B564" s="594"/>
      <c r="C564" s="595"/>
      <c r="D564" s="541"/>
      <c r="E564" s="587"/>
      <c r="F564" s="588"/>
      <c r="G564" s="589"/>
      <c r="H564" s="470"/>
    </row>
    <row r="565" spans="1:9" x14ac:dyDescent="0.25">
      <c r="A565" s="593"/>
      <c r="B565" s="597" t="s">
        <v>59</v>
      </c>
      <c r="C565" s="598">
        <f>+C562+C563</f>
        <v>669630.89896999998</v>
      </c>
      <c r="D565" s="493">
        <f>SUM(D562:D563)</f>
        <v>665436968.93000007</v>
      </c>
      <c r="E565" s="587"/>
      <c r="F565" s="588"/>
      <c r="G565" s="471"/>
      <c r="H565" s="470"/>
    </row>
    <row r="566" spans="1:9" ht="16.5" thickBot="1" x14ac:dyDescent="0.3">
      <c r="A566" s="593"/>
      <c r="B566" s="599"/>
      <c r="C566" s="600"/>
      <c r="D566" s="600"/>
      <c r="E566" s="601"/>
      <c r="F566" s="564"/>
      <c r="G566" s="471"/>
      <c r="H566" s="470"/>
    </row>
    <row r="567" spans="1:9" x14ac:dyDescent="0.25">
      <c r="C567" s="603"/>
      <c r="D567" s="604"/>
      <c r="E567" s="478"/>
      <c r="F567" s="574"/>
      <c r="H567" s="470"/>
    </row>
    <row r="568" spans="1:9" x14ac:dyDescent="0.25">
      <c r="B568" s="666"/>
      <c r="C568" s="667"/>
      <c r="D568" s="667"/>
      <c r="E568" s="608"/>
      <c r="F568" s="608"/>
      <c r="H568" s="470"/>
      <c r="I568" s="471" t="s">
        <v>687</v>
      </c>
    </row>
    <row r="569" spans="1:9" x14ac:dyDescent="0.25">
      <c r="B569" s="668"/>
      <c r="C569" s="669"/>
      <c r="E569" s="574"/>
      <c r="F569" s="574"/>
      <c r="G569" s="471"/>
      <c r="H569" s="668"/>
    </row>
    <row r="570" spans="1:9" x14ac:dyDescent="0.25">
      <c r="B570" s="668"/>
      <c r="E570" s="574"/>
      <c r="F570" s="574"/>
      <c r="G570" s="668"/>
    </row>
    <row r="571" spans="1:9" x14ac:dyDescent="0.25">
      <c r="B571" s="668"/>
      <c r="E571" s="574"/>
      <c r="F571" s="574"/>
      <c r="G571" s="471"/>
    </row>
    <row r="572" spans="1:9" x14ac:dyDescent="0.25">
      <c r="B572" s="668"/>
      <c r="E572" s="574"/>
      <c r="F572" s="574"/>
      <c r="G572" s="471"/>
    </row>
    <row r="573" spans="1:9" x14ac:dyDescent="0.25">
      <c r="B573" s="668"/>
      <c r="E573" s="574"/>
      <c r="F573" s="574"/>
      <c r="G573" s="471"/>
    </row>
    <row r="574" spans="1:9" x14ac:dyDescent="0.25">
      <c r="B574" s="668"/>
      <c r="E574" s="574"/>
      <c r="F574" s="574"/>
      <c r="G574" s="471"/>
      <c r="H574" s="668"/>
    </row>
    <row r="575" spans="1:9" x14ac:dyDescent="0.25">
      <c r="B575" s="668"/>
      <c r="E575" s="574"/>
      <c r="F575" s="574"/>
      <c r="G575" s="471"/>
      <c r="H575" s="668"/>
    </row>
    <row r="576" spans="1:9" x14ac:dyDescent="0.25">
      <c r="B576" s="668"/>
      <c r="E576" s="574"/>
      <c r="F576" s="574"/>
      <c r="G576" s="668"/>
      <c r="H576" s="668"/>
    </row>
    <row r="577" spans="2:8" x14ac:dyDescent="0.25">
      <c r="B577" s="668"/>
      <c r="E577" s="574"/>
      <c r="F577" s="574"/>
      <c r="G577" s="471"/>
      <c r="H577" s="668"/>
    </row>
    <row r="578" spans="2:8" x14ac:dyDescent="0.25">
      <c r="B578" s="668"/>
      <c r="E578" s="670"/>
      <c r="F578" s="574"/>
      <c r="G578" s="471"/>
      <c r="H578" s="668"/>
    </row>
    <row r="579" spans="2:8" x14ac:dyDescent="0.25">
      <c r="B579" s="668"/>
      <c r="E579" s="670"/>
      <c r="F579" s="574"/>
      <c r="G579" s="471"/>
      <c r="H579" s="668"/>
    </row>
    <row r="580" spans="2:8" x14ac:dyDescent="0.25">
      <c r="B580" s="668"/>
      <c r="C580" s="669"/>
      <c r="D580" s="669"/>
      <c r="E580" s="670"/>
      <c r="F580" s="574"/>
      <c r="G580" s="471"/>
      <c r="H580" s="668"/>
    </row>
    <row r="581" spans="2:8" x14ac:dyDescent="0.25">
      <c r="B581" s="668"/>
      <c r="C581" s="669"/>
      <c r="D581" s="669"/>
      <c r="E581" s="670"/>
      <c r="F581" s="574"/>
      <c r="G581" s="471"/>
      <c r="H581" s="668"/>
    </row>
    <row r="582" spans="2:8" x14ac:dyDescent="0.25">
      <c r="B582" s="668"/>
      <c r="C582" s="669"/>
      <c r="D582" s="669"/>
      <c r="E582" s="670"/>
      <c r="F582" s="574"/>
      <c r="G582" s="471"/>
      <c r="H582" s="668"/>
    </row>
    <row r="583" spans="2:8" x14ac:dyDescent="0.25">
      <c r="B583" s="668"/>
      <c r="C583" s="669"/>
      <c r="D583" s="669"/>
      <c r="E583" s="670"/>
      <c r="F583" s="574"/>
      <c r="G583" s="471"/>
      <c r="H583" s="668"/>
    </row>
    <row r="584" spans="2:8" x14ac:dyDescent="0.25">
      <c r="B584" s="668"/>
      <c r="C584" s="669"/>
      <c r="D584" s="669"/>
      <c r="E584" s="670"/>
      <c r="F584" s="574"/>
      <c r="G584" s="471"/>
      <c r="H584" s="668"/>
    </row>
    <row r="585" spans="2:8" x14ac:dyDescent="0.25">
      <c r="B585" s="668"/>
      <c r="C585" s="669"/>
      <c r="D585" s="669"/>
      <c r="E585" s="670"/>
      <c r="F585" s="669"/>
      <c r="G585" s="471"/>
      <c r="H585" s="668"/>
    </row>
    <row r="586" spans="2:8" x14ac:dyDescent="0.25">
      <c r="B586" s="668"/>
      <c r="C586" s="669"/>
      <c r="D586" s="669"/>
      <c r="E586" s="670"/>
      <c r="F586" s="574"/>
      <c r="G586" s="471"/>
      <c r="H586" s="668"/>
    </row>
    <row r="587" spans="2:8" x14ac:dyDescent="0.25">
      <c r="B587" s="668"/>
      <c r="C587" s="669"/>
      <c r="D587" s="669"/>
      <c r="E587" s="670"/>
      <c r="F587" s="574"/>
      <c r="G587" s="471"/>
      <c r="H587" s="668"/>
    </row>
    <row r="588" spans="2:8" x14ac:dyDescent="0.25">
      <c r="B588" s="668"/>
      <c r="C588" s="669"/>
      <c r="D588" s="669"/>
      <c r="E588" s="670"/>
      <c r="F588" s="574"/>
      <c r="G588" s="471"/>
      <c r="H588" s="668"/>
    </row>
    <row r="589" spans="2:8" x14ac:dyDescent="0.25">
      <c r="B589" s="668"/>
      <c r="C589" s="669"/>
      <c r="D589" s="669"/>
      <c r="E589" s="670"/>
      <c r="F589" s="669"/>
      <c r="G589" s="668"/>
      <c r="H589" s="668"/>
    </row>
    <row r="590" spans="2:8" x14ac:dyDescent="0.25">
      <c r="B590" s="668"/>
      <c r="C590" s="669"/>
      <c r="D590" s="669"/>
      <c r="E590" s="670"/>
      <c r="F590" s="574"/>
      <c r="G590" s="668"/>
      <c r="H590" s="668"/>
    </row>
    <row r="591" spans="2:8" x14ac:dyDescent="0.25">
      <c r="B591" s="668"/>
      <c r="C591" s="669"/>
      <c r="D591" s="669"/>
      <c r="E591" s="670"/>
      <c r="F591" s="574"/>
      <c r="G591" s="471"/>
      <c r="H591" s="668"/>
    </row>
    <row r="592" spans="2:8" x14ac:dyDescent="0.25">
      <c r="B592" s="668"/>
      <c r="C592" s="669"/>
      <c r="D592" s="669"/>
      <c r="E592" s="670"/>
      <c r="F592" s="574"/>
      <c r="G592" s="471"/>
      <c r="H592" s="668"/>
    </row>
    <row r="593" spans="2:8" x14ac:dyDescent="0.25">
      <c r="B593" s="668"/>
      <c r="C593" s="669"/>
      <c r="D593" s="669"/>
      <c r="E593" s="670"/>
      <c r="F593" s="669"/>
      <c r="G593" s="471"/>
      <c r="H593" s="668"/>
    </row>
    <row r="594" spans="2:8" x14ac:dyDescent="0.25">
      <c r="B594" s="668"/>
      <c r="C594" s="669"/>
      <c r="D594" s="669"/>
      <c r="E594" s="670"/>
      <c r="F594" s="669"/>
      <c r="G594" s="471"/>
      <c r="H594" s="668"/>
    </row>
    <row r="595" spans="2:8" x14ac:dyDescent="0.25">
      <c r="B595" s="668"/>
      <c r="C595" s="669"/>
      <c r="D595" s="669"/>
      <c r="E595" s="574"/>
      <c r="F595" s="574"/>
      <c r="G595" s="471"/>
      <c r="H595" s="668"/>
    </row>
    <row r="596" spans="2:8" x14ac:dyDescent="0.25">
      <c r="B596" s="668"/>
      <c r="C596" s="669"/>
      <c r="D596" s="669"/>
      <c r="E596" s="669"/>
      <c r="F596" s="669"/>
      <c r="G596" s="471"/>
      <c r="H596" s="668"/>
    </row>
    <row r="597" spans="2:8" x14ac:dyDescent="0.25">
      <c r="B597" s="668"/>
      <c r="C597" s="669"/>
      <c r="D597" s="669"/>
      <c r="E597" s="669"/>
      <c r="F597" s="669"/>
      <c r="G597" s="668"/>
      <c r="H597" s="668"/>
    </row>
    <row r="598" spans="2:8" x14ac:dyDescent="0.25">
      <c r="B598" s="668"/>
      <c r="C598" s="669"/>
      <c r="D598" s="669"/>
      <c r="E598" s="669"/>
      <c r="F598" s="669"/>
      <c r="G598" s="668"/>
      <c r="H598" s="668"/>
    </row>
    <row r="599" spans="2:8" x14ac:dyDescent="0.25">
      <c r="B599" s="668"/>
      <c r="C599" s="669"/>
      <c r="D599" s="669"/>
      <c r="E599" s="669"/>
      <c r="F599" s="669"/>
      <c r="G599" s="471"/>
      <c r="H599" s="668"/>
    </row>
    <row r="600" spans="2:8" x14ac:dyDescent="0.25">
      <c r="B600" s="668"/>
      <c r="C600" s="669"/>
      <c r="D600" s="669"/>
      <c r="E600" s="669"/>
      <c r="F600" s="669"/>
      <c r="G600" s="668"/>
      <c r="H600" s="668"/>
    </row>
    <row r="601" spans="2:8" x14ac:dyDescent="0.25">
      <c r="B601" s="668"/>
      <c r="C601" s="669"/>
      <c r="D601" s="669"/>
      <c r="E601" s="669"/>
      <c r="F601" s="669"/>
      <c r="G601" s="668"/>
      <c r="H601" s="668"/>
    </row>
    <row r="638" spans="1:8" x14ac:dyDescent="0.25">
      <c r="A638" s="671"/>
      <c r="B638" s="672"/>
      <c r="C638" s="673"/>
      <c r="D638" s="674"/>
      <c r="E638" s="675"/>
      <c r="F638" s="676"/>
      <c r="G638" s="677"/>
      <c r="H638" s="678"/>
    </row>
    <row r="639" spans="1:8" x14ac:dyDescent="0.25">
      <c r="A639" s="671"/>
      <c r="B639" s="672"/>
      <c r="C639" s="673"/>
      <c r="D639" s="674"/>
      <c r="E639" s="675"/>
      <c r="F639" s="676"/>
      <c r="G639" s="677"/>
      <c r="H639" s="678"/>
    </row>
    <row r="640" spans="1:8" x14ac:dyDescent="0.25">
      <c r="A640" s="671"/>
      <c r="B640" s="672"/>
      <c r="C640" s="673"/>
      <c r="D640" s="674"/>
      <c r="E640" s="675"/>
      <c r="F640" s="676"/>
      <c r="G640" s="677"/>
      <c r="H640" s="678"/>
    </row>
    <row r="641" spans="1:8" x14ac:dyDescent="0.25">
      <c r="A641" s="671"/>
      <c r="B641" s="672"/>
      <c r="C641" s="673"/>
      <c r="D641" s="674"/>
      <c r="E641" s="675"/>
      <c r="F641" s="676"/>
      <c r="G641" s="677"/>
      <c r="H641" s="678"/>
    </row>
    <row r="642" spans="1:8" x14ac:dyDescent="0.25">
      <c r="A642" s="671"/>
      <c r="B642" s="672"/>
      <c r="C642" s="673"/>
      <c r="D642" s="674"/>
      <c r="E642" s="675"/>
      <c r="F642" s="676"/>
      <c r="G642" s="677"/>
      <c r="H642" s="678"/>
    </row>
    <row r="643" spans="1:8" x14ac:dyDescent="0.25">
      <c r="A643" s="671"/>
      <c r="B643" s="672"/>
      <c r="C643" s="673"/>
      <c r="D643" s="674"/>
      <c r="E643" s="675"/>
      <c r="F643" s="676"/>
      <c r="G643" s="677"/>
      <c r="H643" s="678"/>
    </row>
    <row r="644" spans="1:8" x14ac:dyDescent="0.25">
      <c r="A644" s="671"/>
      <c r="B644" s="672"/>
      <c r="C644" s="673"/>
      <c r="D644" s="674"/>
      <c r="E644" s="675"/>
      <c r="F644" s="676"/>
      <c r="G644" s="677"/>
      <c r="H644" s="678"/>
    </row>
    <row r="645" spans="1:8" x14ac:dyDescent="0.25">
      <c r="A645" s="671"/>
      <c r="B645" s="672"/>
      <c r="C645" s="673"/>
      <c r="D645" s="674"/>
      <c r="E645" s="675"/>
      <c r="F645" s="676"/>
      <c r="G645" s="677"/>
      <c r="H645" s="678"/>
    </row>
    <row r="646" spans="1:8" x14ac:dyDescent="0.25">
      <c r="A646" s="671"/>
      <c r="B646" s="672"/>
      <c r="C646" s="673"/>
      <c r="D646" s="674"/>
      <c r="E646" s="675"/>
      <c r="F646" s="676"/>
      <c r="G646" s="677"/>
      <c r="H646" s="678"/>
    </row>
    <row r="647" spans="1:8" x14ac:dyDescent="0.25">
      <c r="A647" s="671"/>
      <c r="B647" s="672"/>
      <c r="C647" s="673"/>
      <c r="D647" s="674"/>
      <c r="E647" s="675"/>
      <c r="F647" s="676"/>
      <c r="G647" s="677"/>
      <c r="H647" s="678"/>
    </row>
    <row r="648" spans="1:8" x14ac:dyDescent="0.25">
      <c r="A648" s="671"/>
      <c r="B648" s="672"/>
      <c r="C648" s="673"/>
      <c r="D648" s="674"/>
      <c r="E648" s="675"/>
      <c r="F648" s="676"/>
      <c r="G648" s="677"/>
      <c r="H648" s="678"/>
    </row>
    <row r="649" spans="1:8" x14ac:dyDescent="0.25">
      <c r="A649" s="671"/>
      <c r="B649" s="672"/>
      <c r="C649" s="673"/>
      <c r="D649" s="674"/>
      <c r="E649" s="675"/>
      <c r="F649" s="676"/>
      <c r="G649" s="677"/>
      <c r="H649" s="678"/>
    </row>
    <row r="650" spans="1:8" x14ac:dyDescent="0.25">
      <c r="A650" s="671"/>
      <c r="B650" s="672"/>
      <c r="C650" s="673"/>
      <c r="D650" s="674"/>
      <c r="E650" s="675"/>
      <c r="F650" s="676"/>
      <c r="G650" s="677"/>
      <c r="H650" s="678"/>
    </row>
    <row r="651" spans="1:8" x14ac:dyDescent="0.25">
      <c r="A651" s="671"/>
      <c r="B651" s="672"/>
      <c r="C651" s="673"/>
      <c r="D651" s="674"/>
      <c r="E651" s="675"/>
      <c r="F651" s="676"/>
      <c r="G651" s="677"/>
      <c r="H651" s="678"/>
    </row>
    <row r="652" spans="1:8" x14ac:dyDescent="0.25">
      <c r="A652" s="671"/>
      <c r="B652" s="672"/>
      <c r="C652" s="673"/>
      <c r="D652" s="674"/>
      <c r="E652" s="675"/>
      <c r="F652" s="676"/>
      <c r="G652" s="677"/>
      <c r="H652" s="678"/>
    </row>
    <row r="653" spans="1:8" x14ac:dyDescent="0.25">
      <c r="A653" s="671"/>
      <c r="B653" s="672"/>
      <c r="C653" s="673"/>
      <c r="D653" s="674"/>
      <c r="E653" s="675"/>
      <c r="F653" s="676"/>
      <c r="G653" s="677"/>
      <c r="H653" s="678"/>
    </row>
    <row r="654" spans="1:8" x14ac:dyDescent="0.25">
      <c r="A654" s="671"/>
      <c r="B654" s="672"/>
      <c r="C654" s="673"/>
      <c r="D654" s="674"/>
      <c r="E654" s="675"/>
      <c r="F654" s="676"/>
      <c r="G654" s="677"/>
      <c r="H654" s="678"/>
    </row>
    <row r="655" spans="1:8" x14ac:dyDescent="0.25">
      <c r="A655" s="671"/>
      <c r="B655" s="672"/>
      <c r="C655" s="673"/>
      <c r="D655" s="674"/>
      <c r="E655" s="675"/>
      <c r="F655" s="676"/>
      <c r="G655" s="677"/>
      <c r="H655" s="678"/>
    </row>
    <row r="656" spans="1:8" x14ac:dyDescent="0.25">
      <c r="A656" s="671"/>
      <c r="B656" s="672"/>
      <c r="C656" s="673"/>
      <c r="D656" s="674"/>
      <c r="E656" s="675"/>
      <c r="F656" s="676"/>
      <c r="G656" s="677"/>
      <c r="H656" s="678"/>
    </row>
    <row r="657" spans="1:8" x14ac:dyDescent="0.25">
      <c r="A657" s="671"/>
      <c r="B657" s="672"/>
      <c r="C657" s="673"/>
      <c r="D657" s="674"/>
      <c r="E657" s="675"/>
      <c r="F657" s="676"/>
      <c r="G657" s="677"/>
      <c r="H657" s="678"/>
    </row>
    <row r="658" spans="1:8" x14ac:dyDescent="0.25">
      <c r="A658" s="671"/>
      <c r="B658" s="672"/>
      <c r="C658" s="673"/>
      <c r="D658" s="674"/>
      <c r="E658" s="675"/>
      <c r="F658" s="676"/>
      <c r="G658" s="677"/>
      <c r="H658" s="678"/>
    </row>
    <row r="659" spans="1:8" x14ac:dyDescent="0.25">
      <c r="A659" s="671"/>
      <c r="B659" s="672"/>
      <c r="C659" s="673"/>
      <c r="D659" s="674"/>
      <c r="E659" s="675"/>
      <c r="F659" s="676"/>
      <c r="G659" s="677"/>
      <c r="H659" s="678"/>
    </row>
    <row r="660" spans="1:8" x14ac:dyDescent="0.25">
      <c r="A660" s="671"/>
      <c r="B660" s="672"/>
      <c r="C660" s="673"/>
      <c r="D660" s="674"/>
      <c r="E660" s="675"/>
      <c r="F660" s="676"/>
      <c r="G660" s="677"/>
      <c r="H660" s="678"/>
    </row>
    <row r="661" spans="1:8" x14ac:dyDescent="0.25">
      <c r="A661" s="671"/>
      <c r="B661" s="672"/>
      <c r="C661" s="673"/>
      <c r="D661" s="674"/>
      <c r="E661" s="675"/>
      <c r="F661" s="676"/>
      <c r="G661" s="677"/>
      <c r="H661" s="678"/>
    </row>
    <row r="662" spans="1:8" x14ac:dyDescent="0.25">
      <c r="A662" s="671"/>
      <c r="B662" s="672"/>
      <c r="C662" s="673"/>
      <c r="D662" s="674"/>
      <c r="E662" s="675"/>
      <c r="F662" s="676"/>
      <c r="G662" s="677"/>
      <c r="H662" s="678"/>
    </row>
    <row r="663" spans="1:8" x14ac:dyDescent="0.25">
      <c r="A663" s="671"/>
      <c r="B663" s="672"/>
      <c r="C663" s="673"/>
      <c r="D663" s="674"/>
      <c r="E663" s="675"/>
      <c r="F663" s="676"/>
      <c r="G663" s="677"/>
      <c r="H663" s="678"/>
    </row>
    <row r="664" spans="1:8" x14ac:dyDescent="0.25">
      <c r="A664" s="671"/>
      <c r="B664" s="672"/>
      <c r="C664" s="673"/>
      <c r="D664" s="674"/>
      <c r="E664" s="675"/>
      <c r="F664" s="676"/>
      <c r="G664" s="677"/>
      <c r="H664" s="678"/>
    </row>
    <row r="665" spans="1:8" x14ac:dyDescent="0.25">
      <c r="A665" s="671"/>
      <c r="B665" s="672"/>
      <c r="C665" s="673"/>
      <c r="D665" s="674"/>
      <c r="E665" s="675"/>
      <c r="F665" s="676"/>
      <c r="G665" s="677"/>
      <c r="H665" s="678"/>
    </row>
    <row r="666" spans="1:8" x14ac:dyDescent="0.25">
      <c r="A666" s="671"/>
      <c r="B666" s="672"/>
      <c r="C666" s="673"/>
      <c r="D666" s="674"/>
      <c r="E666" s="675"/>
      <c r="F666" s="676"/>
      <c r="G666" s="677"/>
      <c r="H666" s="678"/>
    </row>
    <row r="667" spans="1:8" x14ac:dyDescent="0.25">
      <c r="A667" s="671"/>
      <c r="B667" s="672"/>
      <c r="C667" s="673"/>
      <c r="D667" s="674"/>
      <c r="E667" s="675"/>
      <c r="F667" s="676"/>
      <c r="G667" s="677"/>
      <c r="H667" s="678"/>
    </row>
    <row r="668" spans="1:8" x14ac:dyDescent="0.25">
      <c r="A668" s="671"/>
      <c r="B668" s="672"/>
      <c r="C668" s="673"/>
      <c r="D668" s="674"/>
      <c r="E668" s="675"/>
      <c r="F668" s="676"/>
      <c r="G668" s="677"/>
      <c r="H668" s="678"/>
    </row>
    <row r="669" spans="1:8" x14ac:dyDescent="0.25">
      <c r="A669" s="671"/>
      <c r="B669" s="672"/>
      <c r="C669" s="673"/>
      <c r="D669" s="674"/>
      <c r="E669" s="675"/>
      <c r="F669" s="676"/>
      <c r="G669" s="677"/>
      <c r="H669" s="678"/>
    </row>
    <row r="670" spans="1:8" x14ac:dyDescent="0.25">
      <c r="A670" s="671"/>
      <c r="B670" s="672"/>
      <c r="C670" s="673"/>
      <c r="D670" s="674"/>
      <c r="E670" s="675"/>
      <c r="F670" s="676"/>
      <c r="G670" s="677"/>
      <c r="H670" s="678"/>
    </row>
    <row r="671" spans="1:8" x14ac:dyDescent="0.25">
      <c r="A671" s="671"/>
      <c r="B671" s="672"/>
      <c r="C671" s="673"/>
      <c r="D671" s="674"/>
      <c r="E671" s="675"/>
      <c r="F671" s="676"/>
      <c r="G671" s="677"/>
      <c r="H671" s="678"/>
    </row>
    <row r="672" spans="1:8" x14ac:dyDescent="0.25">
      <c r="A672" s="671"/>
      <c r="B672" s="672"/>
      <c r="C672" s="673"/>
      <c r="D672" s="674"/>
      <c r="E672" s="675"/>
      <c r="F672" s="676"/>
      <c r="G672" s="677"/>
      <c r="H672" s="678"/>
    </row>
    <row r="673" spans="1:8" x14ac:dyDescent="0.25">
      <c r="A673" s="671"/>
      <c r="B673" s="672"/>
      <c r="C673" s="673"/>
      <c r="D673" s="674"/>
      <c r="E673" s="675"/>
      <c r="F673" s="676"/>
      <c r="G673" s="677"/>
      <c r="H673" s="678"/>
    </row>
    <row r="674" spans="1:8" x14ac:dyDescent="0.25">
      <c r="A674" s="671"/>
      <c r="B674" s="672"/>
      <c r="C674" s="673"/>
      <c r="D674" s="674"/>
      <c r="E674" s="675"/>
      <c r="F674" s="676"/>
      <c r="G674" s="677"/>
      <c r="H674" s="678"/>
    </row>
    <row r="675" spans="1:8" x14ac:dyDescent="0.25">
      <c r="A675" s="671"/>
      <c r="B675" s="672"/>
      <c r="C675" s="673"/>
      <c r="D675" s="674"/>
      <c r="E675" s="675"/>
      <c r="F675" s="676"/>
      <c r="G675" s="677"/>
      <c r="H675" s="678"/>
    </row>
    <row r="676" spans="1:8" x14ac:dyDescent="0.25">
      <c r="A676" s="671"/>
      <c r="B676" s="672"/>
      <c r="C676" s="673"/>
      <c r="D676" s="674"/>
      <c r="E676" s="675"/>
      <c r="F676" s="676"/>
      <c r="G676" s="677"/>
      <c r="H676" s="678"/>
    </row>
    <row r="677" spans="1:8" x14ac:dyDescent="0.25">
      <c r="A677" s="671"/>
      <c r="B677" s="672"/>
      <c r="C677" s="673"/>
      <c r="D677" s="674"/>
      <c r="E677" s="675"/>
      <c r="F677" s="676"/>
      <c r="G677" s="677"/>
      <c r="H677" s="678"/>
    </row>
    <row r="678" spans="1:8" x14ac:dyDescent="0.25">
      <c r="A678" s="671"/>
      <c r="B678" s="672"/>
      <c r="C678" s="673"/>
      <c r="D678" s="674"/>
      <c r="E678" s="675"/>
      <c r="F678" s="676"/>
      <c r="G678" s="677"/>
      <c r="H678" s="678"/>
    </row>
    <row r="679" spans="1:8" x14ac:dyDescent="0.25">
      <c r="A679" s="671"/>
      <c r="B679" s="672"/>
      <c r="C679" s="673"/>
      <c r="D679" s="674"/>
      <c r="E679" s="675"/>
      <c r="F679" s="676"/>
      <c r="G679" s="677"/>
      <c r="H679" s="678"/>
    </row>
    <row r="680" spans="1:8" x14ac:dyDescent="0.25">
      <c r="A680" s="671"/>
      <c r="B680" s="672"/>
      <c r="C680" s="673"/>
      <c r="D680" s="674"/>
      <c r="E680" s="675"/>
      <c r="F680" s="676"/>
      <c r="G680" s="677"/>
      <c r="H680" s="678"/>
    </row>
    <row r="681" spans="1:8" x14ac:dyDescent="0.25">
      <c r="A681" s="671"/>
      <c r="B681" s="672"/>
      <c r="C681" s="673"/>
      <c r="D681" s="674"/>
      <c r="E681" s="675"/>
      <c r="F681" s="676"/>
      <c r="G681" s="677"/>
      <c r="H681" s="678"/>
    </row>
    <row r="682" spans="1:8" x14ac:dyDescent="0.25">
      <c r="A682" s="671"/>
      <c r="B682" s="672"/>
      <c r="C682" s="673"/>
      <c r="D682" s="674"/>
      <c r="E682" s="675"/>
      <c r="F682" s="676"/>
      <c r="G682" s="677"/>
      <c r="H682" s="678"/>
    </row>
    <row r="683" spans="1:8" x14ac:dyDescent="0.25">
      <c r="A683" s="671"/>
      <c r="B683" s="672"/>
      <c r="C683" s="673"/>
      <c r="D683" s="674"/>
      <c r="E683" s="675"/>
      <c r="F683" s="676"/>
      <c r="G683" s="677"/>
      <c r="H683" s="678"/>
    </row>
    <row r="684" spans="1:8" x14ac:dyDescent="0.25">
      <c r="A684" s="671"/>
      <c r="B684" s="672"/>
      <c r="C684" s="673"/>
      <c r="D684" s="674"/>
      <c r="E684" s="675"/>
      <c r="F684" s="676"/>
      <c r="G684" s="677"/>
      <c r="H684" s="678"/>
    </row>
    <row r="685" spans="1:8" x14ac:dyDescent="0.25">
      <c r="A685" s="671"/>
      <c r="B685" s="672"/>
      <c r="C685" s="673"/>
      <c r="D685" s="674"/>
      <c r="E685" s="675"/>
      <c r="F685" s="676"/>
      <c r="G685" s="677"/>
      <c r="H685" s="678"/>
    </row>
    <row r="686" spans="1:8" x14ac:dyDescent="0.25">
      <c r="A686" s="671"/>
      <c r="B686" s="672"/>
      <c r="C686" s="673"/>
      <c r="D686" s="674"/>
      <c r="E686" s="675"/>
      <c r="F686" s="676"/>
      <c r="G686" s="677"/>
      <c r="H686" s="678"/>
    </row>
    <row r="687" spans="1:8" x14ac:dyDescent="0.25">
      <c r="A687" s="671"/>
      <c r="B687" s="672"/>
      <c r="C687" s="673"/>
      <c r="D687" s="674"/>
      <c r="E687" s="675"/>
      <c r="F687" s="676"/>
      <c r="G687" s="677"/>
      <c r="H687" s="678"/>
    </row>
    <row r="688" spans="1:8" x14ac:dyDescent="0.25">
      <c r="A688" s="671"/>
      <c r="B688" s="672"/>
      <c r="C688" s="673"/>
      <c r="D688" s="674"/>
      <c r="E688" s="675"/>
      <c r="F688" s="676"/>
      <c r="G688" s="677"/>
      <c r="H688" s="678"/>
    </row>
    <row r="689" spans="1:8" x14ac:dyDescent="0.25">
      <c r="A689" s="671"/>
      <c r="B689" s="672"/>
      <c r="C689" s="673"/>
      <c r="D689" s="674"/>
      <c r="E689" s="675"/>
      <c r="F689" s="676"/>
      <c r="G689" s="677"/>
      <c r="H689" s="678"/>
    </row>
    <row r="690" spans="1:8" x14ac:dyDescent="0.25">
      <c r="A690" s="671"/>
      <c r="B690" s="672"/>
      <c r="C690" s="673"/>
      <c r="D690" s="674"/>
      <c r="E690" s="675"/>
      <c r="F690" s="676"/>
      <c r="G690" s="677"/>
      <c r="H690" s="678"/>
    </row>
    <row r="691" spans="1:8" x14ac:dyDescent="0.25">
      <c r="A691" s="671"/>
      <c r="B691" s="672"/>
      <c r="C691" s="673"/>
      <c r="D691" s="674"/>
      <c r="E691" s="675"/>
      <c r="F691" s="676"/>
      <c r="G691" s="677"/>
      <c r="H691" s="678"/>
    </row>
    <row r="692" spans="1:8" x14ac:dyDescent="0.25">
      <c r="A692" s="671"/>
      <c r="B692" s="672"/>
      <c r="C692" s="673"/>
      <c r="D692" s="674"/>
      <c r="E692" s="675"/>
      <c r="F692" s="676"/>
      <c r="G692" s="677"/>
      <c r="H692" s="678"/>
    </row>
    <row r="693" spans="1:8" x14ac:dyDescent="0.25">
      <c r="A693" s="671"/>
      <c r="B693" s="672"/>
      <c r="C693" s="673"/>
      <c r="D693" s="674"/>
      <c r="E693" s="675"/>
      <c r="F693" s="676"/>
      <c r="G693" s="677"/>
      <c r="H693" s="678"/>
    </row>
    <row r="694" spans="1:8" x14ac:dyDescent="0.25">
      <c r="A694" s="671"/>
      <c r="B694" s="672"/>
      <c r="C694" s="673"/>
      <c r="D694" s="674"/>
      <c r="E694" s="675"/>
      <c r="F694" s="676"/>
      <c r="G694" s="677"/>
      <c r="H694" s="678"/>
    </row>
    <row r="695" spans="1:8" x14ac:dyDescent="0.25">
      <c r="A695" s="671"/>
      <c r="B695" s="672"/>
      <c r="C695" s="673"/>
      <c r="D695" s="674"/>
      <c r="E695" s="675"/>
      <c r="F695" s="676"/>
      <c r="G695" s="677"/>
      <c r="H695" s="678"/>
    </row>
    <row r="696" spans="1:8" x14ac:dyDescent="0.25">
      <c r="A696" s="671"/>
      <c r="B696" s="672"/>
      <c r="C696" s="673"/>
      <c r="D696" s="674"/>
      <c r="E696" s="675"/>
      <c r="F696" s="676"/>
      <c r="G696" s="677"/>
      <c r="H696" s="678"/>
    </row>
    <row r="697" spans="1:8" x14ac:dyDescent="0.25">
      <c r="A697" s="671"/>
      <c r="B697" s="672"/>
      <c r="C697" s="673"/>
      <c r="D697" s="674"/>
      <c r="E697" s="675"/>
      <c r="F697" s="676"/>
      <c r="G697" s="677"/>
      <c r="H697" s="678"/>
    </row>
    <row r="698" spans="1:8" x14ac:dyDescent="0.25">
      <c r="A698" s="671"/>
      <c r="B698" s="672"/>
      <c r="C698" s="673"/>
      <c r="D698" s="674"/>
      <c r="E698" s="675"/>
      <c r="F698" s="676"/>
      <c r="G698" s="677"/>
      <c r="H698" s="678"/>
    </row>
    <row r="699" spans="1:8" x14ac:dyDescent="0.25">
      <c r="A699" s="671"/>
      <c r="B699" s="672"/>
      <c r="C699" s="673"/>
      <c r="D699" s="674"/>
      <c r="E699" s="675"/>
      <c r="F699" s="676"/>
      <c r="G699" s="677"/>
      <c r="H699" s="678"/>
    </row>
    <row r="700" spans="1:8" x14ac:dyDescent="0.25">
      <c r="A700" s="671"/>
      <c r="B700" s="672"/>
      <c r="C700" s="673"/>
      <c r="D700" s="674"/>
      <c r="E700" s="675"/>
      <c r="F700" s="676"/>
      <c r="G700" s="677"/>
      <c r="H700" s="678"/>
    </row>
    <row r="701" spans="1:8" x14ac:dyDescent="0.25">
      <c r="A701" s="671"/>
      <c r="B701" s="672"/>
      <c r="C701" s="673"/>
      <c r="D701" s="674"/>
      <c r="E701" s="675"/>
      <c r="F701" s="676"/>
      <c r="G701" s="677"/>
      <c r="H701" s="678"/>
    </row>
    <row r="702" spans="1:8" x14ac:dyDescent="0.25">
      <c r="A702" s="671"/>
      <c r="B702" s="672"/>
      <c r="C702" s="673"/>
      <c r="D702" s="674"/>
      <c r="E702" s="675"/>
      <c r="F702" s="676"/>
      <c r="G702" s="677"/>
      <c r="H702" s="678"/>
    </row>
    <row r="703" spans="1:8" x14ac:dyDescent="0.25">
      <c r="A703" s="671"/>
      <c r="B703" s="672"/>
      <c r="C703" s="673"/>
      <c r="D703" s="674"/>
      <c r="E703" s="675"/>
      <c r="F703" s="676"/>
      <c r="G703" s="677"/>
      <c r="H703" s="678"/>
    </row>
    <row r="704" spans="1:8" x14ac:dyDescent="0.25">
      <c r="A704" s="671"/>
      <c r="B704" s="672"/>
      <c r="C704" s="673"/>
      <c r="D704" s="674"/>
      <c r="E704" s="675"/>
      <c r="F704" s="676"/>
      <c r="G704" s="677"/>
      <c r="H704" s="678"/>
    </row>
    <row r="705" spans="1:8" x14ac:dyDescent="0.25">
      <c r="A705" s="671"/>
      <c r="B705" s="672"/>
      <c r="C705" s="673"/>
      <c r="D705" s="674"/>
      <c r="E705" s="675"/>
      <c r="F705" s="676"/>
      <c r="G705" s="677"/>
      <c r="H705" s="678"/>
    </row>
    <row r="706" spans="1:8" x14ac:dyDescent="0.25">
      <c r="A706" s="671"/>
      <c r="B706" s="672"/>
      <c r="C706" s="673"/>
      <c r="D706" s="674"/>
      <c r="E706" s="675"/>
      <c r="F706" s="676"/>
      <c r="G706" s="677"/>
      <c r="H706" s="678"/>
    </row>
    <row r="707" spans="1:8" x14ac:dyDescent="0.25">
      <c r="A707" s="671"/>
      <c r="B707" s="672"/>
      <c r="C707" s="673"/>
      <c r="D707" s="674"/>
      <c r="E707" s="675"/>
      <c r="F707" s="676"/>
      <c r="G707" s="677"/>
      <c r="H707" s="678"/>
    </row>
    <row r="708" spans="1:8" x14ac:dyDescent="0.25">
      <c r="A708" s="671"/>
      <c r="B708" s="672"/>
      <c r="C708" s="673"/>
      <c r="D708" s="674"/>
      <c r="E708" s="675"/>
      <c r="F708" s="676"/>
      <c r="G708" s="677"/>
      <c r="H708" s="678"/>
    </row>
    <row r="709" spans="1:8" x14ac:dyDescent="0.25">
      <c r="A709" s="671"/>
      <c r="B709" s="672"/>
      <c r="C709" s="673"/>
      <c r="D709" s="674"/>
      <c r="E709" s="675"/>
      <c r="F709" s="676"/>
      <c r="G709" s="677"/>
      <c r="H709" s="678"/>
    </row>
    <row r="710" spans="1:8" x14ac:dyDescent="0.25">
      <c r="A710" s="671"/>
      <c r="B710" s="672"/>
      <c r="C710" s="673"/>
      <c r="D710" s="674"/>
      <c r="E710" s="675"/>
      <c r="F710" s="676"/>
      <c r="G710" s="677"/>
      <c r="H710" s="678"/>
    </row>
    <row r="711" spans="1:8" x14ac:dyDescent="0.25">
      <c r="A711" s="671"/>
      <c r="B711" s="672"/>
      <c r="C711" s="673"/>
      <c r="D711" s="674"/>
      <c r="E711" s="675"/>
      <c r="F711" s="676"/>
      <c r="G711" s="677"/>
      <c r="H711" s="678"/>
    </row>
    <row r="712" spans="1:8" x14ac:dyDescent="0.25">
      <c r="A712" s="671"/>
      <c r="B712" s="672"/>
      <c r="C712" s="673"/>
      <c r="D712" s="674"/>
      <c r="E712" s="675"/>
      <c r="F712" s="676"/>
      <c r="G712" s="677"/>
      <c r="H712" s="678"/>
    </row>
    <row r="713" spans="1:8" x14ac:dyDescent="0.25">
      <c r="A713" s="671"/>
      <c r="B713" s="672"/>
      <c r="C713" s="673"/>
      <c r="D713" s="674"/>
      <c r="E713" s="675"/>
      <c r="F713" s="676"/>
      <c r="G713" s="677"/>
      <c r="H713" s="678"/>
    </row>
    <row r="714" spans="1:8" x14ac:dyDescent="0.25">
      <c r="A714" s="671"/>
      <c r="B714" s="672"/>
      <c r="C714" s="673"/>
      <c r="D714" s="674"/>
      <c r="E714" s="675"/>
      <c r="F714" s="676"/>
      <c r="G714" s="677"/>
      <c r="H714" s="678"/>
    </row>
    <row r="715" spans="1:8" x14ac:dyDescent="0.25">
      <c r="A715" s="671"/>
      <c r="B715" s="672"/>
      <c r="C715" s="673"/>
      <c r="D715" s="674"/>
      <c r="E715" s="675"/>
      <c r="F715" s="676"/>
      <c r="G715" s="677"/>
      <c r="H715" s="678"/>
    </row>
    <row r="716" spans="1:8" x14ac:dyDescent="0.25">
      <c r="A716" s="671"/>
      <c r="B716" s="672"/>
      <c r="C716" s="673"/>
      <c r="D716" s="674"/>
      <c r="E716" s="675"/>
      <c r="F716" s="676"/>
      <c r="G716" s="677"/>
      <c r="H716" s="678"/>
    </row>
    <row r="717" spans="1:8" x14ac:dyDescent="0.25">
      <c r="A717" s="671"/>
      <c r="B717" s="672"/>
      <c r="C717" s="673"/>
      <c r="D717" s="674"/>
      <c r="E717" s="675"/>
      <c r="F717" s="676"/>
      <c r="G717" s="677"/>
      <c r="H717" s="678"/>
    </row>
    <row r="718" spans="1:8" x14ac:dyDescent="0.25">
      <c r="A718" s="671"/>
      <c r="B718" s="672"/>
      <c r="C718" s="673"/>
      <c r="D718" s="674"/>
      <c r="E718" s="675"/>
      <c r="F718" s="676"/>
      <c r="G718" s="677"/>
      <c r="H718" s="678"/>
    </row>
    <row r="719" spans="1:8" x14ac:dyDescent="0.25">
      <c r="A719" s="671"/>
      <c r="B719" s="672"/>
      <c r="C719" s="673"/>
      <c r="D719" s="674"/>
      <c r="E719" s="675"/>
      <c r="F719" s="676"/>
      <c r="G719" s="677"/>
      <c r="H719" s="678"/>
    </row>
    <row r="720" spans="1:8" x14ac:dyDescent="0.25">
      <c r="A720" s="671"/>
      <c r="B720" s="672"/>
      <c r="C720" s="673"/>
      <c r="D720" s="674"/>
      <c r="E720" s="675"/>
      <c r="F720" s="676"/>
      <c r="G720" s="677"/>
      <c r="H720" s="678"/>
    </row>
    <row r="721" spans="1:8" x14ac:dyDescent="0.25">
      <c r="A721" s="671"/>
      <c r="B721" s="672"/>
      <c r="C721" s="673"/>
      <c r="D721" s="674"/>
      <c r="E721" s="675"/>
      <c r="F721" s="676"/>
      <c r="G721" s="677"/>
      <c r="H721" s="678"/>
    </row>
    <row r="722" spans="1:8" x14ac:dyDescent="0.25">
      <c r="A722" s="671"/>
      <c r="B722" s="672"/>
      <c r="C722" s="673"/>
      <c r="D722" s="674"/>
      <c r="E722" s="675"/>
      <c r="F722" s="676"/>
      <c r="G722" s="677"/>
      <c r="H722" s="678"/>
    </row>
    <row r="723" spans="1:8" x14ac:dyDescent="0.25">
      <c r="A723" s="671"/>
      <c r="B723" s="672"/>
      <c r="C723" s="673"/>
      <c r="D723" s="674"/>
      <c r="E723" s="675"/>
      <c r="F723" s="676"/>
      <c r="G723" s="677"/>
      <c r="H723" s="678"/>
    </row>
    <row r="724" spans="1:8" x14ac:dyDescent="0.25">
      <c r="A724" s="671"/>
      <c r="B724" s="672"/>
      <c r="C724" s="673"/>
      <c r="D724" s="674"/>
      <c r="E724" s="675"/>
      <c r="F724" s="676"/>
      <c r="G724" s="677"/>
      <c r="H724" s="678"/>
    </row>
    <row r="725" spans="1:8" x14ac:dyDescent="0.25">
      <c r="A725" s="671"/>
      <c r="B725" s="672"/>
      <c r="C725" s="673"/>
      <c r="D725" s="674"/>
      <c r="E725" s="675"/>
      <c r="F725" s="676"/>
      <c r="G725" s="677"/>
      <c r="H725" s="678"/>
    </row>
    <row r="726" spans="1:8" x14ac:dyDescent="0.25">
      <c r="A726" s="671"/>
      <c r="B726" s="672"/>
      <c r="C726" s="673"/>
      <c r="D726" s="674"/>
      <c r="E726" s="675"/>
      <c r="F726" s="676"/>
      <c r="G726" s="677"/>
      <c r="H726" s="678"/>
    </row>
    <row r="727" spans="1:8" x14ac:dyDescent="0.25">
      <c r="A727" s="671"/>
      <c r="B727" s="672"/>
      <c r="C727" s="673"/>
      <c r="D727" s="674"/>
      <c r="E727" s="675"/>
      <c r="F727" s="676"/>
      <c r="G727" s="677"/>
      <c r="H727" s="678"/>
    </row>
    <row r="728" spans="1:8" x14ac:dyDescent="0.25">
      <c r="A728" s="671"/>
      <c r="B728" s="672"/>
      <c r="C728" s="673"/>
      <c r="D728" s="674"/>
      <c r="E728" s="675"/>
      <c r="F728" s="676"/>
      <c r="G728" s="677"/>
      <c r="H728" s="678"/>
    </row>
    <row r="729" spans="1:8" x14ac:dyDescent="0.25">
      <c r="A729" s="671"/>
      <c r="B729" s="672"/>
      <c r="C729" s="673"/>
      <c r="D729" s="674"/>
      <c r="E729" s="675"/>
      <c r="F729" s="676"/>
      <c r="G729" s="677"/>
      <c r="H729" s="678"/>
    </row>
    <row r="730" spans="1:8" x14ac:dyDescent="0.25">
      <c r="A730" s="671"/>
      <c r="B730" s="672"/>
      <c r="C730" s="673"/>
      <c r="D730" s="674"/>
      <c r="E730" s="675"/>
      <c r="F730" s="676"/>
      <c r="G730" s="677"/>
      <c r="H730" s="678"/>
    </row>
    <row r="731" spans="1:8" x14ac:dyDescent="0.25">
      <c r="A731" s="671"/>
      <c r="B731" s="672"/>
      <c r="C731" s="673"/>
      <c r="D731" s="674"/>
      <c r="E731" s="675"/>
      <c r="F731" s="676"/>
      <c r="G731" s="677"/>
      <c r="H731" s="678"/>
    </row>
    <row r="732" spans="1:8" x14ac:dyDescent="0.25">
      <c r="A732" s="671"/>
      <c r="B732" s="672"/>
      <c r="C732" s="673"/>
      <c r="D732" s="674"/>
      <c r="E732" s="675"/>
      <c r="F732" s="676"/>
      <c r="G732" s="677"/>
      <c r="H732" s="678"/>
    </row>
    <row r="733" spans="1:8" x14ac:dyDescent="0.25">
      <c r="A733" s="671"/>
      <c r="B733" s="672"/>
      <c r="C733" s="673"/>
      <c r="D733" s="674"/>
      <c r="E733" s="675"/>
      <c r="F733" s="676"/>
      <c r="G733" s="677"/>
      <c r="H733" s="678"/>
    </row>
    <row r="734" spans="1:8" x14ac:dyDescent="0.25">
      <c r="A734" s="671"/>
      <c r="B734" s="672"/>
      <c r="C734" s="673"/>
      <c r="D734" s="674"/>
      <c r="E734" s="675"/>
      <c r="F734" s="676"/>
      <c r="G734" s="677"/>
      <c r="H734" s="678"/>
    </row>
    <row r="735" spans="1:8" x14ac:dyDescent="0.25">
      <c r="A735" s="671"/>
      <c r="B735" s="672"/>
      <c r="C735" s="673"/>
      <c r="D735" s="674"/>
      <c r="E735" s="675"/>
      <c r="F735" s="676"/>
      <c r="G735" s="677"/>
      <c r="H735" s="678"/>
    </row>
    <row r="736" spans="1:8" x14ac:dyDescent="0.25">
      <c r="A736" s="671"/>
      <c r="B736" s="672"/>
      <c r="C736" s="673"/>
      <c r="D736" s="674"/>
      <c r="E736" s="675"/>
      <c r="F736" s="676"/>
      <c r="G736" s="677"/>
      <c r="H736" s="678"/>
    </row>
    <row r="737" spans="1:8" x14ac:dyDescent="0.25">
      <c r="A737" s="671"/>
      <c r="B737" s="672"/>
      <c r="C737" s="673"/>
      <c r="D737" s="674"/>
      <c r="E737" s="675"/>
      <c r="F737" s="676"/>
      <c r="G737" s="677"/>
      <c r="H737" s="678"/>
    </row>
    <row r="738" spans="1:8" x14ac:dyDescent="0.25">
      <c r="A738" s="671"/>
      <c r="B738" s="672"/>
      <c r="C738" s="673"/>
      <c r="D738" s="674"/>
      <c r="E738" s="675"/>
      <c r="F738" s="676"/>
      <c r="G738" s="677"/>
      <c r="H738" s="678"/>
    </row>
    <row r="739" spans="1:8" x14ac:dyDescent="0.25">
      <c r="A739" s="671"/>
      <c r="B739" s="672"/>
      <c r="C739" s="673"/>
      <c r="D739" s="674"/>
      <c r="E739" s="675"/>
      <c r="F739" s="676"/>
      <c r="G739" s="677"/>
      <c r="H739" s="678"/>
    </row>
    <row r="740" spans="1:8" x14ac:dyDescent="0.25">
      <c r="A740" s="671"/>
      <c r="B740" s="672"/>
      <c r="C740" s="673"/>
      <c r="D740" s="674"/>
      <c r="E740" s="675"/>
      <c r="F740" s="676"/>
      <c r="G740" s="677"/>
      <c r="H740" s="678"/>
    </row>
    <row r="741" spans="1:8" x14ac:dyDescent="0.25">
      <c r="A741" s="671"/>
      <c r="B741" s="672"/>
      <c r="C741" s="673"/>
      <c r="D741" s="674"/>
      <c r="E741" s="675"/>
      <c r="F741" s="676"/>
      <c r="G741" s="677"/>
      <c r="H741" s="678"/>
    </row>
    <row r="742" spans="1:8" x14ac:dyDescent="0.25">
      <c r="A742" s="671"/>
      <c r="B742" s="672"/>
      <c r="C742" s="673"/>
      <c r="D742" s="674"/>
      <c r="E742" s="675"/>
      <c r="F742" s="676"/>
      <c r="G742" s="677"/>
      <c r="H742" s="678"/>
    </row>
    <row r="743" spans="1:8" x14ac:dyDescent="0.25">
      <c r="A743" s="671"/>
      <c r="B743" s="672"/>
      <c r="C743" s="673"/>
      <c r="D743" s="674"/>
      <c r="E743" s="675"/>
      <c r="F743" s="676"/>
      <c r="G743" s="677"/>
      <c r="H743" s="678"/>
    </row>
    <row r="744" spans="1:8" x14ac:dyDescent="0.25">
      <c r="A744" s="671"/>
      <c r="B744" s="672"/>
      <c r="C744" s="673"/>
      <c r="D744" s="674"/>
      <c r="E744" s="675"/>
      <c r="F744" s="676"/>
      <c r="G744" s="677"/>
      <c r="H744" s="678"/>
    </row>
    <row r="745" spans="1:8" x14ac:dyDescent="0.25">
      <c r="A745" s="671"/>
      <c r="B745" s="672"/>
      <c r="C745" s="673"/>
      <c r="D745" s="674"/>
      <c r="E745" s="675"/>
      <c r="F745" s="676"/>
      <c r="G745" s="677"/>
      <c r="H745" s="678"/>
    </row>
    <row r="746" spans="1:8" x14ac:dyDescent="0.25">
      <c r="A746" s="671"/>
      <c r="B746" s="672"/>
      <c r="C746" s="673"/>
      <c r="D746" s="674"/>
      <c r="E746" s="675"/>
      <c r="F746" s="676"/>
      <c r="G746" s="677"/>
      <c r="H746" s="678"/>
    </row>
    <row r="747" spans="1:8" x14ac:dyDescent="0.25">
      <c r="A747" s="671"/>
      <c r="B747" s="672"/>
      <c r="C747" s="673"/>
      <c r="D747" s="674"/>
      <c r="E747" s="675"/>
      <c r="F747" s="676"/>
      <c r="G747" s="677"/>
      <c r="H747" s="678"/>
    </row>
    <row r="748" spans="1:8" x14ac:dyDescent="0.25">
      <c r="A748" s="671"/>
      <c r="B748" s="672"/>
      <c r="C748" s="673"/>
      <c r="D748" s="674"/>
      <c r="E748" s="675"/>
      <c r="F748" s="676"/>
      <c r="G748" s="677"/>
      <c r="H748" s="678"/>
    </row>
    <row r="749" spans="1:8" x14ac:dyDescent="0.25">
      <c r="A749" s="671"/>
      <c r="B749" s="672"/>
      <c r="C749" s="673"/>
      <c r="D749" s="674"/>
      <c r="E749" s="675"/>
      <c r="F749" s="676"/>
      <c r="G749" s="677"/>
      <c r="H749" s="678"/>
    </row>
    <row r="750" spans="1:8" x14ac:dyDescent="0.25">
      <c r="A750" s="671"/>
      <c r="B750" s="672"/>
      <c r="C750" s="673"/>
      <c r="D750" s="674"/>
      <c r="E750" s="675"/>
      <c r="F750" s="676"/>
      <c r="G750" s="677"/>
      <c r="H750" s="678"/>
    </row>
    <row r="751" spans="1:8" x14ac:dyDescent="0.25">
      <c r="A751" s="671"/>
      <c r="B751" s="672"/>
      <c r="C751" s="673"/>
      <c r="D751" s="674"/>
      <c r="E751" s="675"/>
      <c r="F751" s="676"/>
      <c r="G751" s="677"/>
      <c r="H751" s="678"/>
    </row>
    <row r="752" spans="1:8" x14ac:dyDescent="0.25">
      <c r="A752" s="671"/>
      <c r="B752" s="672"/>
      <c r="C752" s="673"/>
      <c r="D752" s="674"/>
      <c r="E752" s="675"/>
      <c r="F752" s="676"/>
      <c r="G752" s="677"/>
      <c r="H752" s="678"/>
    </row>
    <row r="753" spans="1:8" x14ac:dyDescent="0.25">
      <c r="A753" s="671"/>
      <c r="B753" s="672"/>
      <c r="C753" s="673"/>
      <c r="D753" s="674"/>
      <c r="E753" s="675"/>
      <c r="F753" s="676"/>
      <c r="G753" s="677"/>
      <c r="H753" s="678"/>
    </row>
    <row r="754" spans="1:8" x14ac:dyDescent="0.25">
      <c r="A754" s="671"/>
      <c r="B754" s="672"/>
      <c r="C754" s="673"/>
      <c r="D754" s="674"/>
      <c r="E754" s="675"/>
      <c r="F754" s="676"/>
      <c r="G754" s="677"/>
      <c r="H754" s="678"/>
    </row>
    <row r="755" spans="1:8" x14ac:dyDescent="0.25">
      <c r="A755" s="671"/>
      <c r="B755" s="672"/>
      <c r="C755" s="673"/>
      <c r="D755" s="674"/>
      <c r="E755" s="675"/>
      <c r="F755" s="676"/>
      <c r="G755" s="677"/>
      <c r="H755" s="678"/>
    </row>
    <row r="756" spans="1:8" x14ac:dyDescent="0.25">
      <c r="A756" s="671"/>
      <c r="B756" s="672"/>
      <c r="C756" s="673"/>
      <c r="D756" s="674"/>
      <c r="E756" s="675"/>
      <c r="F756" s="676"/>
      <c r="G756" s="677"/>
      <c r="H756" s="678"/>
    </row>
    <row r="757" spans="1:8" x14ac:dyDescent="0.25">
      <c r="A757" s="671"/>
      <c r="B757" s="672"/>
      <c r="C757" s="673"/>
      <c r="D757" s="674"/>
      <c r="E757" s="675"/>
      <c r="F757" s="676"/>
      <c r="G757" s="677"/>
      <c r="H757" s="678"/>
    </row>
    <row r="758" spans="1:8" x14ac:dyDescent="0.25">
      <c r="A758" s="671"/>
      <c r="B758" s="672"/>
      <c r="C758" s="673"/>
      <c r="D758" s="674"/>
      <c r="E758" s="675"/>
      <c r="F758" s="676"/>
      <c r="G758" s="677"/>
      <c r="H758" s="678"/>
    </row>
    <row r="759" spans="1:8" x14ac:dyDescent="0.25">
      <c r="A759" s="671"/>
      <c r="B759" s="672"/>
      <c r="C759" s="673"/>
      <c r="D759" s="674"/>
      <c r="E759" s="675"/>
      <c r="F759" s="676"/>
      <c r="G759" s="677"/>
      <c r="H759" s="678"/>
    </row>
    <row r="760" spans="1:8" x14ac:dyDescent="0.25">
      <c r="A760" s="671"/>
      <c r="B760" s="672"/>
      <c r="C760" s="673"/>
      <c r="D760" s="674"/>
      <c r="E760" s="675"/>
      <c r="F760" s="676"/>
      <c r="G760" s="677"/>
      <c r="H760" s="678"/>
    </row>
    <row r="761" spans="1:8" x14ac:dyDescent="0.25">
      <c r="A761" s="671"/>
      <c r="B761" s="672"/>
      <c r="C761" s="673"/>
      <c r="D761" s="674"/>
      <c r="E761" s="675"/>
      <c r="F761" s="676"/>
      <c r="G761" s="677"/>
      <c r="H761" s="678"/>
    </row>
    <row r="762" spans="1:8" x14ac:dyDescent="0.25">
      <c r="A762" s="671"/>
      <c r="B762" s="672"/>
      <c r="C762" s="673"/>
      <c r="D762" s="674"/>
      <c r="E762" s="675"/>
      <c r="F762" s="676"/>
      <c r="G762" s="677"/>
      <c r="H762" s="678"/>
    </row>
    <row r="763" spans="1:8" x14ac:dyDescent="0.25">
      <c r="A763" s="671"/>
      <c r="B763" s="672"/>
      <c r="C763" s="673"/>
      <c r="D763" s="674"/>
      <c r="E763" s="675"/>
      <c r="F763" s="676"/>
      <c r="G763" s="677"/>
      <c r="H763" s="678"/>
    </row>
    <row r="764" spans="1:8" x14ac:dyDescent="0.25">
      <c r="A764" s="671"/>
      <c r="B764" s="672"/>
      <c r="C764" s="673"/>
      <c r="D764" s="674"/>
      <c r="E764" s="675"/>
      <c r="F764" s="676"/>
      <c r="G764" s="677"/>
      <c r="H764" s="678"/>
    </row>
    <row r="765" spans="1:8" x14ac:dyDescent="0.25">
      <c r="A765" s="671"/>
      <c r="B765" s="672"/>
      <c r="C765" s="673"/>
      <c r="D765" s="674"/>
      <c r="E765" s="675"/>
      <c r="F765" s="676"/>
      <c r="G765" s="677"/>
      <c r="H765" s="678"/>
    </row>
    <row r="766" spans="1:8" x14ac:dyDescent="0.25">
      <c r="A766" s="671"/>
      <c r="B766" s="672"/>
      <c r="C766" s="673"/>
      <c r="D766" s="674"/>
      <c r="E766" s="675"/>
      <c r="F766" s="676"/>
      <c r="G766" s="677"/>
      <c r="H766" s="678"/>
    </row>
    <row r="767" spans="1:8" x14ac:dyDescent="0.25">
      <c r="A767" s="671"/>
      <c r="B767" s="672"/>
      <c r="C767" s="673"/>
      <c r="D767" s="674"/>
      <c r="E767" s="675"/>
      <c r="F767" s="676"/>
      <c r="G767" s="677"/>
      <c r="H767" s="678"/>
    </row>
    <row r="768" spans="1:8" x14ac:dyDescent="0.25">
      <c r="A768" s="671"/>
      <c r="B768" s="672"/>
      <c r="C768" s="673"/>
      <c r="D768" s="674"/>
      <c r="E768" s="675"/>
      <c r="F768" s="676"/>
      <c r="G768" s="677"/>
      <c r="H768" s="678"/>
    </row>
    <row r="769" spans="1:8" x14ac:dyDescent="0.25">
      <c r="A769" s="671"/>
      <c r="B769" s="672"/>
      <c r="C769" s="673"/>
      <c r="D769" s="674"/>
      <c r="E769" s="675"/>
      <c r="F769" s="676"/>
      <c r="G769" s="677"/>
      <c r="H769" s="678"/>
    </row>
    <row r="770" spans="1:8" x14ac:dyDescent="0.25">
      <c r="A770" s="671"/>
      <c r="B770" s="672"/>
      <c r="C770" s="673"/>
      <c r="D770" s="674"/>
      <c r="E770" s="675"/>
      <c r="F770" s="676"/>
      <c r="G770" s="677"/>
      <c r="H770" s="678"/>
    </row>
    <row r="771" spans="1:8" x14ac:dyDescent="0.25">
      <c r="A771" s="671"/>
      <c r="B771" s="672"/>
      <c r="C771" s="673"/>
      <c r="D771" s="674"/>
      <c r="E771" s="675"/>
      <c r="F771" s="676"/>
      <c r="G771" s="677"/>
      <c r="H771" s="678"/>
    </row>
    <row r="772" spans="1:8" x14ac:dyDescent="0.25">
      <c r="A772" s="671"/>
      <c r="B772" s="672"/>
      <c r="C772" s="673"/>
      <c r="D772" s="674"/>
      <c r="E772" s="675"/>
      <c r="F772" s="676"/>
      <c r="G772" s="677"/>
      <c r="H772" s="678"/>
    </row>
    <row r="773" spans="1:8" x14ac:dyDescent="0.25">
      <c r="A773" s="671"/>
      <c r="B773" s="672"/>
      <c r="C773" s="673"/>
      <c r="D773" s="674"/>
      <c r="E773" s="675"/>
      <c r="F773" s="676"/>
      <c r="G773" s="677"/>
      <c r="H773" s="678"/>
    </row>
    <row r="774" spans="1:8" x14ac:dyDescent="0.25">
      <c r="A774" s="671"/>
      <c r="B774" s="672"/>
      <c r="C774" s="673"/>
      <c r="D774" s="674"/>
      <c r="E774" s="675"/>
      <c r="F774" s="676"/>
      <c r="G774" s="677"/>
      <c r="H774" s="678"/>
    </row>
    <row r="775" spans="1:8" x14ac:dyDescent="0.25">
      <c r="A775" s="671"/>
      <c r="B775" s="672"/>
      <c r="C775" s="673"/>
      <c r="D775" s="674"/>
      <c r="E775" s="675"/>
      <c r="F775" s="676"/>
      <c r="G775" s="677"/>
      <c r="H775" s="678"/>
    </row>
    <row r="776" spans="1:8" x14ac:dyDescent="0.25">
      <c r="A776" s="671"/>
      <c r="B776" s="672"/>
      <c r="C776" s="673"/>
      <c r="D776" s="674"/>
      <c r="E776" s="675"/>
      <c r="F776" s="676"/>
      <c r="G776" s="677"/>
      <c r="H776" s="678"/>
    </row>
    <row r="777" spans="1:8" x14ac:dyDescent="0.25">
      <c r="A777" s="671"/>
      <c r="B777" s="672"/>
      <c r="C777" s="673"/>
      <c r="D777" s="674"/>
      <c r="E777" s="675"/>
      <c r="F777" s="676"/>
      <c r="G777" s="677"/>
      <c r="H777" s="678"/>
    </row>
    <row r="778" spans="1:8" x14ac:dyDescent="0.25">
      <c r="A778" s="671"/>
      <c r="B778" s="672"/>
      <c r="C778" s="673"/>
      <c r="D778" s="674"/>
      <c r="E778" s="675"/>
      <c r="F778" s="676"/>
      <c r="G778" s="677"/>
      <c r="H778" s="678"/>
    </row>
    <row r="779" spans="1:8" x14ac:dyDescent="0.25">
      <c r="A779" s="671"/>
      <c r="B779" s="672"/>
      <c r="C779" s="673"/>
      <c r="D779" s="674"/>
      <c r="E779" s="675"/>
      <c r="F779" s="676"/>
      <c r="G779" s="677"/>
      <c r="H779" s="678"/>
    </row>
    <row r="780" spans="1:8" x14ac:dyDescent="0.25">
      <c r="A780" s="671"/>
      <c r="B780" s="672"/>
      <c r="C780" s="673"/>
      <c r="D780" s="674"/>
      <c r="E780" s="675"/>
      <c r="F780" s="676"/>
      <c r="G780" s="677"/>
      <c r="H780" s="678"/>
    </row>
    <row r="781" spans="1:8" x14ac:dyDescent="0.25">
      <c r="A781" s="671"/>
      <c r="B781" s="672"/>
      <c r="C781" s="673"/>
      <c r="D781" s="674"/>
      <c r="E781" s="675"/>
      <c r="F781" s="676"/>
      <c r="G781" s="677"/>
      <c r="H781" s="678"/>
    </row>
    <row r="782" spans="1:8" x14ac:dyDescent="0.25">
      <c r="A782" s="671"/>
      <c r="B782" s="672"/>
      <c r="C782" s="673"/>
      <c r="D782" s="674"/>
      <c r="E782" s="675"/>
      <c r="F782" s="676"/>
      <c r="G782" s="677"/>
      <c r="H782" s="678"/>
    </row>
    <row r="783" spans="1:8" x14ac:dyDescent="0.25">
      <c r="A783" s="671"/>
      <c r="B783" s="672"/>
      <c r="C783" s="673"/>
      <c r="D783" s="674"/>
      <c r="E783" s="675"/>
      <c r="F783" s="676"/>
      <c r="G783" s="677"/>
      <c r="H783" s="678"/>
    </row>
    <row r="784" spans="1:8" x14ac:dyDescent="0.25">
      <c r="A784" s="671"/>
      <c r="B784" s="672"/>
      <c r="C784" s="673"/>
      <c r="D784" s="674"/>
      <c r="E784" s="675"/>
      <c r="F784" s="676"/>
      <c r="G784" s="677"/>
      <c r="H784" s="678"/>
    </row>
    <row r="785" spans="1:8" x14ac:dyDescent="0.25">
      <c r="A785" s="671"/>
      <c r="B785" s="672"/>
      <c r="C785" s="673"/>
      <c r="D785" s="674"/>
      <c r="E785" s="675"/>
      <c r="F785" s="676"/>
      <c r="G785" s="677"/>
      <c r="H785" s="678"/>
    </row>
    <row r="786" spans="1:8" x14ac:dyDescent="0.25">
      <c r="A786" s="671"/>
      <c r="B786" s="672"/>
      <c r="C786" s="673"/>
      <c r="D786" s="674"/>
      <c r="E786" s="675"/>
      <c r="F786" s="676"/>
      <c r="G786" s="677"/>
      <c r="H786" s="678"/>
    </row>
    <row r="787" spans="1:8" x14ac:dyDescent="0.25">
      <c r="A787" s="671"/>
      <c r="B787" s="672"/>
      <c r="C787" s="673"/>
      <c r="D787" s="674"/>
      <c r="E787" s="675"/>
      <c r="F787" s="676"/>
      <c r="G787" s="677"/>
      <c r="H787" s="678"/>
    </row>
    <row r="788" spans="1:8" x14ac:dyDescent="0.25">
      <c r="A788" s="671"/>
      <c r="B788" s="672"/>
      <c r="C788" s="673"/>
      <c r="D788" s="674"/>
      <c r="E788" s="675"/>
      <c r="F788" s="676"/>
      <c r="G788" s="677"/>
      <c r="H788" s="678"/>
    </row>
    <row r="789" spans="1:8" x14ac:dyDescent="0.25">
      <c r="A789" s="671"/>
      <c r="B789" s="672"/>
      <c r="C789" s="673"/>
      <c r="D789" s="674"/>
      <c r="E789" s="675"/>
      <c r="F789" s="676"/>
      <c r="G789" s="677"/>
      <c r="H789" s="678"/>
    </row>
    <row r="790" spans="1:8" x14ac:dyDescent="0.25">
      <c r="A790" s="671"/>
      <c r="B790" s="672"/>
      <c r="C790" s="673"/>
      <c r="D790" s="674"/>
      <c r="E790" s="675"/>
      <c r="F790" s="676"/>
      <c r="G790" s="677"/>
      <c r="H790" s="678"/>
    </row>
    <row r="791" spans="1:8" x14ac:dyDescent="0.25">
      <c r="A791" s="671"/>
      <c r="B791" s="672"/>
      <c r="C791" s="673"/>
      <c r="D791" s="674"/>
      <c r="E791" s="675"/>
      <c r="F791" s="676"/>
      <c r="G791" s="677"/>
      <c r="H791" s="678"/>
    </row>
    <row r="792" spans="1:8" x14ac:dyDescent="0.25">
      <c r="A792" s="671"/>
      <c r="B792" s="672"/>
      <c r="C792" s="673"/>
      <c r="D792" s="674"/>
      <c r="E792" s="675"/>
      <c r="F792" s="676"/>
      <c r="G792" s="677"/>
      <c r="H792" s="678"/>
    </row>
    <row r="793" spans="1:8" x14ac:dyDescent="0.25">
      <c r="A793" s="671"/>
      <c r="B793" s="672"/>
      <c r="C793" s="673"/>
      <c r="D793" s="674"/>
      <c r="E793" s="675"/>
      <c r="F793" s="676"/>
      <c r="G793" s="677"/>
      <c r="H793" s="678"/>
    </row>
    <row r="794" spans="1:8" x14ac:dyDescent="0.25">
      <c r="A794" s="671"/>
      <c r="B794" s="672"/>
      <c r="C794" s="673"/>
      <c r="D794" s="674"/>
      <c r="E794" s="675"/>
      <c r="F794" s="676"/>
      <c r="G794" s="677"/>
      <c r="H794" s="678"/>
    </row>
    <row r="795" spans="1:8" x14ac:dyDescent="0.25">
      <c r="A795" s="671"/>
      <c r="B795" s="672"/>
      <c r="C795" s="673"/>
      <c r="D795" s="674"/>
      <c r="E795" s="675"/>
      <c r="F795" s="676"/>
      <c r="G795" s="677"/>
      <c r="H795" s="678"/>
    </row>
    <row r="796" spans="1:8" x14ac:dyDescent="0.25">
      <c r="A796" s="671"/>
      <c r="B796" s="672"/>
      <c r="C796" s="673"/>
      <c r="D796" s="674"/>
      <c r="E796" s="675"/>
      <c r="F796" s="676"/>
      <c r="G796" s="677"/>
      <c r="H796" s="678"/>
    </row>
    <row r="797" spans="1:8" x14ac:dyDescent="0.25">
      <c r="A797" s="671"/>
      <c r="B797" s="672"/>
      <c r="C797" s="673"/>
      <c r="D797" s="674"/>
      <c r="E797" s="675"/>
      <c r="F797" s="676"/>
      <c r="G797" s="677"/>
      <c r="H797" s="678"/>
    </row>
    <row r="798" spans="1:8" x14ac:dyDescent="0.25">
      <c r="A798" s="671"/>
      <c r="B798" s="672"/>
      <c r="C798" s="673"/>
      <c r="D798" s="674"/>
      <c r="E798" s="675"/>
      <c r="F798" s="676"/>
      <c r="G798" s="677"/>
      <c r="H798" s="678"/>
    </row>
    <row r="799" spans="1:8" x14ac:dyDescent="0.25">
      <c r="A799" s="671"/>
      <c r="B799" s="672"/>
      <c r="C799" s="673"/>
      <c r="D799" s="674"/>
      <c r="E799" s="675"/>
      <c r="F799" s="676"/>
      <c r="G799" s="677"/>
      <c r="H799" s="678"/>
    </row>
    <row r="800" spans="1:8" x14ac:dyDescent="0.25">
      <c r="A800" s="671"/>
      <c r="B800" s="672"/>
      <c r="C800" s="673"/>
      <c r="D800" s="674"/>
      <c r="E800" s="675"/>
      <c r="F800" s="676"/>
      <c r="G800" s="677"/>
      <c r="H800" s="678"/>
    </row>
    <row r="801" spans="1:8" x14ac:dyDescent="0.25">
      <c r="A801" s="671"/>
      <c r="B801" s="672"/>
      <c r="C801" s="673"/>
      <c r="D801" s="674"/>
      <c r="E801" s="675"/>
      <c r="F801" s="676"/>
      <c r="G801" s="677"/>
      <c r="H801" s="678"/>
    </row>
    <row r="802" spans="1:8" x14ac:dyDescent="0.25">
      <c r="A802" s="671"/>
      <c r="B802" s="672"/>
      <c r="C802" s="673"/>
      <c r="D802" s="674"/>
      <c r="E802" s="675"/>
      <c r="F802" s="676"/>
      <c r="G802" s="677"/>
      <c r="H802" s="678"/>
    </row>
    <row r="803" spans="1:8" x14ac:dyDescent="0.25">
      <c r="A803" s="671"/>
      <c r="B803" s="672"/>
      <c r="C803" s="673"/>
      <c r="D803" s="674"/>
      <c r="E803" s="675"/>
      <c r="F803" s="676"/>
      <c r="G803" s="677"/>
      <c r="H803" s="678"/>
    </row>
    <row r="804" spans="1:8" x14ac:dyDescent="0.25">
      <c r="A804" s="671"/>
      <c r="B804" s="672"/>
      <c r="C804" s="673"/>
      <c r="D804" s="674"/>
      <c r="E804" s="675"/>
      <c r="F804" s="676"/>
      <c r="G804" s="677"/>
      <c r="H804" s="678"/>
    </row>
    <row r="805" spans="1:8" x14ac:dyDescent="0.25">
      <c r="A805" s="671"/>
      <c r="B805" s="672"/>
      <c r="C805" s="673"/>
      <c r="D805" s="674"/>
      <c r="E805" s="675"/>
      <c r="F805" s="676"/>
      <c r="G805" s="677"/>
      <c r="H805" s="678"/>
    </row>
    <row r="806" spans="1:8" x14ac:dyDescent="0.25">
      <c r="A806" s="671"/>
      <c r="B806" s="672"/>
      <c r="C806" s="673"/>
      <c r="D806" s="674"/>
      <c r="E806" s="675"/>
      <c r="F806" s="676"/>
      <c r="G806" s="677"/>
      <c r="H806" s="678"/>
    </row>
    <row r="807" spans="1:8" x14ac:dyDescent="0.25">
      <c r="A807" s="671"/>
      <c r="B807" s="672"/>
      <c r="C807" s="673"/>
      <c r="D807" s="674"/>
      <c r="E807" s="675"/>
      <c r="F807" s="676"/>
      <c r="G807" s="677"/>
      <c r="H807" s="678"/>
    </row>
    <row r="808" spans="1:8" x14ac:dyDescent="0.25">
      <c r="A808" s="671"/>
      <c r="B808" s="672"/>
      <c r="C808" s="673"/>
      <c r="D808" s="674"/>
      <c r="E808" s="675"/>
      <c r="F808" s="676"/>
      <c r="G808" s="677"/>
      <c r="H808" s="678"/>
    </row>
    <row r="809" spans="1:8" x14ac:dyDescent="0.25">
      <c r="A809" s="671"/>
      <c r="B809" s="672"/>
      <c r="C809" s="673"/>
      <c r="D809" s="674"/>
      <c r="E809" s="675"/>
      <c r="F809" s="676"/>
      <c r="G809" s="677"/>
      <c r="H809" s="678"/>
    </row>
    <row r="810" spans="1:8" x14ac:dyDescent="0.25">
      <c r="A810" s="671"/>
      <c r="B810" s="672"/>
      <c r="C810" s="673"/>
      <c r="D810" s="674"/>
      <c r="E810" s="675"/>
      <c r="F810" s="676"/>
      <c r="G810" s="677"/>
      <c r="H810" s="678"/>
    </row>
    <row r="811" spans="1:8" x14ac:dyDescent="0.25">
      <c r="A811" s="671"/>
      <c r="B811" s="672"/>
      <c r="C811" s="673"/>
      <c r="D811" s="674"/>
      <c r="E811" s="675"/>
      <c r="F811" s="676"/>
      <c r="G811" s="677"/>
      <c r="H811" s="678"/>
    </row>
    <row r="812" spans="1:8" x14ac:dyDescent="0.25">
      <c r="A812" s="671"/>
      <c r="B812" s="672"/>
      <c r="C812" s="673"/>
      <c r="D812" s="674"/>
      <c r="E812" s="675"/>
      <c r="F812" s="676"/>
      <c r="G812" s="677"/>
      <c r="H812" s="678"/>
    </row>
    <row r="813" spans="1:8" x14ac:dyDescent="0.25">
      <c r="A813" s="671"/>
      <c r="B813" s="672"/>
      <c r="C813" s="673"/>
      <c r="D813" s="674"/>
      <c r="E813" s="675"/>
      <c r="F813" s="676"/>
      <c r="G813" s="677"/>
      <c r="H813" s="678"/>
    </row>
    <row r="814" spans="1:8" x14ac:dyDescent="0.25">
      <c r="A814" s="671"/>
      <c r="B814" s="672"/>
      <c r="C814" s="673"/>
      <c r="D814" s="674"/>
      <c r="E814" s="675"/>
      <c r="F814" s="676"/>
      <c r="G814" s="677"/>
      <c r="H814" s="678"/>
    </row>
    <row r="815" spans="1:8" x14ac:dyDescent="0.25">
      <c r="A815" s="671"/>
      <c r="B815" s="672"/>
      <c r="C815" s="673"/>
      <c r="D815" s="674"/>
      <c r="E815" s="675"/>
      <c r="F815" s="676"/>
      <c r="G815" s="677"/>
      <c r="H815" s="678"/>
    </row>
    <row r="816" spans="1:8" x14ac:dyDescent="0.25">
      <c r="A816" s="671"/>
      <c r="B816" s="672"/>
      <c r="C816" s="673"/>
      <c r="D816" s="674"/>
      <c r="E816" s="675"/>
      <c r="F816" s="676"/>
      <c r="G816" s="677"/>
      <c r="H816" s="678"/>
    </row>
    <row r="817" spans="1:8" x14ac:dyDescent="0.25">
      <c r="A817" s="671"/>
      <c r="B817" s="672"/>
      <c r="C817" s="673"/>
      <c r="D817" s="674"/>
      <c r="E817" s="675"/>
      <c r="F817" s="676"/>
      <c r="G817" s="677"/>
      <c r="H817" s="678"/>
    </row>
    <row r="818" spans="1:8" x14ac:dyDescent="0.25">
      <c r="A818" s="671"/>
      <c r="B818" s="672"/>
      <c r="C818" s="673"/>
      <c r="D818" s="674"/>
      <c r="E818" s="675"/>
      <c r="F818" s="676"/>
      <c r="G818" s="677"/>
      <c r="H818" s="678"/>
    </row>
    <row r="819" spans="1:8" x14ac:dyDescent="0.25">
      <c r="A819" s="671"/>
      <c r="B819" s="672"/>
      <c r="C819" s="673"/>
      <c r="D819" s="674"/>
      <c r="E819" s="675"/>
      <c r="F819" s="676"/>
      <c r="G819" s="677"/>
      <c r="H819" s="678"/>
    </row>
    <row r="820" spans="1:8" x14ac:dyDescent="0.25">
      <c r="A820" s="671"/>
      <c r="B820" s="672"/>
      <c r="C820" s="673"/>
      <c r="D820" s="674"/>
      <c r="E820" s="675"/>
      <c r="F820" s="676"/>
      <c r="G820" s="677"/>
      <c r="H820" s="678"/>
    </row>
    <row r="821" spans="1:8" x14ac:dyDescent="0.25">
      <c r="A821" s="671"/>
      <c r="B821" s="672"/>
      <c r="C821" s="673"/>
      <c r="D821" s="674"/>
      <c r="E821" s="675"/>
      <c r="F821" s="676"/>
      <c r="G821" s="677"/>
      <c r="H821" s="678"/>
    </row>
    <row r="822" spans="1:8" x14ac:dyDescent="0.25">
      <c r="A822" s="671"/>
      <c r="B822" s="672"/>
      <c r="C822" s="673"/>
      <c r="D822" s="674"/>
      <c r="E822" s="675"/>
      <c r="F822" s="676"/>
      <c r="G822" s="677"/>
      <c r="H822" s="678"/>
    </row>
    <row r="823" spans="1:8" x14ac:dyDescent="0.25">
      <c r="A823" s="671"/>
      <c r="B823" s="672"/>
      <c r="C823" s="673"/>
      <c r="D823" s="674"/>
      <c r="E823" s="675"/>
      <c r="F823" s="676"/>
      <c r="G823" s="677"/>
      <c r="H823" s="678"/>
    </row>
    <row r="824" spans="1:8" x14ac:dyDescent="0.25">
      <c r="A824" s="671"/>
      <c r="B824" s="672"/>
      <c r="C824" s="673"/>
      <c r="D824" s="674"/>
      <c r="E824" s="675"/>
      <c r="F824" s="676"/>
      <c r="G824" s="677"/>
      <c r="H824" s="678"/>
    </row>
    <row r="825" spans="1:8" x14ac:dyDescent="0.25">
      <c r="A825" s="671"/>
      <c r="B825" s="672"/>
      <c r="C825" s="673"/>
      <c r="D825" s="674"/>
      <c r="E825" s="675"/>
      <c r="F825" s="676"/>
      <c r="G825" s="677"/>
      <c r="H825" s="678"/>
    </row>
    <row r="826" spans="1:8" x14ac:dyDescent="0.25">
      <c r="A826" s="671"/>
      <c r="B826" s="672"/>
      <c r="C826" s="673"/>
      <c r="D826" s="674"/>
      <c r="E826" s="675"/>
      <c r="F826" s="676"/>
      <c r="G826" s="677"/>
      <c r="H826" s="678"/>
    </row>
    <row r="827" spans="1:8" x14ac:dyDescent="0.25">
      <c r="A827" s="671"/>
      <c r="B827" s="672"/>
      <c r="C827" s="673"/>
      <c r="D827" s="674"/>
      <c r="E827" s="675"/>
      <c r="F827" s="676"/>
      <c r="G827" s="677"/>
      <c r="H827" s="678"/>
    </row>
    <row r="828" spans="1:8" x14ac:dyDescent="0.25">
      <c r="A828" s="671"/>
      <c r="B828" s="672"/>
      <c r="C828" s="673"/>
      <c r="D828" s="674"/>
      <c r="E828" s="675"/>
      <c r="F828" s="676"/>
      <c r="G828" s="677"/>
      <c r="H828" s="678"/>
    </row>
    <row r="829" spans="1:8" x14ac:dyDescent="0.25">
      <c r="A829" s="671"/>
      <c r="B829" s="672"/>
      <c r="C829" s="673"/>
      <c r="D829" s="674"/>
      <c r="E829" s="675"/>
      <c r="F829" s="676"/>
      <c r="G829" s="677"/>
      <c r="H829" s="678"/>
    </row>
    <row r="830" spans="1:8" x14ac:dyDescent="0.25">
      <c r="A830" s="671"/>
      <c r="B830" s="672"/>
      <c r="C830" s="673"/>
      <c r="D830" s="674"/>
      <c r="E830" s="675"/>
      <c r="F830" s="676"/>
      <c r="G830" s="677"/>
      <c r="H830" s="678"/>
    </row>
    <row r="831" spans="1:8" x14ac:dyDescent="0.25">
      <c r="A831" s="671"/>
      <c r="B831" s="672"/>
      <c r="C831" s="673"/>
      <c r="D831" s="674"/>
      <c r="E831" s="675"/>
      <c r="F831" s="676"/>
      <c r="G831" s="677"/>
      <c r="H831" s="678"/>
    </row>
    <row r="832" spans="1:8" x14ac:dyDescent="0.25">
      <c r="A832" s="671"/>
      <c r="B832" s="672"/>
      <c r="C832" s="673"/>
      <c r="D832" s="674"/>
      <c r="E832" s="675"/>
      <c r="F832" s="676"/>
      <c r="G832" s="677"/>
      <c r="H832" s="678"/>
    </row>
    <row r="833" spans="1:8" x14ac:dyDescent="0.25">
      <c r="A833" s="671"/>
      <c r="B833" s="672"/>
      <c r="C833" s="673"/>
      <c r="D833" s="674"/>
      <c r="E833" s="675"/>
      <c r="F833" s="676"/>
      <c r="G833" s="677"/>
      <c r="H833" s="678"/>
    </row>
    <row r="834" spans="1:8" x14ac:dyDescent="0.25">
      <c r="A834" s="671"/>
      <c r="B834" s="672"/>
      <c r="C834" s="673"/>
      <c r="D834" s="674"/>
      <c r="E834" s="675"/>
      <c r="F834" s="676"/>
      <c r="G834" s="677"/>
      <c r="H834" s="678"/>
    </row>
    <row r="835" spans="1:8" x14ac:dyDescent="0.25">
      <c r="A835" s="671"/>
      <c r="B835" s="672"/>
      <c r="C835" s="673"/>
      <c r="D835" s="674"/>
      <c r="E835" s="675"/>
      <c r="F835" s="676"/>
      <c r="G835" s="677"/>
      <c r="H835" s="678"/>
    </row>
    <row r="836" spans="1:8" x14ac:dyDescent="0.25">
      <c r="A836" s="671"/>
      <c r="B836" s="672"/>
      <c r="C836" s="673"/>
      <c r="D836" s="674"/>
      <c r="E836" s="675"/>
      <c r="F836" s="676"/>
      <c r="G836" s="677"/>
      <c r="H836" s="678"/>
    </row>
    <row r="837" spans="1:8" x14ac:dyDescent="0.25">
      <c r="A837" s="671"/>
      <c r="B837" s="672"/>
      <c r="C837" s="673"/>
      <c r="D837" s="674"/>
      <c r="E837" s="675"/>
      <c r="F837" s="676"/>
      <c r="G837" s="677"/>
      <c r="H837" s="678"/>
    </row>
    <row r="838" spans="1:8" x14ac:dyDescent="0.25">
      <c r="A838" s="671"/>
      <c r="B838" s="672"/>
      <c r="C838" s="673"/>
      <c r="D838" s="674"/>
      <c r="E838" s="675"/>
      <c r="F838" s="676"/>
      <c r="G838" s="677"/>
      <c r="H838" s="678"/>
    </row>
    <row r="839" spans="1:8" x14ac:dyDescent="0.25">
      <c r="A839" s="671"/>
      <c r="B839" s="672"/>
      <c r="C839" s="673"/>
      <c r="D839" s="674"/>
      <c r="E839" s="675"/>
      <c r="F839" s="676"/>
      <c r="G839" s="677"/>
      <c r="H839" s="678"/>
    </row>
    <row r="840" spans="1:8" x14ac:dyDescent="0.25">
      <c r="A840" s="671"/>
      <c r="B840" s="672"/>
      <c r="C840" s="673"/>
      <c r="D840" s="674"/>
      <c r="E840" s="675"/>
      <c r="F840" s="676"/>
      <c r="G840" s="677"/>
      <c r="H840" s="678"/>
    </row>
    <row r="841" spans="1:8" x14ac:dyDescent="0.25">
      <c r="A841" s="671"/>
      <c r="B841" s="672"/>
      <c r="C841" s="673"/>
      <c r="D841" s="674"/>
      <c r="E841" s="675"/>
      <c r="F841" s="676"/>
      <c r="G841" s="677"/>
      <c r="H841" s="678"/>
    </row>
    <row r="842" spans="1:8" x14ac:dyDescent="0.25">
      <c r="A842" s="671"/>
      <c r="B842" s="672"/>
      <c r="C842" s="673"/>
      <c r="D842" s="674"/>
      <c r="E842" s="675"/>
      <c r="F842" s="676"/>
      <c r="G842" s="677"/>
      <c r="H842" s="678"/>
    </row>
    <row r="843" spans="1:8" x14ac:dyDescent="0.25">
      <c r="A843" s="671"/>
      <c r="B843" s="672"/>
      <c r="C843" s="673"/>
      <c r="D843" s="674"/>
      <c r="E843" s="675"/>
      <c r="F843" s="676"/>
      <c r="G843" s="677"/>
      <c r="H843" s="678"/>
    </row>
    <row r="844" spans="1:8" x14ac:dyDescent="0.25">
      <c r="A844" s="671"/>
      <c r="B844" s="672"/>
      <c r="C844" s="673"/>
      <c r="D844" s="674"/>
      <c r="E844" s="675"/>
      <c r="F844" s="676"/>
      <c r="G844" s="677"/>
      <c r="H844" s="678"/>
    </row>
    <row r="845" spans="1:8" x14ac:dyDescent="0.25">
      <c r="A845" s="671"/>
      <c r="B845" s="672"/>
      <c r="C845" s="673"/>
      <c r="D845" s="674"/>
      <c r="E845" s="675"/>
      <c r="F845" s="676"/>
      <c r="G845" s="677"/>
      <c r="H845" s="678"/>
    </row>
    <row r="846" spans="1:8" x14ac:dyDescent="0.25">
      <c r="A846" s="671"/>
      <c r="B846" s="672"/>
      <c r="C846" s="673"/>
      <c r="D846" s="674"/>
      <c r="E846" s="675"/>
      <c r="F846" s="676"/>
      <c r="G846" s="677"/>
      <c r="H846" s="678"/>
    </row>
    <row r="847" spans="1:8" x14ac:dyDescent="0.25">
      <c r="A847" s="671"/>
      <c r="B847" s="672"/>
      <c r="C847" s="673"/>
      <c r="D847" s="674"/>
      <c r="E847" s="675"/>
      <c r="F847" s="676"/>
      <c r="G847" s="677"/>
      <c r="H847" s="678"/>
    </row>
    <row r="848" spans="1:8" x14ac:dyDescent="0.25">
      <c r="A848" s="671"/>
      <c r="B848" s="672"/>
      <c r="C848" s="673"/>
      <c r="D848" s="674"/>
      <c r="E848" s="675"/>
      <c r="F848" s="676"/>
      <c r="G848" s="677"/>
      <c r="H848" s="678"/>
    </row>
    <row r="849" spans="1:8" x14ac:dyDescent="0.25">
      <c r="A849" s="671"/>
      <c r="B849" s="672"/>
      <c r="C849" s="673"/>
      <c r="D849" s="674"/>
      <c r="E849" s="675"/>
      <c r="F849" s="676"/>
      <c r="G849" s="677"/>
      <c r="H849" s="678"/>
    </row>
    <row r="850" spans="1:8" x14ac:dyDescent="0.25">
      <c r="A850" s="671"/>
      <c r="B850" s="672"/>
      <c r="C850" s="673"/>
      <c r="D850" s="674"/>
      <c r="E850" s="675"/>
      <c r="F850" s="676"/>
      <c r="G850" s="677"/>
      <c r="H850" s="678"/>
    </row>
    <row r="851" spans="1:8" x14ac:dyDescent="0.25">
      <c r="A851" s="671"/>
      <c r="B851" s="672"/>
      <c r="C851" s="673"/>
      <c r="D851" s="674"/>
      <c r="E851" s="675"/>
      <c r="F851" s="676"/>
      <c r="G851" s="677"/>
      <c r="H851" s="678"/>
    </row>
  </sheetData>
  <mergeCells count="4">
    <mergeCell ref="A1:F1"/>
    <mergeCell ref="A2:F2"/>
    <mergeCell ref="A5:A6"/>
    <mergeCell ref="A395:A396"/>
  </mergeCells>
  <conditionalFormatting sqref="D234">
    <cfRule type="cellIs" dxfId="39" priority="35" operator="notEqual">
      <formula>#REF!</formula>
    </cfRule>
  </conditionalFormatting>
  <conditionalFormatting sqref="D236:D237">
    <cfRule type="cellIs" dxfId="38" priority="34" operator="notEqual">
      <formula>#REF!</formula>
    </cfRule>
  </conditionalFormatting>
  <conditionalFormatting sqref="D211:D213 D72:D94 D108 D70 D171:D188 D96:D103">
    <cfRule type="cellIs" dxfId="37" priority="50" operator="notEqual">
      <formula>#REF!</formula>
    </cfRule>
  </conditionalFormatting>
  <conditionalFormatting sqref="D227:D232 C231 C227 D234:D267 C255">
    <cfRule type="cellIs" dxfId="36" priority="48" operator="notEqual">
      <formula>#REF!</formula>
    </cfRule>
  </conditionalFormatting>
  <conditionalFormatting sqref="D218:D219 C219">
    <cfRule type="cellIs" dxfId="35" priority="47" operator="notEqual">
      <formula>#REF!</formula>
    </cfRule>
  </conditionalFormatting>
  <conditionalFormatting sqref="D221">
    <cfRule type="cellIs" dxfId="34" priority="46" operator="notEqual">
      <formula>#REF!</formula>
    </cfRule>
  </conditionalFormatting>
  <conditionalFormatting sqref="C210:D210 D244:D251">
    <cfRule type="cellIs" dxfId="33" priority="45" operator="notEqual">
      <formula>#REF!</formula>
    </cfRule>
  </conditionalFormatting>
  <conditionalFormatting sqref="D233">
    <cfRule type="cellIs" dxfId="32" priority="44" operator="notEqual">
      <formula>#REF!</formula>
    </cfRule>
  </conditionalFormatting>
  <conditionalFormatting sqref="D222:D223">
    <cfRule type="cellIs" dxfId="31" priority="43" operator="notEqual">
      <formula>#REF!</formula>
    </cfRule>
  </conditionalFormatting>
  <conditionalFormatting sqref="D224">
    <cfRule type="cellIs" dxfId="30" priority="42" operator="notEqual">
      <formula>#REF!</formula>
    </cfRule>
  </conditionalFormatting>
  <conditionalFormatting sqref="D222:D223 D225:D227 C227">
    <cfRule type="cellIs" dxfId="29" priority="41" operator="notEqual">
      <formula>#REF!</formula>
    </cfRule>
  </conditionalFormatting>
  <conditionalFormatting sqref="D228:D231 C231">
    <cfRule type="cellIs" dxfId="28" priority="40" operator="notEqual">
      <formula>#REF!</formula>
    </cfRule>
  </conditionalFormatting>
  <conditionalFormatting sqref="D232">
    <cfRule type="cellIs" dxfId="27" priority="39" operator="notEqual">
      <formula>#REF!</formula>
    </cfRule>
  </conditionalFormatting>
  <conditionalFormatting sqref="D224">
    <cfRule type="cellIs" dxfId="26" priority="38" operator="notEqual">
      <formula>#REF!</formula>
    </cfRule>
  </conditionalFormatting>
  <conditionalFormatting sqref="D233">
    <cfRule type="cellIs" dxfId="25" priority="37" operator="notEqual">
      <formula>#REF!</formula>
    </cfRule>
  </conditionalFormatting>
  <conditionalFormatting sqref="D235">
    <cfRule type="cellIs" dxfId="24" priority="36" operator="notEqual">
      <formula>#REF!</formula>
    </cfRule>
  </conditionalFormatting>
  <conditionalFormatting sqref="D235">
    <cfRule type="cellIs" dxfId="23" priority="33" operator="notEqual">
      <formula>#REF!</formula>
    </cfRule>
  </conditionalFormatting>
  <conditionalFormatting sqref="D95">
    <cfRule type="cellIs" dxfId="22" priority="32" operator="notEqual">
      <formula>#REF!</formula>
    </cfRule>
  </conditionalFormatting>
  <conditionalFormatting sqref="D222:D223 D225:D227 C227">
    <cfRule type="cellIs" dxfId="21" priority="25" operator="notEqual">
      <formula>#REF!</formula>
    </cfRule>
  </conditionalFormatting>
  <conditionalFormatting sqref="D228:D230">
    <cfRule type="cellIs" dxfId="20" priority="24" operator="notEqual">
      <formula>#REF!</formula>
    </cfRule>
  </conditionalFormatting>
  <conditionalFormatting sqref="D232">
    <cfRule type="cellIs" dxfId="19" priority="23" operator="notEqual">
      <formula>#REF!</formula>
    </cfRule>
  </conditionalFormatting>
  <conditionalFormatting sqref="D224">
    <cfRule type="cellIs" dxfId="18" priority="22" operator="notEqual">
      <formula>#REF!</formula>
    </cfRule>
  </conditionalFormatting>
  <conditionalFormatting sqref="D243">
    <cfRule type="cellIs" dxfId="17" priority="21" operator="notEqual">
      <formula>#REF!</formula>
    </cfRule>
  </conditionalFormatting>
  <conditionalFormatting sqref="D233">
    <cfRule type="cellIs" dxfId="16" priority="20" operator="notEqual">
      <formula>#REF!</formula>
    </cfRule>
  </conditionalFormatting>
  <conditionalFormatting sqref="D235">
    <cfRule type="cellIs" dxfId="15" priority="19" operator="notEqual">
      <formula>#REF!</formula>
    </cfRule>
  </conditionalFormatting>
  <conditionalFormatting sqref="D234">
    <cfRule type="cellIs" dxfId="14" priority="18" operator="notEqual">
      <formula>#REF!</formula>
    </cfRule>
  </conditionalFormatting>
  <conditionalFormatting sqref="D261">
    <cfRule type="cellIs" dxfId="13" priority="17" operator="notEqual">
      <formula>#REF!</formula>
    </cfRule>
  </conditionalFormatting>
  <conditionalFormatting sqref="D233:D234 D236:D238">
    <cfRule type="cellIs" dxfId="12" priority="16" operator="notEqual">
      <formula>#REF!</formula>
    </cfRule>
  </conditionalFormatting>
  <conditionalFormatting sqref="D239:D241">
    <cfRule type="cellIs" dxfId="11" priority="15" operator="notEqual">
      <formula>#REF!</formula>
    </cfRule>
  </conditionalFormatting>
  <conditionalFormatting sqref="D242">
    <cfRule type="cellIs" dxfId="10" priority="14" operator="notEqual">
      <formula>#REF!</formula>
    </cfRule>
  </conditionalFormatting>
  <conditionalFormatting sqref="D235">
    <cfRule type="cellIs" dxfId="9" priority="13" operator="notEqual">
      <formula>#REF!</formula>
    </cfRule>
  </conditionalFormatting>
  <conditionalFormatting sqref="D243">
    <cfRule type="cellIs" dxfId="8" priority="12" operator="notEqual">
      <formula>#REF!</formula>
    </cfRule>
  </conditionalFormatting>
  <conditionalFormatting sqref="D252">
    <cfRule type="cellIs" dxfId="7" priority="11" operator="notEqual">
      <formula>#REF!</formula>
    </cfRule>
  </conditionalFormatting>
  <conditionalFormatting sqref="D253:D254">
    <cfRule type="cellIs" dxfId="6" priority="10" operator="notEqual">
      <formula>#REF!</formula>
    </cfRule>
  </conditionalFormatting>
  <conditionalFormatting sqref="D252">
    <cfRule type="cellIs" dxfId="5" priority="9" operator="notEqual">
      <formula>#REF!</formula>
    </cfRule>
  </conditionalFormatting>
  <conditionalFormatting sqref="D214:D217">
    <cfRule type="cellIs" dxfId="4" priority="7" operator="notEqual">
      <formula>#REF!</formula>
    </cfRule>
  </conditionalFormatting>
  <conditionalFormatting sqref="D104:D107">
    <cfRule type="cellIs" dxfId="3" priority="6" operator="notEqual">
      <formula>#REF!</formula>
    </cfRule>
  </conditionalFormatting>
  <conditionalFormatting sqref="D267">
    <cfRule type="cellIs" dxfId="2" priority="5" operator="notEqual">
      <formula>#REF!</formula>
    </cfRule>
  </conditionalFormatting>
  <conditionalFormatting sqref="D189:D203 D209">
    <cfRule type="cellIs" dxfId="1" priority="4" operator="notEqual">
      <formula>#REF!</formula>
    </cfRule>
  </conditionalFormatting>
  <conditionalFormatting sqref="D204:D208">
    <cfRule type="cellIs" dxfId="0" priority="3" operator="notEqual">
      <formula>#REF!</formula>
    </cfRule>
  </conditionalFormatting>
  <pageMargins left="0.70866141732283472" right="0.70866141732283472" top="0.78740157480314965" bottom="0.78740157480314965" header="0.31496062992125984" footer="0.31496062992125984"/>
  <pageSetup paperSize="9" scale="56" fitToHeight="11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85"/>
  <sheetViews>
    <sheetView zoomScaleNormal="100" workbookViewId="0">
      <selection activeCell="I23" sqref="I23"/>
    </sheetView>
  </sheetViews>
  <sheetFormatPr defaultColWidth="9.140625" defaultRowHeight="15.75" x14ac:dyDescent="0.25"/>
  <cols>
    <col min="1" max="1" width="11.28515625" style="104" customWidth="1"/>
    <col min="2" max="2" width="86.5703125" style="42" customWidth="1"/>
    <col min="3" max="3" width="17.5703125" style="42" customWidth="1"/>
    <col min="4" max="4" width="16.7109375" style="45" bestFit="1" customWidth="1"/>
    <col min="5" max="5" width="15" style="105" bestFit="1" customWidth="1"/>
    <col min="6" max="6" width="17.140625" style="105" customWidth="1"/>
    <col min="7" max="7" width="22" style="106" customWidth="1"/>
    <col min="8" max="8" width="24.5703125" style="42" customWidth="1"/>
    <col min="9" max="9" width="25" style="42" bestFit="1" customWidth="1"/>
    <col min="10" max="10" width="9.85546875" style="42" bestFit="1" customWidth="1"/>
    <col min="11" max="11" width="11" style="42" bestFit="1" customWidth="1"/>
    <col min="12" max="16384" width="9.140625" style="42"/>
  </cols>
  <sheetData>
    <row r="1" spans="1:8" s="2" customFormat="1" ht="22.5" x14ac:dyDescent="0.3">
      <c r="A1" s="681" t="s">
        <v>0</v>
      </c>
      <c r="B1" s="681"/>
      <c r="C1" s="681"/>
      <c r="D1" s="681"/>
      <c r="E1" s="681"/>
      <c r="F1" s="681"/>
      <c r="G1" s="1"/>
    </row>
    <row r="2" spans="1:8" s="2" customFormat="1" ht="22.5" x14ac:dyDescent="0.3">
      <c r="A2" s="681" t="s">
        <v>125</v>
      </c>
      <c r="B2" s="681"/>
      <c r="C2" s="681"/>
      <c r="D2" s="681"/>
      <c r="E2" s="681"/>
      <c r="F2" s="681"/>
      <c r="G2" s="1"/>
    </row>
    <row r="3" spans="1:8" s="2" customFormat="1" ht="22.5" x14ac:dyDescent="0.3">
      <c r="A3" s="182"/>
      <c r="B3" s="120"/>
      <c r="C3" s="162"/>
      <c r="D3" s="121"/>
      <c r="E3" s="182"/>
      <c r="F3" s="182"/>
      <c r="G3" s="1"/>
    </row>
    <row r="4" spans="1:8" s="2" customFormat="1" ht="23.25" thickBot="1" x14ac:dyDescent="0.35">
      <c r="A4" s="182"/>
      <c r="B4" s="182"/>
      <c r="C4" s="182"/>
      <c r="D4" s="121"/>
      <c r="E4" s="182"/>
      <c r="F4" s="1"/>
      <c r="G4" s="1"/>
    </row>
    <row r="5" spans="1:8" s="2" customFormat="1" x14ac:dyDescent="0.25">
      <c r="A5" s="3"/>
      <c r="B5" s="4"/>
      <c r="C5" s="4"/>
      <c r="D5" s="117"/>
      <c r="E5" s="6"/>
      <c r="F5" s="6"/>
      <c r="G5" s="7"/>
    </row>
    <row r="6" spans="1:8" s="2" customFormat="1" ht="16.5" thickBot="1" x14ac:dyDescent="0.3">
      <c r="A6" s="8" t="s">
        <v>1</v>
      </c>
      <c r="B6" s="9" t="s">
        <v>2</v>
      </c>
      <c r="C6" s="9" t="s">
        <v>3</v>
      </c>
      <c r="D6" s="118" t="s">
        <v>4</v>
      </c>
      <c r="E6" s="11" t="s">
        <v>5</v>
      </c>
      <c r="F6" s="11" t="s">
        <v>6</v>
      </c>
      <c r="G6" s="1"/>
    </row>
    <row r="7" spans="1:8" s="18" customFormat="1" hidden="1" x14ac:dyDescent="0.25">
      <c r="A7" s="12"/>
      <c r="B7" s="13" t="s">
        <v>7</v>
      </c>
      <c r="C7" s="14">
        <f>+SUM(C8:C10)</f>
        <v>0</v>
      </c>
      <c r="D7" s="15">
        <f>+SUM(D8:D10)</f>
        <v>0</v>
      </c>
      <c r="E7" s="17"/>
      <c r="F7" s="17"/>
      <c r="G7" s="2"/>
      <c r="H7" s="2"/>
    </row>
    <row r="8" spans="1:8" s="2" customFormat="1" hidden="1" x14ac:dyDescent="0.25">
      <c r="A8" s="12"/>
      <c r="B8" s="19"/>
      <c r="C8" s="20"/>
      <c r="D8" s="21"/>
      <c r="E8" s="22"/>
      <c r="F8" s="22">
        <v>4111</v>
      </c>
    </row>
    <row r="9" spans="1:8" s="2" customFormat="1" hidden="1" x14ac:dyDescent="0.25">
      <c r="A9" s="12"/>
      <c r="B9" s="19"/>
      <c r="C9" s="20"/>
      <c r="D9" s="21"/>
      <c r="E9" s="22"/>
      <c r="F9" s="22">
        <v>4111</v>
      </c>
    </row>
    <row r="10" spans="1:8" s="2" customFormat="1" hidden="1" x14ac:dyDescent="0.25">
      <c r="A10" s="12"/>
      <c r="B10" s="23"/>
      <c r="C10" s="20"/>
      <c r="D10" s="21"/>
      <c r="E10" s="22"/>
      <c r="F10" s="22"/>
    </row>
    <row r="11" spans="1:8" s="2" customFormat="1" hidden="1" x14ac:dyDescent="0.25">
      <c r="A11" s="12"/>
      <c r="B11" s="24"/>
      <c r="C11" s="20"/>
      <c r="D11" s="21"/>
      <c r="E11" s="22"/>
      <c r="F11" s="22"/>
    </row>
    <row r="12" spans="1:8" s="2" customFormat="1" x14ac:dyDescent="0.25">
      <c r="A12" s="25"/>
      <c r="B12" s="13" t="s">
        <v>8</v>
      </c>
      <c r="C12" s="26">
        <f>+SUM(C13:C16)</f>
        <v>5902.2090000000007</v>
      </c>
      <c r="D12" s="27">
        <f>+SUM(D13:D16)</f>
        <v>1356950</v>
      </c>
      <c r="E12" s="28"/>
      <c r="F12" s="29"/>
    </row>
    <row r="13" spans="1:8" s="2" customFormat="1" x14ac:dyDescent="0.25">
      <c r="A13" s="25"/>
      <c r="B13" s="19" t="s">
        <v>9</v>
      </c>
      <c r="C13" s="21">
        <v>111.04</v>
      </c>
      <c r="D13" s="21"/>
      <c r="E13" s="22">
        <v>92241</v>
      </c>
      <c r="F13" s="29" t="s">
        <v>10</v>
      </c>
    </row>
    <row r="14" spans="1:8" s="2" customFormat="1" x14ac:dyDescent="0.25">
      <c r="A14" s="25"/>
      <c r="B14" s="19" t="s">
        <v>11</v>
      </c>
      <c r="C14" s="21">
        <v>2001.1780000000001</v>
      </c>
      <c r="D14" s="21">
        <f>108171+109620+15221</f>
        <v>233012</v>
      </c>
      <c r="E14" s="22">
        <v>92241</v>
      </c>
      <c r="F14" s="29" t="s">
        <v>10</v>
      </c>
    </row>
    <row r="15" spans="1:8" s="2" customFormat="1" x14ac:dyDescent="0.25">
      <c r="A15" s="25"/>
      <c r="B15" s="19" t="s">
        <v>12</v>
      </c>
      <c r="C15" s="21">
        <v>1575.905</v>
      </c>
      <c r="D15" s="21">
        <v>345411</v>
      </c>
      <c r="E15" s="22">
        <v>92241</v>
      </c>
      <c r="F15" s="29" t="s">
        <v>10</v>
      </c>
    </row>
    <row r="16" spans="1:8" s="2" customFormat="1" x14ac:dyDescent="0.25">
      <c r="A16" s="25"/>
      <c r="B16" s="19" t="s">
        <v>13</v>
      </c>
      <c r="C16" s="21">
        <v>2214.0859999999998</v>
      </c>
      <c r="D16" s="21">
        <v>778527</v>
      </c>
      <c r="E16" s="22">
        <v>92241</v>
      </c>
      <c r="F16" s="29" t="s">
        <v>10</v>
      </c>
    </row>
    <row r="17" spans="1:7" s="2" customFormat="1" hidden="1" x14ac:dyDescent="0.25">
      <c r="A17" s="12"/>
      <c r="B17" s="19"/>
      <c r="C17" s="20"/>
      <c r="D17" s="21"/>
      <c r="E17" s="22"/>
      <c r="F17" s="29"/>
    </row>
    <row r="18" spans="1:7" s="2" customFormat="1" hidden="1" x14ac:dyDescent="0.25">
      <c r="A18" s="12"/>
      <c r="B18" s="13" t="s">
        <v>14</v>
      </c>
      <c r="C18" s="30">
        <f>+SUM(C19:C30)</f>
        <v>0</v>
      </c>
      <c r="D18" s="30">
        <f>+SUM(D19:D30)</f>
        <v>0</v>
      </c>
      <c r="E18" s="22"/>
      <c r="F18" s="29"/>
    </row>
    <row r="19" spans="1:7" s="2" customFormat="1" hidden="1" x14ac:dyDescent="0.25">
      <c r="A19" s="12"/>
      <c r="B19" s="24"/>
      <c r="C19" s="20"/>
      <c r="D19" s="21"/>
      <c r="E19" s="22"/>
      <c r="F19" s="29">
        <v>4113</v>
      </c>
    </row>
    <row r="20" spans="1:7" s="2" customFormat="1" hidden="1" x14ac:dyDescent="0.25">
      <c r="A20" s="12"/>
      <c r="B20" s="24"/>
      <c r="C20" s="20"/>
      <c r="D20" s="21"/>
      <c r="E20" s="22"/>
      <c r="F20" s="29">
        <v>4113</v>
      </c>
    </row>
    <row r="21" spans="1:7" s="2" customFormat="1" hidden="1" x14ac:dyDescent="0.25">
      <c r="A21" s="12"/>
      <c r="B21" s="24"/>
      <c r="C21" s="20"/>
      <c r="D21" s="21"/>
      <c r="E21" s="22"/>
      <c r="F21" s="29">
        <v>4113</v>
      </c>
    </row>
    <row r="22" spans="1:7" s="2" customFormat="1" hidden="1" x14ac:dyDescent="0.25">
      <c r="A22" s="12"/>
      <c r="B22" s="24"/>
      <c r="C22" s="20"/>
      <c r="D22" s="21"/>
      <c r="E22" s="22"/>
      <c r="F22" s="29">
        <v>4113</v>
      </c>
    </row>
    <row r="23" spans="1:7" s="2" customFormat="1" hidden="1" x14ac:dyDescent="0.25">
      <c r="A23" s="12"/>
      <c r="B23" s="24"/>
      <c r="C23" s="20"/>
      <c r="D23" s="21"/>
      <c r="E23" s="22"/>
      <c r="F23" s="29">
        <v>4113</v>
      </c>
    </row>
    <row r="24" spans="1:7" s="2" customFormat="1" hidden="1" x14ac:dyDescent="0.25">
      <c r="A24" s="12"/>
      <c r="B24" s="24"/>
      <c r="C24" s="20"/>
      <c r="D24" s="21"/>
      <c r="E24" s="22"/>
      <c r="F24" s="29">
        <v>4113</v>
      </c>
    </row>
    <row r="25" spans="1:7" s="2" customFormat="1" hidden="1" x14ac:dyDescent="0.25">
      <c r="A25" s="12"/>
      <c r="B25" s="24"/>
      <c r="C25" s="20"/>
      <c r="D25" s="21"/>
      <c r="E25" s="22"/>
      <c r="F25" s="29">
        <v>4113</v>
      </c>
    </row>
    <row r="26" spans="1:7" s="2" customFormat="1" hidden="1" x14ac:dyDescent="0.25">
      <c r="A26" s="12"/>
      <c r="B26" s="24"/>
      <c r="C26" s="20"/>
      <c r="D26" s="21"/>
      <c r="E26" s="22"/>
      <c r="F26" s="29">
        <v>4113</v>
      </c>
    </row>
    <row r="27" spans="1:7" s="2" customFormat="1" hidden="1" x14ac:dyDescent="0.25">
      <c r="A27" s="12"/>
      <c r="B27" s="24"/>
      <c r="C27" s="20"/>
      <c r="D27" s="21"/>
      <c r="E27" s="22"/>
      <c r="F27" s="29">
        <v>4113</v>
      </c>
    </row>
    <row r="28" spans="1:7" s="2" customFormat="1" hidden="1" x14ac:dyDescent="0.25">
      <c r="A28" s="12"/>
      <c r="B28" s="24"/>
      <c r="C28" s="20"/>
      <c r="D28" s="21"/>
      <c r="E28" s="22"/>
      <c r="F28" s="29">
        <v>4113</v>
      </c>
    </row>
    <row r="29" spans="1:7" s="2" customFormat="1" hidden="1" x14ac:dyDescent="0.25">
      <c r="A29" s="12"/>
      <c r="B29" s="24"/>
      <c r="C29" s="20"/>
      <c r="D29" s="21"/>
      <c r="E29" s="22"/>
      <c r="F29" s="29">
        <v>4113</v>
      </c>
    </row>
    <row r="30" spans="1:7" s="2" customFormat="1" hidden="1" x14ac:dyDescent="0.25">
      <c r="A30" s="12"/>
      <c r="B30" s="24"/>
      <c r="C30" s="20"/>
      <c r="D30" s="21"/>
      <c r="E30" s="22"/>
      <c r="F30" s="29">
        <v>4113</v>
      </c>
      <c r="G30" s="160"/>
    </row>
    <row r="31" spans="1:7" s="2" customFormat="1" x14ac:dyDescent="0.25">
      <c r="A31" s="12"/>
      <c r="B31" s="19"/>
      <c r="C31" s="20"/>
      <c r="D31" s="21"/>
      <c r="E31" s="22"/>
      <c r="F31" s="29"/>
    </row>
    <row r="32" spans="1:7" s="2" customFormat="1" x14ac:dyDescent="0.25">
      <c r="A32" s="12"/>
      <c r="B32" s="13" t="s">
        <v>15</v>
      </c>
      <c r="C32" s="30">
        <f>+C33+C34</f>
        <v>4.5358200000000002</v>
      </c>
      <c r="D32" s="31">
        <f>+D33+D34</f>
        <v>4535.82</v>
      </c>
      <c r="E32" s="22"/>
      <c r="F32" s="29"/>
    </row>
    <row r="33" spans="1:11" s="2" customFormat="1" x14ac:dyDescent="0.25">
      <c r="A33" s="12"/>
      <c r="B33" s="19" t="s">
        <v>16</v>
      </c>
      <c r="C33" s="20">
        <v>4.5358200000000002</v>
      </c>
      <c r="D33" s="21">
        <v>4535.82</v>
      </c>
      <c r="E33" s="22">
        <v>89450</v>
      </c>
      <c r="F33" s="29">
        <v>4113</v>
      </c>
    </row>
    <row r="34" spans="1:11" s="2" customFormat="1" x14ac:dyDescent="0.25">
      <c r="A34" s="12"/>
      <c r="B34" s="19" t="s">
        <v>16</v>
      </c>
      <c r="C34" s="20"/>
      <c r="D34" s="21"/>
      <c r="E34" s="22">
        <v>89023</v>
      </c>
      <c r="F34" s="29">
        <v>4113</v>
      </c>
    </row>
    <row r="35" spans="1:11" s="2" customFormat="1" x14ac:dyDescent="0.25">
      <c r="A35" s="12"/>
      <c r="B35" s="32"/>
      <c r="C35" s="20"/>
      <c r="D35" s="163"/>
      <c r="E35" s="161"/>
      <c r="F35" s="22"/>
    </row>
    <row r="36" spans="1:11" s="18" customFormat="1" x14ac:dyDescent="0.25">
      <c r="A36" s="12"/>
      <c r="B36" s="13" t="s">
        <v>17</v>
      </c>
      <c r="C36" s="13">
        <f>SUM(C37:C57)</f>
        <v>10132.982</v>
      </c>
      <c r="D36" s="31">
        <f>SUM(D37:D57)</f>
        <v>7678437</v>
      </c>
      <c r="E36" s="33"/>
      <c r="F36" s="16"/>
      <c r="G36" s="2"/>
      <c r="H36" s="2"/>
      <c r="I36" s="2"/>
      <c r="J36" s="2"/>
    </row>
    <row r="37" spans="1:11" s="2" customFormat="1" x14ac:dyDescent="0.25">
      <c r="A37" s="25">
        <v>42053</v>
      </c>
      <c r="B37" s="19" t="s">
        <v>37</v>
      </c>
      <c r="C37" s="37">
        <v>3744</v>
      </c>
      <c r="D37" s="164">
        <v>3744000</v>
      </c>
      <c r="E37" s="34">
        <v>13010</v>
      </c>
      <c r="F37" s="29">
        <v>4116</v>
      </c>
    </row>
    <row r="38" spans="1:11" s="18" customFormat="1" x14ac:dyDescent="0.25">
      <c r="A38" s="12"/>
      <c r="B38" s="19" t="s">
        <v>97</v>
      </c>
      <c r="C38" s="21"/>
      <c r="D38" s="21">
        <f>102369+33000</f>
        <v>135369</v>
      </c>
      <c r="E38" s="34">
        <v>13101</v>
      </c>
      <c r="F38" s="29">
        <v>4116</v>
      </c>
      <c r="G38" s="2"/>
      <c r="H38" s="2"/>
      <c r="I38" s="2"/>
      <c r="J38" s="2"/>
      <c r="K38" s="2"/>
    </row>
    <row r="39" spans="1:11" s="2" customFormat="1" x14ac:dyDescent="0.25">
      <c r="A39" s="25"/>
      <c r="B39" s="19" t="s">
        <v>65</v>
      </c>
      <c r="C39" s="20">
        <v>42</v>
      </c>
      <c r="D39" s="21">
        <f>40896+16866</f>
        <v>57762</v>
      </c>
      <c r="E39" s="34">
        <v>13101</v>
      </c>
      <c r="F39" s="29" t="s">
        <v>18</v>
      </c>
    </row>
    <row r="40" spans="1:11" s="2" customFormat="1" x14ac:dyDescent="0.25">
      <c r="A40" s="25"/>
      <c r="B40" s="107" t="s">
        <v>98</v>
      </c>
      <c r="C40" s="21">
        <v>196.982</v>
      </c>
      <c r="D40" s="21">
        <f>130982+66000</f>
        <v>196982</v>
      </c>
      <c r="E40" s="35">
        <v>13101</v>
      </c>
      <c r="F40" s="36">
        <v>4116</v>
      </c>
    </row>
    <row r="41" spans="1:11" s="2" customFormat="1" x14ac:dyDescent="0.25">
      <c r="A41" s="25"/>
      <c r="B41" s="107" t="s">
        <v>99</v>
      </c>
      <c r="C41" s="21">
        <v>22</v>
      </c>
      <c r="D41" s="21">
        <v>22000</v>
      </c>
      <c r="E41" s="35">
        <v>13101</v>
      </c>
      <c r="F41" s="36">
        <v>4116</v>
      </c>
    </row>
    <row r="42" spans="1:11" s="18" customFormat="1" x14ac:dyDescent="0.25">
      <c r="A42" s="12"/>
      <c r="B42" s="107" t="s">
        <v>23</v>
      </c>
      <c r="C42" s="21"/>
      <c r="D42" s="21">
        <f>38094+8250</f>
        <v>46344</v>
      </c>
      <c r="E42" s="108">
        <v>13101</v>
      </c>
      <c r="F42" s="29">
        <v>4116</v>
      </c>
      <c r="G42" s="2"/>
      <c r="H42" s="2"/>
      <c r="I42" s="2"/>
      <c r="J42" s="2"/>
      <c r="K42" s="2"/>
    </row>
    <row r="43" spans="1:11" s="18" customFormat="1" x14ac:dyDescent="0.25">
      <c r="A43" s="12"/>
      <c r="B43" s="19" t="s">
        <v>20</v>
      </c>
      <c r="C43" s="21">
        <v>290</v>
      </c>
      <c r="D43" s="21">
        <f>58288+28935</f>
        <v>87223</v>
      </c>
      <c r="E43" s="34">
        <v>13234</v>
      </c>
      <c r="F43" s="29">
        <v>4116</v>
      </c>
      <c r="G43" s="2"/>
      <c r="H43" s="2"/>
      <c r="I43" s="2"/>
      <c r="J43" s="2"/>
      <c r="K43" s="2"/>
    </row>
    <row r="44" spans="1:11" s="18" customFormat="1" x14ac:dyDescent="0.25">
      <c r="A44" s="12"/>
      <c r="B44" s="19" t="s">
        <v>21</v>
      </c>
      <c r="C44" s="21"/>
      <c r="D44" s="21"/>
      <c r="E44" s="34"/>
      <c r="F44" s="29">
        <v>4116</v>
      </c>
      <c r="G44" s="2"/>
      <c r="H44" s="2"/>
      <c r="I44" s="2"/>
      <c r="J44" s="2"/>
      <c r="K44" s="2"/>
    </row>
    <row r="45" spans="1:11" s="18" customFormat="1" x14ac:dyDescent="0.25">
      <c r="A45" s="12"/>
      <c r="B45" s="19" t="s">
        <v>22</v>
      </c>
      <c r="C45" s="21"/>
      <c r="D45" s="21">
        <f>44000+22000</f>
        <v>66000</v>
      </c>
      <c r="E45" s="34">
        <v>13234</v>
      </c>
      <c r="F45" s="29">
        <v>4116</v>
      </c>
      <c r="G45" s="2"/>
      <c r="H45" s="2"/>
      <c r="I45" s="2"/>
      <c r="J45" s="2"/>
      <c r="K45" s="2"/>
    </row>
    <row r="46" spans="1:11" s="18" customFormat="1" x14ac:dyDescent="0.25">
      <c r="A46" s="12"/>
      <c r="B46" s="19" t="s">
        <v>19</v>
      </c>
      <c r="C46" s="21"/>
      <c r="D46" s="21"/>
      <c r="E46" s="108"/>
      <c r="F46" s="29">
        <v>4116</v>
      </c>
      <c r="G46" s="2"/>
      <c r="H46" s="2"/>
      <c r="I46" s="2"/>
      <c r="J46" s="2"/>
      <c r="K46" s="2"/>
    </row>
    <row r="47" spans="1:11" s="18" customFormat="1" x14ac:dyDescent="0.25">
      <c r="A47" s="12"/>
      <c r="B47" s="107" t="s">
        <v>67</v>
      </c>
      <c r="C47" s="21">
        <v>155</v>
      </c>
      <c r="D47" s="21">
        <f>86069+44000</f>
        <v>130069</v>
      </c>
      <c r="E47" s="108">
        <v>13234</v>
      </c>
      <c r="F47" s="29">
        <v>4116</v>
      </c>
      <c r="G47" s="2"/>
      <c r="H47" s="2"/>
      <c r="I47" s="2"/>
      <c r="J47" s="2"/>
      <c r="K47" s="2"/>
    </row>
    <row r="48" spans="1:11" s="18" customFormat="1" x14ac:dyDescent="0.25">
      <c r="A48" s="12"/>
      <c r="B48" s="107" t="s">
        <v>25</v>
      </c>
      <c r="C48" s="21"/>
      <c r="D48" s="21">
        <v>218760</v>
      </c>
      <c r="E48" s="34">
        <v>13234</v>
      </c>
      <c r="F48" s="29">
        <v>4116</v>
      </c>
      <c r="G48" s="2"/>
      <c r="H48" s="2"/>
      <c r="I48" s="2"/>
      <c r="J48" s="2"/>
      <c r="K48" s="2"/>
    </row>
    <row r="49" spans="1:11" s="18" customFormat="1" x14ac:dyDescent="0.25">
      <c r="A49" s="12"/>
      <c r="B49" s="107" t="s">
        <v>26</v>
      </c>
      <c r="C49" s="21"/>
      <c r="D49" s="21">
        <f>66000+33000</f>
        <v>99000</v>
      </c>
      <c r="E49" s="34">
        <v>13234</v>
      </c>
      <c r="F49" s="29">
        <v>4116</v>
      </c>
      <c r="G49" s="2"/>
      <c r="H49" s="2"/>
      <c r="I49" s="2"/>
      <c r="J49" s="2"/>
      <c r="K49" s="2"/>
    </row>
    <row r="50" spans="1:11" s="18" customFormat="1" x14ac:dyDescent="0.25">
      <c r="A50" s="12"/>
      <c r="B50" s="107" t="s">
        <v>27</v>
      </c>
      <c r="C50" s="21"/>
      <c r="D50" s="21"/>
      <c r="E50" s="34">
        <v>13234</v>
      </c>
      <c r="F50" s="29">
        <v>4116</v>
      </c>
      <c r="G50" s="2"/>
      <c r="H50" s="2"/>
      <c r="I50" s="2"/>
      <c r="J50" s="2"/>
      <c r="K50" s="2"/>
    </row>
    <row r="51" spans="1:11" s="2" customFormat="1" x14ac:dyDescent="0.25">
      <c r="A51" s="25"/>
      <c r="B51" s="107" t="s">
        <v>28</v>
      </c>
      <c r="C51" s="21">
        <v>5376</v>
      </c>
      <c r="D51" s="21">
        <f>528297+254271</f>
        <v>782568</v>
      </c>
      <c r="E51" s="35">
        <v>13234</v>
      </c>
      <c r="F51" s="29">
        <v>4116</v>
      </c>
    </row>
    <row r="52" spans="1:11" s="18" customFormat="1" x14ac:dyDescent="0.25">
      <c r="A52" s="12"/>
      <c r="B52" s="107" t="s">
        <v>24</v>
      </c>
      <c r="C52" s="21"/>
      <c r="D52" s="21">
        <f>1387835+661461</f>
        <v>2049296</v>
      </c>
      <c r="E52" s="34">
        <v>13234</v>
      </c>
      <c r="F52" s="29">
        <v>4116</v>
      </c>
      <c r="G52" s="2"/>
      <c r="H52" s="2"/>
      <c r="I52" s="2"/>
      <c r="J52" s="2"/>
      <c r="K52" s="2"/>
    </row>
    <row r="53" spans="1:11" s="2" customFormat="1" x14ac:dyDescent="0.25">
      <c r="A53" s="25"/>
      <c r="B53" s="107" t="s">
        <v>29</v>
      </c>
      <c r="C53" s="21"/>
      <c r="D53" s="21"/>
      <c r="E53" s="35">
        <v>13234</v>
      </c>
      <c r="F53" s="29" t="s">
        <v>18</v>
      </c>
    </row>
    <row r="54" spans="1:11" s="2" customFormat="1" x14ac:dyDescent="0.25">
      <c r="A54" s="25"/>
      <c r="B54" s="107" t="s">
        <v>66</v>
      </c>
      <c r="C54" s="21">
        <v>55</v>
      </c>
      <c r="D54" s="21">
        <f>22000+11000</f>
        <v>33000</v>
      </c>
      <c r="E54" s="35">
        <v>13234</v>
      </c>
      <c r="F54" s="36">
        <v>4116</v>
      </c>
    </row>
    <row r="55" spans="1:11" s="2" customFormat="1" x14ac:dyDescent="0.25">
      <c r="A55" s="25"/>
      <c r="B55" s="107" t="s">
        <v>30</v>
      </c>
      <c r="C55" s="21"/>
      <c r="D55" s="21"/>
      <c r="E55" s="35"/>
      <c r="F55" s="36">
        <v>4116</v>
      </c>
    </row>
    <row r="56" spans="1:11" s="2" customFormat="1" x14ac:dyDescent="0.25">
      <c r="A56" s="25"/>
      <c r="B56" s="107" t="s">
        <v>31</v>
      </c>
      <c r="C56" s="21">
        <v>252</v>
      </c>
      <c r="D56" s="21">
        <v>10064</v>
      </c>
      <c r="E56" s="35">
        <v>13234</v>
      </c>
      <c r="F56" s="36">
        <v>4116</v>
      </c>
    </row>
    <row r="57" spans="1:11" s="2" customFormat="1" x14ac:dyDescent="0.25">
      <c r="A57" s="25"/>
      <c r="B57" s="107" t="s">
        <v>32</v>
      </c>
      <c r="C57" s="21"/>
      <c r="D57" s="21"/>
      <c r="E57" s="35"/>
      <c r="F57" s="36">
        <v>4116</v>
      </c>
    </row>
    <row r="58" spans="1:11" s="2" customFormat="1" x14ac:dyDescent="0.25">
      <c r="A58" s="25"/>
      <c r="B58" s="23"/>
      <c r="C58" s="37"/>
      <c r="D58" s="21"/>
      <c r="E58" s="35"/>
      <c r="F58" s="36"/>
    </row>
    <row r="59" spans="1:11" s="2" customFormat="1" x14ac:dyDescent="0.25">
      <c r="A59" s="25"/>
      <c r="B59" s="38" t="s">
        <v>116</v>
      </c>
      <c r="C59" s="39">
        <f>+SUM(C60:C63)</f>
        <v>0</v>
      </c>
      <c r="D59" s="39">
        <f>+SUM(D60:D63)</f>
        <v>36300</v>
      </c>
      <c r="E59" s="29"/>
      <c r="F59" s="36"/>
    </row>
    <row r="60" spans="1:11" s="2" customFormat="1" x14ac:dyDescent="0.25">
      <c r="A60" s="25">
        <v>42066</v>
      </c>
      <c r="B60" s="107" t="s">
        <v>115</v>
      </c>
      <c r="C60" s="20">
        <v>0</v>
      </c>
      <c r="D60" s="21">
        <v>36300</v>
      </c>
      <c r="E60" s="41">
        <v>27003</v>
      </c>
      <c r="F60" s="36">
        <v>4116</v>
      </c>
      <c r="G60" s="2" t="s">
        <v>127</v>
      </c>
    </row>
    <row r="61" spans="1:11" s="2" customFormat="1" hidden="1" x14ac:dyDescent="0.25">
      <c r="A61" s="49"/>
      <c r="B61" s="107"/>
      <c r="C61" s="20"/>
      <c r="D61" s="21"/>
      <c r="E61" s="36"/>
      <c r="F61" s="36">
        <v>4116</v>
      </c>
    </row>
    <row r="62" spans="1:11" s="2" customFormat="1" hidden="1" x14ac:dyDescent="0.25">
      <c r="A62" s="49"/>
      <c r="B62" s="107"/>
      <c r="C62" s="20"/>
      <c r="D62" s="21"/>
      <c r="E62" s="36"/>
      <c r="F62" s="36">
        <v>4116</v>
      </c>
    </row>
    <row r="63" spans="1:11" s="2" customFormat="1" x14ac:dyDescent="0.25">
      <c r="A63" s="49"/>
      <c r="B63" s="107"/>
      <c r="C63" s="20"/>
      <c r="D63" s="21"/>
      <c r="E63" s="36"/>
      <c r="F63" s="36">
        <v>4116</v>
      </c>
    </row>
    <row r="64" spans="1:11" s="2" customFormat="1" x14ac:dyDescent="0.25">
      <c r="A64" s="25"/>
      <c r="B64" s="38" t="s">
        <v>33</v>
      </c>
      <c r="C64" s="39">
        <f>+SUM(C65:C100)</f>
        <v>0</v>
      </c>
      <c r="D64" s="39">
        <f>+SUM(D65:D100)</f>
        <v>80000</v>
      </c>
      <c r="E64" s="29"/>
      <c r="F64" s="36"/>
    </row>
    <row r="65" spans="1:7" s="2" customFormat="1" x14ac:dyDescent="0.25">
      <c r="A65" s="25">
        <v>42086</v>
      </c>
      <c r="B65" s="107" t="s">
        <v>122</v>
      </c>
      <c r="C65" s="20">
        <v>0</v>
      </c>
      <c r="D65" s="21">
        <v>80000</v>
      </c>
      <c r="E65" s="29">
        <v>34070</v>
      </c>
      <c r="F65" s="29">
        <v>4116</v>
      </c>
      <c r="G65" s="2" t="s">
        <v>129</v>
      </c>
    </row>
    <row r="66" spans="1:7" s="2" customFormat="1" x14ac:dyDescent="0.25">
      <c r="A66" s="25"/>
      <c r="B66" s="107"/>
      <c r="C66" s="20"/>
      <c r="D66" s="21"/>
      <c r="E66" s="29"/>
      <c r="F66" s="29">
        <v>4116</v>
      </c>
    </row>
    <row r="67" spans="1:7" s="2" customFormat="1" hidden="1" x14ac:dyDescent="0.25">
      <c r="A67" s="25"/>
      <c r="B67" s="107"/>
      <c r="C67" s="20"/>
      <c r="D67" s="21"/>
      <c r="E67" s="29"/>
      <c r="F67" s="29">
        <v>4116</v>
      </c>
    </row>
    <row r="68" spans="1:7" s="2" customFormat="1" hidden="1" x14ac:dyDescent="0.25">
      <c r="A68" s="25"/>
      <c r="B68" s="107"/>
      <c r="C68" s="20"/>
      <c r="D68" s="21"/>
      <c r="E68" s="29"/>
      <c r="F68" s="29">
        <v>4116</v>
      </c>
    </row>
    <row r="69" spans="1:7" s="2" customFormat="1" hidden="1" x14ac:dyDescent="0.25">
      <c r="A69" s="25"/>
      <c r="B69" s="107"/>
      <c r="C69" s="20"/>
      <c r="D69" s="21"/>
      <c r="E69" s="29"/>
      <c r="F69" s="29">
        <v>4116</v>
      </c>
    </row>
    <row r="70" spans="1:7" s="2" customFormat="1" hidden="1" x14ac:dyDescent="0.25">
      <c r="A70" s="25"/>
      <c r="B70" s="107"/>
      <c r="C70" s="20"/>
      <c r="D70" s="21"/>
      <c r="E70" s="29"/>
      <c r="F70" s="29">
        <v>4116</v>
      </c>
    </row>
    <row r="71" spans="1:7" s="2" customFormat="1" hidden="1" x14ac:dyDescent="0.25">
      <c r="A71" s="25"/>
      <c r="B71" s="107"/>
      <c r="C71" s="20"/>
      <c r="D71" s="21"/>
      <c r="E71" s="29"/>
      <c r="F71" s="29">
        <v>4116</v>
      </c>
    </row>
    <row r="72" spans="1:7" s="2" customFormat="1" hidden="1" x14ac:dyDescent="0.25">
      <c r="A72" s="25"/>
      <c r="B72" s="107"/>
      <c r="C72" s="20"/>
      <c r="D72" s="21"/>
      <c r="E72" s="29"/>
      <c r="F72" s="29">
        <v>4116</v>
      </c>
    </row>
    <row r="73" spans="1:7" s="2" customFormat="1" hidden="1" x14ac:dyDescent="0.25">
      <c r="A73" s="25"/>
      <c r="B73" s="107"/>
      <c r="C73" s="20"/>
      <c r="D73" s="21"/>
      <c r="E73" s="29"/>
      <c r="F73" s="29">
        <v>4116</v>
      </c>
    </row>
    <row r="74" spans="1:7" s="2" customFormat="1" hidden="1" x14ac:dyDescent="0.25">
      <c r="A74" s="25"/>
      <c r="B74" s="107"/>
      <c r="C74" s="20"/>
      <c r="D74" s="21"/>
      <c r="E74" s="29"/>
      <c r="F74" s="29">
        <v>4116</v>
      </c>
    </row>
    <row r="75" spans="1:7" s="2" customFormat="1" hidden="1" x14ac:dyDescent="0.25">
      <c r="A75" s="25"/>
      <c r="B75" s="107"/>
      <c r="C75" s="20"/>
      <c r="D75" s="21"/>
      <c r="E75" s="29"/>
      <c r="F75" s="29">
        <v>4116</v>
      </c>
    </row>
    <row r="76" spans="1:7" s="2" customFormat="1" hidden="1" x14ac:dyDescent="0.25">
      <c r="A76" s="25"/>
      <c r="B76" s="107"/>
      <c r="C76" s="20"/>
      <c r="D76" s="21"/>
      <c r="E76" s="29"/>
      <c r="F76" s="29">
        <v>4116</v>
      </c>
    </row>
    <row r="77" spans="1:7" s="2" customFormat="1" hidden="1" x14ac:dyDescent="0.25">
      <c r="A77" s="25"/>
      <c r="B77" s="107"/>
      <c r="C77" s="20"/>
      <c r="D77" s="21"/>
      <c r="E77" s="29"/>
      <c r="F77" s="29">
        <v>4116</v>
      </c>
    </row>
    <row r="78" spans="1:7" s="2" customFormat="1" hidden="1" x14ac:dyDescent="0.25">
      <c r="A78" s="25"/>
      <c r="B78" s="107"/>
      <c r="C78" s="20"/>
      <c r="D78" s="21"/>
      <c r="E78" s="29"/>
      <c r="F78" s="29">
        <v>4116</v>
      </c>
    </row>
    <row r="79" spans="1:7" s="2" customFormat="1" hidden="1" x14ac:dyDescent="0.25">
      <c r="A79" s="25"/>
      <c r="B79" s="107"/>
      <c r="C79" s="20"/>
      <c r="D79" s="21"/>
      <c r="E79" s="29"/>
      <c r="F79" s="29">
        <v>4116</v>
      </c>
    </row>
    <row r="80" spans="1:7" s="2" customFormat="1" hidden="1" x14ac:dyDescent="0.25">
      <c r="A80" s="25"/>
      <c r="B80" s="107"/>
      <c r="C80" s="20"/>
      <c r="D80" s="21"/>
      <c r="E80" s="29"/>
      <c r="F80" s="29">
        <v>4116</v>
      </c>
    </row>
    <row r="81" spans="1:6" s="2" customFormat="1" hidden="1" x14ac:dyDescent="0.25">
      <c r="A81" s="25"/>
      <c r="B81" s="107"/>
      <c r="C81" s="20"/>
      <c r="D81" s="21"/>
      <c r="E81" s="29"/>
      <c r="F81" s="29">
        <v>4116</v>
      </c>
    </row>
    <row r="82" spans="1:6" s="2" customFormat="1" hidden="1" x14ac:dyDescent="0.25">
      <c r="A82" s="25"/>
      <c r="B82" s="107"/>
      <c r="C82" s="20"/>
      <c r="D82" s="21"/>
      <c r="E82" s="29"/>
      <c r="F82" s="29">
        <v>4116</v>
      </c>
    </row>
    <row r="83" spans="1:6" s="2" customFormat="1" hidden="1" x14ac:dyDescent="0.25">
      <c r="A83" s="25"/>
      <c r="B83" s="107"/>
      <c r="C83" s="20"/>
      <c r="D83" s="21"/>
      <c r="E83" s="29"/>
      <c r="F83" s="29">
        <v>4116</v>
      </c>
    </row>
    <row r="84" spans="1:6" s="2" customFormat="1" hidden="1" x14ac:dyDescent="0.25">
      <c r="A84" s="25"/>
      <c r="B84" s="107"/>
      <c r="C84" s="20"/>
      <c r="D84" s="21"/>
      <c r="E84" s="29"/>
      <c r="F84" s="29">
        <v>4116</v>
      </c>
    </row>
    <row r="85" spans="1:6" s="2" customFormat="1" hidden="1" x14ac:dyDescent="0.25">
      <c r="A85" s="25"/>
      <c r="B85" s="107"/>
      <c r="C85" s="20"/>
      <c r="D85" s="21"/>
      <c r="E85" s="29"/>
      <c r="F85" s="29">
        <v>4116</v>
      </c>
    </row>
    <row r="86" spans="1:6" s="2" customFormat="1" hidden="1" x14ac:dyDescent="0.25">
      <c r="A86" s="25"/>
      <c r="B86" s="107"/>
      <c r="C86" s="20"/>
      <c r="D86" s="21"/>
      <c r="E86" s="29"/>
      <c r="F86" s="29">
        <v>4116</v>
      </c>
    </row>
    <row r="87" spans="1:6" s="2" customFormat="1" hidden="1" x14ac:dyDescent="0.25">
      <c r="A87" s="25"/>
      <c r="B87" s="107"/>
      <c r="C87" s="20"/>
      <c r="D87" s="21"/>
      <c r="E87" s="29"/>
      <c r="F87" s="29">
        <v>4116</v>
      </c>
    </row>
    <row r="88" spans="1:6" s="2" customFormat="1" hidden="1" x14ac:dyDescent="0.25">
      <c r="A88" s="25"/>
      <c r="B88" s="107"/>
      <c r="C88" s="20"/>
      <c r="D88" s="21"/>
      <c r="E88" s="29"/>
      <c r="F88" s="29">
        <v>4116</v>
      </c>
    </row>
    <row r="89" spans="1:6" s="2" customFormat="1" hidden="1" x14ac:dyDescent="0.25">
      <c r="A89" s="25"/>
      <c r="B89" s="107"/>
      <c r="C89" s="20"/>
      <c r="D89" s="21"/>
      <c r="E89" s="29"/>
      <c r="F89" s="29">
        <v>4116</v>
      </c>
    </row>
    <row r="90" spans="1:6" s="2" customFormat="1" hidden="1" x14ac:dyDescent="0.25">
      <c r="A90" s="25"/>
      <c r="B90" s="107"/>
      <c r="C90" s="20"/>
      <c r="D90" s="21"/>
      <c r="E90" s="29"/>
      <c r="F90" s="29">
        <v>4116</v>
      </c>
    </row>
    <row r="91" spans="1:6" s="2" customFormat="1" hidden="1" x14ac:dyDescent="0.25">
      <c r="A91" s="25"/>
      <c r="B91" s="107"/>
      <c r="C91" s="20"/>
      <c r="D91" s="21"/>
      <c r="E91" s="29"/>
      <c r="F91" s="29">
        <v>4116</v>
      </c>
    </row>
    <row r="92" spans="1:6" s="2" customFormat="1" hidden="1" x14ac:dyDescent="0.25">
      <c r="A92" s="25"/>
      <c r="B92" s="107"/>
      <c r="C92" s="20"/>
      <c r="D92" s="21"/>
      <c r="E92" s="29"/>
      <c r="F92" s="29">
        <v>4116</v>
      </c>
    </row>
    <row r="93" spans="1:6" s="2" customFormat="1" hidden="1" x14ac:dyDescent="0.25">
      <c r="A93" s="25"/>
      <c r="B93" s="107"/>
      <c r="C93" s="20"/>
      <c r="D93" s="21"/>
      <c r="E93" s="29"/>
      <c r="F93" s="29">
        <v>4116</v>
      </c>
    </row>
    <row r="94" spans="1:6" s="2" customFormat="1" hidden="1" x14ac:dyDescent="0.25">
      <c r="A94" s="25"/>
      <c r="B94" s="107"/>
      <c r="C94" s="20"/>
      <c r="D94" s="21"/>
      <c r="E94" s="29"/>
      <c r="F94" s="29">
        <v>4116</v>
      </c>
    </row>
    <row r="95" spans="1:6" s="2" customFormat="1" hidden="1" x14ac:dyDescent="0.25">
      <c r="A95" s="25"/>
      <c r="B95" s="107"/>
      <c r="C95" s="20"/>
      <c r="D95" s="20"/>
      <c r="E95" s="29"/>
      <c r="F95" s="29">
        <v>4116</v>
      </c>
    </row>
    <row r="96" spans="1:6" s="2" customFormat="1" hidden="1" x14ac:dyDescent="0.25">
      <c r="A96" s="25"/>
      <c r="B96" s="107"/>
      <c r="C96" s="20"/>
      <c r="D96" s="20"/>
      <c r="E96" s="29"/>
      <c r="F96" s="29">
        <v>4116</v>
      </c>
    </row>
    <row r="97" spans="1:8" s="2" customFormat="1" hidden="1" x14ac:dyDescent="0.25">
      <c r="A97" s="25"/>
      <c r="B97" s="107"/>
      <c r="C97" s="20"/>
      <c r="D97" s="20"/>
      <c r="E97" s="29"/>
      <c r="F97" s="29">
        <v>4116</v>
      </c>
    </row>
    <row r="98" spans="1:8" s="2" customFormat="1" hidden="1" x14ac:dyDescent="0.25">
      <c r="A98" s="25"/>
      <c r="B98" s="107"/>
      <c r="C98" s="20"/>
      <c r="D98" s="20"/>
      <c r="E98" s="29"/>
      <c r="F98" s="29">
        <v>4116</v>
      </c>
    </row>
    <row r="99" spans="1:8" s="2" customFormat="1" hidden="1" x14ac:dyDescent="0.25">
      <c r="A99" s="25"/>
      <c r="B99" s="107"/>
      <c r="C99" s="20"/>
      <c r="D99" s="21"/>
      <c r="E99" s="29"/>
      <c r="F99" s="29">
        <v>4116</v>
      </c>
    </row>
    <row r="100" spans="1:8" x14ac:dyDescent="0.25">
      <c r="A100" s="50"/>
      <c r="B100" s="107"/>
      <c r="C100" s="115"/>
      <c r="D100" s="21"/>
      <c r="E100" s="51"/>
      <c r="F100" s="51"/>
      <c r="G100" s="2"/>
      <c r="H100" s="2"/>
    </row>
    <row r="101" spans="1:8" s="2" customFormat="1" x14ac:dyDescent="0.25">
      <c r="A101" s="25"/>
      <c r="B101" s="38" t="s">
        <v>34</v>
      </c>
      <c r="C101" s="39">
        <f>SUM(C102:C113)</f>
        <v>972.54641000000004</v>
      </c>
      <c r="D101" s="40">
        <f>SUM(D102:D113)</f>
        <v>1164546.4100000001</v>
      </c>
      <c r="E101" s="29"/>
      <c r="F101" s="36"/>
    </row>
    <row r="102" spans="1:8" s="2" customFormat="1" x14ac:dyDescent="0.25">
      <c r="A102" s="25">
        <v>42054</v>
      </c>
      <c r="B102" s="107" t="s">
        <v>68</v>
      </c>
      <c r="C102" s="52">
        <v>972.54641000000004</v>
      </c>
      <c r="D102" s="53">
        <v>972546.41</v>
      </c>
      <c r="E102" s="29">
        <v>33019</v>
      </c>
      <c r="F102" s="36" t="s">
        <v>18</v>
      </c>
    </row>
    <row r="103" spans="1:8" s="2" customFormat="1" x14ac:dyDescent="0.25">
      <c r="A103" s="25">
        <v>42081</v>
      </c>
      <c r="B103" s="107" t="s">
        <v>117</v>
      </c>
      <c r="C103" s="52">
        <v>0</v>
      </c>
      <c r="D103" s="55">
        <v>192000</v>
      </c>
      <c r="E103" s="29">
        <v>33339</v>
      </c>
      <c r="F103" s="36">
        <v>4116</v>
      </c>
      <c r="G103" s="2" t="s">
        <v>128</v>
      </c>
    </row>
    <row r="104" spans="1:8" s="2" customFormat="1" hidden="1" x14ac:dyDescent="0.25">
      <c r="A104" s="25"/>
      <c r="B104" s="107"/>
      <c r="C104" s="52"/>
      <c r="D104" s="55"/>
      <c r="E104" s="29"/>
      <c r="F104" s="36">
        <v>4116</v>
      </c>
    </row>
    <row r="105" spans="1:8" s="2" customFormat="1" hidden="1" x14ac:dyDescent="0.25">
      <c r="A105" s="25"/>
      <c r="B105" s="107"/>
      <c r="C105" s="52"/>
      <c r="D105" s="114"/>
      <c r="E105" s="29"/>
      <c r="F105" s="36">
        <v>4116</v>
      </c>
    </row>
    <row r="106" spans="1:8" s="2" customFormat="1" hidden="1" x14ac:dyDescent="0.25">
      <c r="A106" s="25"/>
      <c r="B106" s="24"/>
      <c r="C106" s="52"/>
      <c r="D106" s="55"/>
      <c r="E106" s="28"/>
      <c r="F106" s="36">
        <v>4116</v>
      </c>
    </row>
    <row r="107" spans="1:8" s="2" customFormat="1" hidden="1" x14ac:dyDescent="0.25">
      <c r="A107" s="25"/>
      <c r="B107" s="24"/>
      <c r="C107" s="53"/>
      <c r="D107" s="55"/>
      <c r="E107" s="28"/>
      <c r="F107" s="36">
        <v>4116</v>
      </c>
    </row>
    <row r="108" spans="1:8" s="2" customFormat="1" hidden="1" x14ac:dyDescent="0.25">
      <c r="A108" s="25"/>
      <c r="B108" s="24"/>
      <c r="C108" s="53"/>
      <c r="D108" s="55"/>
      <c r="E108" s="28"/>
      <c r="F108" s="36">
        <v>4116</v>
      </c>
    </row>
    <row r="109" spans="1:8" s="2" customFormat="1" hidden="1" x14ac:dyDescent="0.25">
      <c r="A109" s="25"/>
      <c r="B109" s="24"/>
      <c r="C109" s="53"/>
      <c r="D109" s="55"/>
      <c r="E109" s="28"/>
      <c r="F109" s="36">
        <v>4116</v>
      </c>
    </row>
    <row r="110" spans="1:8" s="2" customFormat="1" hidden="1" x14ac:dyDescent="0.25">
      <c r="A110" s="25"/>
      <c r="B110" s="24"/>
      <c r="C110" s="53"/>
      <c r="D110" s="55"/>
      <c r="E110" s="28"/>
      <c r="F110" s="36">
        <v>4116</v>
      </c>
    </row>
    <row r="111" spans="1:8" s="2" customFormat="1" hidden="1" x14ac:dyDescent="0.25">
      <c r="A111" s="25"/>
      <c r="B111" s="24"/>
      <c r="C111" s="53"/>
      <c r="D111" s="55"/>
      <c r="E111" s="28"/>
      <c r="F111" s="36">
        <v>4116</v>
      </c>
    </row>
    <row r="112" spans="1:8" s="2" customFormat="1" hidden="1" x14ac:dyDescent="0.25">
      <c r="A112" s="25"/>
      <c r="B112" s="24"/>
      <c r="C112" s="53"/>
      <c r="D112" s="55"/>
      <c r="E112" s="28"/>
      <c r="F112" s="36">
        <v>4116</v>
      </c>
    </row>
    <row r="113" spans="1:6" s="2" customFormat="1" x14ac:dyDescent="0.25">
      <c r="A113" s="25"/>
      <c r="B113" s="54"/>
      <c r="C113" s="47"/>
      <c r="D113" s="55"/>
      <c r="E113" s="28"/>
      <c r="F113" s="36"/>
    </row>
    <row r="114" spans="1:6" s="2" customFormat="1" x14ac:dyDescent="0.25">
      <c r="A114" s="25"/>
      <c r="B114" s="13" t="s">
        <v>35</v>
      </c>
      <c r="C114" s="30">
        <f>+SUM(C115:C118)</f>
        <v>2908.0978700000001</v>
      </c>
      <c r="D114" s="31">
        <f>+SUM(D115:D118)</f>
        <v>2908097.87</v>
      </c>
      <c r="E114" s="28"/>
      <c r="F114" s="29"/>
    </row>
    <row r="115" spans="1:6" s="2" customFormat="1" x14ac:dyDescent="0.25">
      <c r="A115" s="25">
        <v>42040</v>
      </c>
      <c r="B115" s="107" t="s">
        <v>60</v>
      </c>
      <c r="C115" s="52">
        <v>2686.6678700000002</v>
      </c>
      <c r="D115" s="53">
        <v>2686667.87</v>
      </c>
      <c r="E115" s="28">
        <v>17003</v>
      </c>
      <c r="F115" s="29" t="s">
        <v>18</v>
      </c>
    </row>
    <row r="116" spans="1:6" s="2" customFormat="1" x14ac:dyDescent="0.25">
      <c r="A116" s="25">
        <v>42059</v>
      </c>
      <c r="B116" s="107" t="s">
        <v>105</v>
      </c>
      <c r="C116" s="52">
        <v>188.21549999999999</v>
      </c>
      <c r="D116" s="53">
        <v>188215.5</v>
      </c>
      <c r="E116" s="28">
        <v>17003</v>
      </c>
      <c r="F116" s="29">
        <v>4116</v>
      </c>
    </row>
    <row r="117" spans="1:6" s="2" customFormat="1" x14ac:dyDescent="0.25">
      <c r="A117" s="25">
        <v>42059</v>
      </c>
      <c r="B117" s="107" t="s">
        <v>105</v>
      </c>
      <c r="C117" s="52">
        <v>33.214500000000001</v>
      </c>
      <c r="D117" s="53">
        <v>33214.5</v>
      </c>
      <c r="E117" s="28">
        <v>17002</v>
      </c>
      <c r="F117" s="29">
        <v>4116</v>
      </c>
    </row>
    <row r="118" spans="1:6" s="2" customFormat="1" hidden="1" x14ac:dyDescent="0.25">
      <c r="A118" s="25"/>
      <c r="B118" s="57"/>
      <c r="C118" s="52"/>
      <c r="D118" s="53"/>
      <c r="E118" s="28"/>
      <c r="F118" s="29"/>
    </row>
    <row r="119" spans="1:6" s="2" customFormat="1" hidden="1" x14ac:dyDescent="0.25">
      <c r="A119" s="25"/>
      <c r="B119" s="30" t="s">
        <v>36</v>
      </c>
      <c r="C119" s="30">
        <f>+SUM(C120:C133)</f>
        <v>0</v>
      </c>
      <c r="D119" s="31">
        <f>+SUM(D120:D133)</f>
        <v>0</v>
      </c>
      <c r="E119" s="28"/>
      <c r="F119" s="29"/>
    </row>
    <row r="120" spans="1:6" s="2" customFormat="1" hidden="1" x14ac:dyDescent="0.25">
      <c r="A120" s="25"/>
      <c r="B120" s="19"/>
      <c r="C120" s="20"/>
      <c r="D120" s="53"/>
      <c r="E120" s="28"/>
      <c r="F120" s="29">
        <v>4116</v>
      </c>
    </row>
    <row r="121" spans="1:6" s="2" customFormat="1" hidden="1" x14ac:dyDescent="0.25">
      <c r="A121" s="25"/>
      <c r="B121" s="19"/>
      <c r="C121" s="20"/>
      <c r="D121" s="53"/>
      <c r="E121" s="28"/>
      <c r="F121" s="29">
        <v>4116</v>
      </c>
    </row>
    <row r="122" spans="1:6" s="2" customFormat="1" hidden="1" x14ac:dyDescent="0.25">
      <c r="A122" s="25"/>
      <c r="B122" s="19"/>
      <c r="C122" s="20"/>
      <c r="D122" s="53"/>
      <c r="E122" s="28"/>
      <c r="F122" s="29">
        <v>4116</v>
      </c>
    </row>
    <row r="123" spans="1:6" s="2" customFormat="1" hidden="1" x14ac:dyDescent="0.25">
      <c r="A123" s="25"/>
      <c r="B123" s="19"/>
      <c r="C123" s="20"/>
      <c r="D123" s="53"/>
      <c r="E123" s="28"/>
      <c r="F123" s="29">
        <v>4116</v>
      </c>
    </row>
    <row r="124" spans="1:6" s="2" customFormat="1" hidden="1" x14ac:dyDescent="0.25">
      <c r="A124" s="25"/>
      <c r="B124" s="19"/>
      <c r="C124" s="20"/>
      <c r="D124" s="53"/>
      <c r="E124" s="28"/>
      <c r="F124" s="29">
        <v>4116</v>
      </c>
    </row>
    <row r="125" spans="1:6" s="2" customFormat="1" hidden="1" x14ac:dyDescent="0.25">
      <c r="A125" s="25"/>
      <c r="B125" s="19"/>
      <c r="C125" s="20"/>
      <c r="D125" s="53"/>
      <c r="E125" s="28"/>
      <c r="F125" s="29">
        <v>4116</v>
      </c>
    </row>
    <row r="126" spans="1:6" s="2" customFormat="1" hidden="1" x14ac:dyDescent="0.25">
      <c r="A126" s="25"/>
      <c r="B126" s="19"/>
      <c r="C126" s="20"/>
      <c r="D126" s="53"/>
      <c r="E126" s="28"/>
      <c r="F126" s="29">
        <v>4116</v>
      </c>
    </row>
    <row r="127" spans="1:6" s="2" customFormat="1" hidden="1" x14ac:dyDescent="0.25">
      <c r="A127" s="25"/>
      <c r="B127" s="19"/>
      <c r="C127" s="20"/>
      <c r="D127" s="53"/>
      <c r="E127" s="28"/>
      <c r="F127" s="29">
        <v>4116</v>
      </c>
    </row>
    <row r="128" spans="1:6" s="2" customFormat="1" hidden="1" x14ac:dyDescent="0.25">
      <c r="A128" s="25"/>
      <c r="B128" s="19"/>
      <c r="C128" s="20"/>
      <c r="D128" s="53"/>
      <c r="E128" s="28"/>
      <c r="F128" s="29">
        <v>4116</v>
      </c>
    </row>
    <row r="129" spans="1:8" s="2" customFormat="1" hidden="1" x14ac:dyDescent="0.25">
      <c r="A129" s="25"/>
      <c r="B129" s="19"/>
      <c r="C129" s="20"/>
      <c r="D129" s="53"/>
      <c r="E129" s="28"/>
      <c r="F129" s="29">
        <v>4116</v>
      </c>
    </row>
    <row r="130" spans="1:8" s="2" customFormat="1" hidden="1" x14ac:dyDescent="0.25">
      <c r="A130" s="25"/>
      <c r="B130" s="19"/>
      <c r="C130" s="20"/>
      <c r="D130" s="53"/>
      <c r="E130" s="28"/>
      <c r="F130" s="29">
        <v>4116</v>
      </c>
    </row>
    <row r="131" spans="1:8" s="2" customFormat="1" hidden="1" x14ac:dyDescent="0.25">
      <c r="A131" s="25"/>
      <c r="B131" s="19"/>
      <c r="C131" s="20"/>
      <c r="D131" s="53"/>
      <c r="E131" s="28"/>
      <c r="F131" s="29">
        <v>4116</v>
      </c>
    </row>
    <row r="132" spans="1:8" s="2" customFormat="1" hidden="1" x14ac:dyDescent="0.25">
      <c r="A132" s="25"/>
      <c r="B132" s="19"/>
      <c r="C132" s="52"/>
      <c r="D132" s="53"/>
      <c r="E132" s="28"/>
      <c r="F132" s="29">
        <v>4116</v>
      </c>
    </row>
    <row r="133" spans="1:8" s="2" customFormat="1" hidden="1" x14ac:dyDescent="0.25">
      <c r="A133" s="25"/>
      <c r="B133" s="23"/>
      <c r="C133" s="52"/>
      <c r="D133" s="53"/>
      <c r="E133" s="28"/>
      <c r="F133" s="29">
        <v>4116</v>
      </c>
    </row>
    <row r="134" spans="1:8" x14ac:dyDescent="0.25">
      <c r="A134" s="50"/>
      <c r="B134" s="58"/>
      <c r="C134" s="46"/>
      <c r="D134" s="56"/>
      <c r="E134" s="60"/>
      <c r="F134" s="51"/>
      <c r="G134" s="2"/>
      <c r="H134" s="2"/>
    </row>
    <row r="135" spans="1:8" s="2" customFormat="1" x14ac:dyDescent="0.25">
      <c r="A135" s="25"/>
      <c r="B135" s="13" t="s">
        <v>38</v>
      </c>
      <c r="C135" s="30">
        <f>+C136</f>
        <v>600</v>
      </c>
      <c r="D135" s="31">
        <f>+D136</f>
        <v>600000</v>
      </c>
      <c r="E135" s="28"/>
      <c r="F135" s="29"/>
    </row>
    <row r="136" spans="1:8" s="2" customFormat="1" x14ac:dyDescent="0.25">
      <c r="A136" s="25">
        <v>42051</v>
      </c>
      <c r="B136" s="19" t="s">
        <v>39</v>
      </c>
      <c r="C136" s="46">
        <v>600</v>
      </c>
      <c r="D136" s="47">
        <v>600000</v>
      </c>
      <c r="E136" s="28">
        <v>22005</v>
      </c>
      <c r="F136" s="29" t="s">
        <v>18</v>
      </c>
    </row>
    <row r="137" spans="1:8" x14ac:dyDescent="0.25">
      <c r="A137" s="50"/>
      <c r="B137" s="61"/>
      <c r="C137" s="46"/>
      <c r="D137" s="56"/>
      <c r="E137" s="60"/>
      <c r="F137" s="51"/>
      <c r="G137" s="2"/>
      <c r="H137" s="2"/>
    </row>
    <row r="138" spans="1:8" s="2" customFormat="1" x14ac:dyDescent="0.25">
      <c r="A138" s="25"/>
      <c r="B138" s="13" t="s">
        <v>40</v>
      </c>
      <c r="C138" s="30">
        <f>SUM(C139:C151)</f>
        <v>7.48</v>
      </c>
      <c r="D138" s="31">
        <f>SUM(D139:D151)</f>
        <v>281328</v>
      </c>
      <c r="E138" s="28"/>
      <c r="F138" s="29"/>
    </row>
    <row r="139" spans="1:8" s="2" customFormat="1" x14ac:dyDescent="0.25">
      <c r="A139" s="25">
        <v>42081</v>
      </c>
      <c r="B139" s="24" t="s">
        <v>118</v>
      </c>
      <c r="C139" s="46">
        <v>0</v>
      </c>
      <c r="D139" s="47">
        <v>134988</v>
      </c>
      <c r="E139" s="28">
        <v>14023</v>
      </c>
      <c r="F139" s="29">
        <v>4116</v>
      </c>
      <c r="G139" s="2" t="s">
        <v>131</v>
      </c>
    </row>
    <row r="140" spans="1:8" s="2" customFormat="1" x14ac:dyDescent="0.25">
      <c r="A140" s="25">
        <v>42082</v>
      </c>
      <c r="B140" s="24" t="s">
        <v>119</v>
      </c>
      <c r="C140" s="46">
        <v>0</v>
      </c>
      <c r="D140" s="47">
        <v>72000</v>
      </c>
      <c r="E140" s="28">
        <v>14336</v>
      </c>
      <c r="F140" s="29">
        <v>4116</v>
      </c>
      <c r="G140" s="2" t="s">
        <v>130</v>
      </c>
    </row>
    <row r="141" spans="1:8" s="2" customFormat="1" x14ac:dyDescent="0.25">
      <c r="A141" s="25">
        <v>42087</v>
      </c>
      <c r="B141" s="24" t="s">
        <v>118</v>
      </c>
      <c r="C141" s="46">
        <v>0</v>
      </c>
      <c r="D141" s="47">
        <v>800</v>
      </c>
      <c r="E141" s="28">
        <v>14023</v>
      </c>
      <c r="F141" s="29">
        <v>4116</v>
      </c>
    </row>
    <row r="142" spans="1:8" s="2" customFormat="1" x14ac:dyDescent="0.25">
      <c r="A142" s="25">
        <v>42090</v>
      </c>
      <c r="B142" s="24" t="s">
        <v>118</v>
      </c>
      <c r="C142" s="46">
        <v>0</v>
      </c>
      <c r="D142" s="47">
        <v>66060</v>
      </c>
      <c r="E142" s="28">
        <v>14023</v>
      </c>
      <c r="F142" s="29">
        <v>4116</v>
      </c>
    </row>
    <row r="143" spans="1:8" s="2" customFormat="1" hidden="1" x14ac:dyDescent="0.25">
      <c r="A143" s="25"/>
      <c r="B143" s="24"/>
      <c r="C143" s="46"/>
      <c r="D143" s="47"/>
      <c r="E143" s="28"/>
      <c r="F143" s="29">
        <v>4116</v>
      </c>
    </row>
    <row r="144" spans="1:8" s="2" customFormat="1" hidden="1" x14ac:dyDescent="0.25">
      <c r="A144" s="25"/>
      <c r="B144" s="24"/>
      <c r="C144" s="46"/>
      <c r="D144" s="47"/>
      <c r="E144" s="28"/>
      <c r="F144" s="29">
        <v>4116</v>
      </c>
    </row>
    <row r="145" spans="1:6" s="2" customFormat="1" hidden="1" x14ac:dyDescent="0.25">
      <c r="A145" s="25"/>
      <c r="B145" s="24"/>
      <c r="C145" s="46"/>
      <c r="D145" s="47"/>
      <c r="E145" s="28"/>
      <c r="F145" s="29">
        <v>4116</v>
      </c>
    </row>
    <row r="146" spans="1:6" s="2" customFormat="1" hidden="1" x14ac:dyDescent="0.25">
      <c r="A146" s="25"/>
      <c r="B146" s="24"/>
      <c r="C146" s="46"/>
      <c r="D146" s="47"/>
      <c r="E146" s="28"/>
      <c r="F146" s="29">
        <v>4116</v>
      </c>
    </row>
    <row r="147" spans="1:6" s="2" customFormat="1" hidden="1" x14ac:dyDescent="0.25">
      <c r="A147" s="25"/>
      <c r="B147" s="24"/>
      <c r="C147" s="46"/>
      <c r="D147" s="47"/>
      <c r="E147" s="28"/>
      <c r="F147" s="29">
        <v>4116</v>
      </c>
    </row>
    <row r="148" spans="1:6" s="2" customFormat="1" x14ac:dyDescent="0.25">
      <c r="A148" s="25"/>
      <c r="B148" s="24" t="s">
        <v>113</v>
      </c>
      <c r="C148" s="46">
        <v>7.48</v>
      </c>
      <c r="D148" s="47">
        <v>7480</v>
      </c>
      <c r="E148" s="28">
        <v>14137</v>
      </c>
      <c r="F148" s="29">
        <v>4116</v>
      </c>
    </row>
    <row r="149" spans="1:6" s="2" customFormat="1" hidden="1" x14ac:dyDescent="0.25">
      <c r="A149" s="25"/>
      <c r="B149" s="24"/>
      <c r="C149" s="46"/>
      <c r="D149" s="47"/>
      <c r="E149" s="28"/>
      <c r="F149" s="29">
        <v>4116</v>
      </c>
    </row>
    <row r="150" spans="1:6" s="2" customFormat="1" hidden="1" x14ac:dyDescent="0.25">
      <c r="A150" s="25"/>
      <c r="B150" s="24"/>
      <c r="C150" s="46"/>
      <c r="D150" s="47"/>
      <c r="E150" s="28"/>
      <c r="F150" s="29">
        <v>4116</v>
      </c>
    </row>
    <row r="151" spans="1:6" s="2" customFormat="1" hidden="1" x14ac:dyDescent="0.25">
      <c r="A151" s="25"/>
      <c r="B151" s="24"/>
      <c r="C151" s="116"/>
      <c r="D151" s="47"/>
      <c r="E151" s="28"/>
      <c r="F151" s="29"/>
    </row>
    <row r="152" spans="1:6" s="2" customFormat="1" hidden="1" x14ac:dyDescent="0.25">
      <c r="A152" s="25"/>
      <c r="B152" s="19"/>
      <c r="C152" s="116"/>
      <c r="D152" s="47"/>
      <c r="E152" s="28"/>
      <c r="F152" s="48"/>
    </row>
    <row r="153" spans="1:6" s="2" customFormat="1" hidden="1" x14ac:dyDescent="0.25">
      <c r="A153" s="25"/>
      <c r="B153" s="13" t="s">
        <v>41</v>
      </c>
      <c r="C153" s="30">
        <f>+SUM(C154:C168)</f>
        <v>0</v>
      </c>
      <c r="D153" s="30">
        <f>+SUM(D154:D168)</f>
        <v>0</v>
      </c>
      <c r="E153" s="28"/>
      <c r="F153" s="48"/>
    </row>
    <row r="154" spans="1:6" s="2" customFormat="1" hidden="1" x14ac:dyDescent="0.25">
      <c r="A154" s="25"/>
      <c r="B154" s="24" t="s">
        <v>93</v>
      </c>
      <c r="C154" s="46"/>
      <c r="D154" s="47"/>
      <c r="E154" s="28">
        <v>35019</v>
      </c>
      <c r="F154" s="48">
        <v>4116</v>
      </c>
    </row>
    <row r="155" spans="1:6" s="2" customFormat="1" hidden="1" x14ac:dyDescent="0.25">
      <c r="A155" s="25"/>
      <c r="B155" s="24" t="s">
        <v>94</v>
      </c>
      <c r="C155" s="46"/>
      <c r="D155" s="47"/>
      <c r="E155" s="28">
        <v>35019</v>
      </c>
      <c r="F155" s="48">
        <v>4116</v>
      </c>
    </row>
    <row r="156" spans="1:6" s="2" customFormat="1" hidden="1" x14ac:dyDescent="0.25">
      <c r="A156" s="25"/>
      <c r="B156" s="24" t="s">
        <v>95</v>
      </c>
      <c r="C156" s="46"/>
      <c r="D156" s="47"/>
      <c r="E156" s="28">
        <v>35019</v>
      </c>
      <c r="F156" s="48">
        <v>4116</v>
      </c>
    </row>
    <row r="157" spans="1:6" s="2" customFormat="1" hidden="1" x14ac:dyDescent="0.25">
      <c r="A157" s="25"/>
      <c r="B157" s="24" t="s">
        <v>96</v>
      </c>
      <c r="C157" s="46"/>
      <c r="D157" s="47"/>
      <c r="E157" s="28">
        <v>35019</v>
      </c>
      <c r="F157" s="48">
        <v>4116</v>
      </c>
    </row>
    <row r="158" spans="1:6" s="2" customFormat="1" hidden="1" x14ac:dyDescent="0.25">
      <c r="A158" s="25"/>
      <c r="B158" s="24" t="s">
        <v>93</v>
      </c>
      <c r="C158" s="46"/>
      <c r="D158" s="47"/>
      <c r="E158" s="28">
        <v>35019</v>
      </c>
      <c r="F158" s="48">
        <v>4116</v>
      </c>
    </row>
    <row r="159" spans="1:6" s="2" customFormat="1" hidden="1" x14ac:dyDescent="0.25">
      <c r="A159" s="25"/>
      <c r="B159" s="24" t="s">
        <v>95</v>
      </c>
      <c r="C159" s="46"/>
      <c r="D159" s="47"/>
      <c r="E159" s="28">
        <v>35019</v>
      </c>
      <c r="F159" s="48">
        <v>4116</v>
      </c>
    </row>
    <row r="160" spans="1:6" s="2" customFormat="1" hidden="1" x14ac:dyDescent="0.25">
      <c r="A160" s="25"/>
      <c r="B160" s="24" t="s">
        <v>93</v>
      </c>
      <c r="C160" s="46"/>
      <c r="D160" s="47"/>
      <c r="E160" s="28">
        <v>35019</v>
      </c>
      <c r="F160" s="48">
        <v>4116</v>
      </c>
    </row>
    <row r="161" spans="1:6" s="2" customFormat="1" hidden="1" x14ac:dyDescent="0.25">
      <c r="A161" s="25"/>
      <c r="B161" s="24" t="s">
        <v>94</v>
      </c>
      <c r="C161" s="46"/>
      <c r="D161" s="47"/>
      <c r="E161" s="28">
        <v>35019</v>
      </c>
      <c r="F161" s="48">
        <v>4116</v>
      </c>
    </row>
    <row r="162" spans="1:6" s="2" customFormat="1" hidden="1" x14ac:dyDescent="0.25">
      <c r="A162" s="25"/>
      <c r="B162" s="24" t="s">
        <v>95</v>
      </c>
      <c r="C162" s="46"/>
      <c r="D162" s="47"/>
      <c r="E162" s="28">
        <v>35019</v>
      </c>
      <c r="F162" s="48">
        <v>4116</v>
      </c>
    </row>
    <row r="163" spans="1:6" s="2" customFormat="1" hidden="1" x14ac:dyDescent="0.25">
      <c r="A163" s="25"/>
      <c r="B163" s="24" t="s">
        <v>96</v>
      </c>
      <c r="C163" s="46"/>
      <c r="D163" s="47"/>
      <c r="E163" s="28">
        <v>35019</v>
      </c>
      <c r="F163" s="48">
        <v>4116</v>
      </c>
    </row>
    <row r="164" spans="1:6" s="2" customFormat="1" hidden="1" x14ac:dyDescent="0.25">
      <c r="A164" s="25"/>
      <c r="B164" s="24" t="s">
        <v>93</v>
      </c>
      <c r="C164" s="46"/>
      <c r="D164" s="47"/>
      <c r="E164" s="28">
        <v>35019</v>
      </c>
      <c r="F164" s="48">
        <v>4116</v>
      </c>
    </row>
    <row r="165" spans="1:6" s="2" customFormat="1" hidden="1" x14ac:dyDescent="0.25">
      <c r="A165" s="25"/>
      <c r="B165" s="24" t="s">
        <v>95</v>
      </c>
      <c r="C165" s="46"/>
      <c r="D165" s="47"/>
      <c r="E165" s="28">
        <v>35019</v>
      </c>
      <c r="F165" s="48">
        <v>4116</v>
      </c>
    </row>
    <row r="166" spans="1:6" s="2" customFormat="1" hidden="1" x14ac:dyDescent="0.25">
      <c r="A166" s="25"/>
      <c r="B166" s="24" t="s">
        <v>95</v>
      </c>
      <c r="C166" s="46"/>
      <c r="D166" s="47"/>
      <c r="E166" s="28">
        <v>35019</v>
      </c>
      <c r="F166" s="48">
        <v>4116</v>
      </c>
    </row>
    <row r="167" spans="1:6" s="2" customFormat="1" hidden="1" x14ac:dyDescent="0.25">
      <c r="A167" s="25"/>
      <c r="B167" s="24" t="s">
        <v>92</v>
      </c>
      <c r="C167" s="46"/>
      <c r="D167" s="47"/>
      <c r="E167" s="28">
        <v>35019</v>
      </c>
      <c r="F167" s="48">
        <v>4116</v>
      </c>
    </row>
    <row r="168" spans="1:6" s="2" customFormat="1" hidden="1" x14ac:dyDescent="0.25">
      <c r="A168" s="25"/>
      <c r="B168" s="24" t="s">
        <v>100</v>
      </c>
      <c r="C168" s="46"/>
      <c r="D168" s="47"/>
      <c r="E168" s="28">
        <v>35015</v>
      </c>
      <c r="F168" s="48">
        <v>4116</v>
      </c>
    </row>
    <row r="169" spans="1:6" s="2" customFormat="1" x14ac:dyDescent="0.25">
      <c r="A169" s="25"/>
      <c r="B169" s="24"/>
      <c r="C169" s="116"/>
      <c r="D169" s="47"/>
      <c r="E169" s="28"/>
      <c r="F169" s="48"/>
    </row>
    <row r="170" spans="1:6" s="2" customFormat="1" hidden="1" x14ac:dyDescent="0.25">
      <c r="A170" s="25"/>
      <c r="B170" s="13" t="s">
        <v>42</v>
      </c>
      <c r="C170" s="30">
        <f>+SUM(C171:C177)</f>
        <v>0</v>
      </c>
      <c r="D170" s="30">
        <f>+SUM(D171:D177)</f>
        <v>0</v>
      </c>
      <c r="E170" s="28"/>
      <c r="F170" s="48"/>
    </row>
    <row r="171" spans="1:6" s="2" customFormat="1" hidden="1" x14ac:dyDescent="0.25">
      <c r="A171" s="25"/>
      <c r="B171" s="24" t="s">
        <v>43</v>
      </c>
      <c r="C171" s="46"/>
      <c r="D171" s="47"/>
      <c r="E171" s="28">
        <v>29008</v>
      </c>
      <c r="F171" s="48">
        <v>4116</v>
      </c>
    </row>
    <row r="172" spans="1:6" s="2" customFormat="1" hidden="1" x14ac:dyDescent="0.25">
      <c r="A172" s="25"/>
      <c r="B172" s="24" t="s">
        <v>43</v>
      </c>
      <c r="C172" s="46"/>
      <c r="D172" s="47"/>
      <c r="E172" s="28">
        <v>29008</v>
      </c>
      <c r="F172" s="48">
        <v>4116</v>
      </c>
    </row>
    <row r="173" spans="1:6" s="2" customFormat="1" hidden="1" x14ac:dyDescent="0.25">
      <c r="A173" s="25"/>
      <c r="B173" s="24" t="s">
        <v>44</v>
      </c>
      <c r="C173" s="46"/>
      <c r="D173" s="47"/>
      <c r="E173" s="28">
        <v>29004</v>
      </c>
      <c r="F173" s="48">
        <v>4116</v>
      </c>
    </row>
    <row r="174" spans="1:6" s="2" customFormat="1" hidden="1" x14ac:dyDescent="0.25">
      <c r="A174" s="25"/>
      <c r="B174" s="24"/>
      <c r="C174" s="46"/>
      <c r="D174" s="47"/>
      <c r="E174" s="28"/>
      <c r="F174" s="48">
        <v>4116</v>
      </c>
    </row>
    <row r="175" spans="1:6" s="2" customFormat="1" hidden="1" x14ac:dyDescent="0.25">
      <c r="A175" s="25"/>
      <c r="B175" s="24"/>
      <c r="C175" s="46"/>
      <c r="D175" s="47"/>
      <c r="E175" s="28"/>
      <c r="F175" s="48">
        <v>4116</v>
      </c>
    </row>
    <row r="176" spans="1:6" s="2" customFormat="1" hidden="1" x14ac:dyDescent="0.25">
      <c r="A176" s="25"/>
      <c r="B176" s="24"/>
      <c r="C176" s="46"/>
      <c r="D176" s="47"/>
      <c r="E176" s="28"/>
      <c r="F176" s="48">
        <v>4116</v>
      </c>
    </row>
    <row r="177" spans="1:6" s="2" customFormat="1" hidden="1" x14ac:dyDescent="0.25">
      <c r="A177" s="25"/>
      <c r="B177" s="24"/>
      <c r="C177" s="116"/>
      <c r="D177" s="47"/>
      <c r="E177" s="28"/>
      <c r="F177" s="48"/>
    </row>
    <row r="178" spans="1:6" s="2" customFormat="1" hidden="1" x14ac:dyDescent="0.25">
      <c r="A178" s="25"/>
      <c r="B178" s="13" t="s">
        <v>45</v>
      </c>
      <c r="C178" s="30">
        <f>+SUM(C179:C204)</f>
        <v>0</v>
      </c>
      <c r="D178" s="31">
        <f>+SUM(D179:D204)</f>
        <v>0</v>
      </c>
      <c r="E178" s="28"/>
      <c r="F178" s="48"/>
    </row>
    <row r="179" spans="1:6" s="2" customFormat="1" hidden="1" x14ac:dyDescent="0.25">
      <c r="A179" s="25"/>
      <c r="B179" s="24"/>
      <c r="C179" s="46"/>
      <c r="D179" s="47"/>
      <c r="E179" s="28"/>
      <c r="F179" s="48">
        <v>4116</v>
      </c>
    </row>
    <row r="180" spans="1:6" s="2" customFormat="1" hidden="1" x14ac:dyDescent="0.25">
      <c r="A180" s="25"/>
      <c r="B180" s="24"/>
      <c r="C180" s="46"/>
      <c r="D180" s="47"/>
      <c r="E180" s="28"/>
      <c r="F180" s="48">
        <v>4116</v>
      </c>
    </row>
    <row r="181" spans="1:6" s="2" customFormat="1" hidden="1" x14ac:dyDescent="0.25">
      <c r="A181" s="25"/>
      <c r="B181" s="24"/>
      <c r="C181" s="46"/>
      <c r="D181" s="47"/>
      <c r="E181" s="28"/>
      <c r="F181" s="48">
        <v>4116</v>
      </c>
    </row>
    <row r="182" spans="1:6" s="2" customFormat="1" hidden="1" x14ac:dyDescent="0.25">
      <c r="A182" s="25"/>
      <c r="B182" s="24"/>
      <c r="C182" s="46"/>
      <c r="D182" s="47"/>
      <c r="E182" s="28"/>
      <c r="F182" s="48">
        <v>4116</v>
      </c>
    </row>
    <row r="183" spans="1:6" s="2" customFormat="1" hidden="1" x14ac:dyDescent="0.25">
      <c r="A183" s="25"/>
      <c r="B183" s="24"/>
      <c r="C183" s="46"/>
      <c r="D183" s="47"/>
      <c r="E183" s="28"/>
      <c r="F183" s="48">
        <v>4116</v>
      </c>
    </row>
    <row r="184" spans="1:6" s="2" customFormat="1" hidden="1" x14ac:dyDescent="0.25">
      <c r="A184" s="25"/>
      <c r="B184" s="24"/>
      <c r="C184" s="46"/>
      <c r="D184" s="47"/>
      <c r="E184" s="28"/>
      <c r="F184" s="48">
        <v>4116</v>
      </c>
    </row>
    <row r="185" spans="1:6" s="2" customFormat="1" hidden="1" x14ac:dyDescent="0.25">
      <c r="A185" s="12"/>
      <c r="B185" s="24"/>
      <c r="C185" s="46"/>
      <c r="D185" s="47"/>
      <c r="E185" s="28"/>
      <c r="F185" s="48">
        <v>4116</v>
      </c>
    </row>
    <row r="186" spans="1:6" s="2" customFormat="1" hidden="1" x14ac:dyDescent="0.25">
      <c r="A186" s="12"/>
      <c r="B186" s="24"/>
      <c r="C186" s="46"/>
      <c r="D186" s="47"/>
      <c r="E186" s="28"/>
      <c r="F186" s="48">
        <v>4116</v>
      </c>
    </row>
    <row r="187" spans="1:6" s="2" customFormat="1" hidden="1" x14ac:dyDescent="0.25">
      <c r="A187" s="12"/>
      <c r="B187" s="24"/>
      <c r="C187" s="46"/>
      <c r="D187" s="47"/>
      <c r="E187" s="28"/>
      <c r="F187" s="48">
        <v>4116</v>
      </c>
    </row>
    <row r="188" spans="1:6" s="2" customFormat="1" hidden="1" x14ac:dyDescent="0.25">
      <c r="A188" s="12"/>
      <c r="B188" s="24"/>
      <c r="C188" s="46"/>
      <c r="D188" s="47"/>
      <c r="E188" s="28"/>
      <c r="F188" s="48">
        <v>4116</v>
      </c>
    </row>
    <row r="189" spans="1:6" s="2" customFormat="1" hidden="1" x14ac:dyDescent="0.25">
      <c r="A189" s="12"/>
      <c r="B189" s="24"/>
      <c r="C189" s="46"/>
      <c r="D189" s="47"/>
      <c r="E189" s="28"/>
      <c r="F189" s="48">
        <v>4116</v>
      </c>
    </row>
    <row r="190" spans="1:6" s="2" customFormat="1" hidden="1" x14ac:dyDescent="0.25">
      <c r="A190" s="25"/>
      <c r="B190" s="24"/>
      <c r="C190" s="46"/>
      <c r="D190" s="47"/>
      <c r="E190" s="28"/>
      <c r="F190" s="48">
        <v>4116</v>
      </c>
    </row>
    <row r="191" spans="1:6" s="2" customFormat="1" hidden="1" x14ac:dyDescent="0.25">
      <c r="A191" s="25"/>
      <c r="B191" s="24"/>
      <c r="C191" s="46"/>
      <c r="D191" s="47"/>
      <c r="E191" s="28"/>
      <c r="F191" s="48">
        <v>4116</v>
      </c>
    </row>
    <row r="192" spans="1:6" s="2" customFormat="1" hidden="1" x14ac:dyDescent="0.25">
      <c r="A192" s="25"/>
      <c r="B192" s="24"/>
      <c r="C192" s="46"/>
      <c r="D192" s="47"/>
      <c r="E192" s="28"/>
      <c r="F192" s="48">
        <v>4116</v>
      </c>
    </row>
    <row r="193" spans="1:8" s="2" customFormat="1" hidden="1" x14ac:dyDescent="0.25">
      <c r="A193" s="25"/>
      <c r="B193" s="24"/>
      <c r="C193" s="46"/>
      <c r="D193" s="47"/>
      <c r="E193" s="28"/>
      <c r="F193" s="48">
        <v>4116</v>
      </c>
    </row>
    <row r="194" spans="1:8" s="2" customFormat="1" hidden="1" x14ac:dyDescent="0.25">
      <c r="A194" s="25"/>
      <c r="B194" s="24"/>
      <c r="C194" s="47"/>
      <c r="D194" s="47"/>
      <c r="E194" s="28"/>
      <c r="F194" s="48">
        <v>4116</v>
      </c>
    </row>
    <row r="195" spans="1:8" s="2" customFormat="1" hidden="1" x14ac:dyDescent="0.25">
      <c r="A195" s="25"/>
      <c r="B195" s="24"/>
      <c r="C195" s="47"/>
      <c r="D195" s="47"/>
      <c r="E195" s="28"/>
      <c r="F195" s="48">
        <v>4116</v>
      </c>
    </row>
    <row r="196" spans="1:8" s="2" customFormat="1" hidden="1" x14ac:dyDescent="0.25">
      <c r="A196" s="25"/>
      <c r="B196" s="24"/>
      <c r="C196" s="47"/>
      <c r="D196" s="47"/>
      <c r="E196" s="28"/>
      <c r="F196" s="48">
        <v>4116</v>
      </c>
    </row>
    <row r="197" spans="1:8" s="2" customFormat="1" hidden="1" x14ac:dyDescent="0.25">
      <c r="A197" s="25"/>
      <c r="B197" s="24"/>
      <c r="C197" s="47"/>
      <c r="D197" s="47"/>
      <c r="E197" s="28"/>
      <c r="F197" s="48">
        <v>4116</v>
      </c>
    </row>
    <row r="198" spans="1:8" s="2" customFormat="1" hidden="1" x14ac:dyDescent="0.25">
      <c r="A198" s="25"/>
      <c r="B198" s="24"/>
      <c r="C198" s="47"/>
      <c r="D198" s="47"/>
      <c r="E198" s="28"/>
      <c r="F198" s="48">
        <v>4116</v>
      </c>
    </row>
    <row r="199" spans="1:8" s="2" customFormat="1" hidden="1" x14ac:dyDescent="0.25">
      <c r="A199" s="25"/>
      <c r="B199" s="24"/>
      <c r="C199" s="47"/>
      <c r="D199" s="47"/>
      <c r="E199" s="28"/>
      <c r="F199" s="48">
        <v>4116</v>
      </c>
    </row>
    <row r="200" spans="1:8" s="2" customFormat="1" hidden="1" x14ac:dyDescent="0.25">
      <c r="A200" s="25"/>
      <c r="B200" s="24"/>
      <c r="C200" s="47"/>
      <c r="D200" s="47"/>
      <c r="E200" s="28"/>
      <c r="F200" s="48">
        <v>4116</v>
      </c>
    </row>
    <row r="201" spans="1:8" s="2" customFormat="1" hidden="1" x14ac:dyDescent="0.25">
      <c r="A201" s="25"/>
      <c r="B201" s="24"/>
      <c r="C201" s="47"/>
      <c r="D201" s="47"/>
      <c r="E201" s="28"/>
      <c r="F201" s="48">
        <v>4116</v>
      </c>
    </row>
    <row r="202" spans="1:8" s="2" customFormat="1" hidden="1" x14ac:dyDescent="0.25">
      <c r="A202" s="25"/>
      <c r="B202" s="24"/>
      <c r="C202" s="46"/>
      <c r="D202" s="47"/>
      <c r="E202" s="28"/>
      <c r="F202" s="48">
        <v>4116</v>
      </c>
    </row>
    <row r="203" spans="1:8" s="2" customFormat="1" hidden="1" x14ac:dyDescent="0.25">
      <c r="A203" s="12"/>
      <c r="B203" s="24"/>
      <c r="C203" s="46"/>
      <c r="D203" s="47"/>
      <c r="E203" s="28"/>
      <c r="F203" s="48">
        <v>4116</v>
      </c>
    </row>
    <row r="204" spans="1:8" s="2" customFormat="1" hidden="1" x14ac:dyDescent="0.25">
      <c r="A204" s="12"/>
      <c r="B204" s="23"/>
      <c r="C204" s="47"/>
      <c r="D204" s="47"/>
      <c r="E204" s="28"/>
      <c r="F204" s="48"/>
    </row>
    <row r="205" spans="1:8" s="2" customFormat="1" hidden="1" x14ac:dyDescent="0.25">
      <c r="A205" s="25"/>
      <c r="B205" s="30" t="s">
        <v>46</v>
      </c>
      <c r="C205" s="30">
        <f>+SUM(C206:C207)</f>
        <v>0</v>
      </c>
      <c r="D205" s="31">
        <f>+SUM(D206:D207)</f>
        <v>0</v>
      </c>
      <c r="E205" s="28"/>
      <c r="F205" s="48"/>
    </row>
    <row r="206" spans="1:8" hidden="1" x14ac:dyDescent="0.25">
      <c r="A206" s="25"/>
      <c r="B206" s="24"/>
      <c r="C206" s="46"/>
      <c r="D206" s="47"/>
      <c r="E206" s="60"/>
      <c r="F206" s="48" t="s">
        <v>47</v>
      </c>
      <c r="G206" s="2"/>
      <c r="H206" s="2"/>
    </row>
    <row r="207" spans="1:8" hidden="1" x14ac:dyDescent="0.25">
      <c r="A207" s="25"/>
      <c r="B207" s="24"/>
      <c r="C207" s="46"/>
      <c r="D207" s="47"/>
      <c r="E207" s="60"/>
      <c r="F207" s="48"/>
      <c r="G207" s="2"/>
      <c r="H207" s="2"/>
    </row>
    <row r="208" spans="1:8" x14ac:dyDescent="0.25">
      <c r="A208" s="25"/>
      <c r="B208" s="44"/>
      <c r="C208" s="46"/>
      <c r="D208" s="47"/>
      <c r="E208" s="60"/>
      <c r="F208" s="48"/>
      <c r="G208" s="2"/>
      <c r="H208" s="2"/>
    </row>
    <row r="209" spans="1:6" s="2" customFormat="1" x14ac:dyDescent="0.25">
      <c r="A209" s="25"/>
      <c r="B209" s="13" t="s">
        <v>48</v>
      </c>
      <c r="C209" s="27">
        <f>SUM(C210:C320)</f>
        <v>1020.3823300000001</v>
      </c>
      <c r="D209" s="27">
        <f>SUM(D210:D320)</f>
        <v>1020382.33</v>
      </c>
      <c r="E209" s="28"/>
      <c r="F209" s="22"/>
    </row>
    <row r="210" spans="1:6" s="2" customFormat="1" x14ac:dyDescent="0.25">
      <c r="A210" s="25">
        <v>42046</v>
      </c>
      <c r="B210" s="24" t="s">
        <v>104</v>
      </c>
      <c r="C210" s="53">
        <v>345.49686000000003</v>
      </c>
      <c r="D210" s="55">
        <v>345496.86</v>
      </c>
      <c r="E210" s="28">
        <v>33030</v>
      </c>
      <c r="F210" s="48" t="s">
        <v>49</v>
      </c>
    </row>
    <row r="211" spans="1:6" s="2" customFormat="1" hidden="1" x14ac:dyDescent="0.25">
      <c r="A211" s="25"/>
      <c r="B211" s="24"/>
      <c r="C211" s="53"/>
      <c r="D211" s="55"/>
      <c r="E211" s="28"/>
      <c r="F211" s="48" t="s">
        <v>49</v>
      </c>
    </row>
    <row r="212" spans="1:6" s="2" customFormat="1" hidden="1" x14ac:dyDescent="0.25">
      <c r="A212" s="25"/>
      <c r="B212" s="24"/>
      <c r="C212" s="53"/>
      <c r="D212" s="55"/>
      <c r="E212" s="28"/>
      <c r="F212" s="48">
        <v>4122</v>
      </c>
    </row>
    <row r="213" spans="1:6" s="2" customFormat="1" hidden="1" x14ac:dyDescent="0.25">
      <c r="A213" s="25"/>
      <c r="B213" s="24"/>
      <c r="C213" s="55"/>
      <c r="D213" s="55"/>
      <c r="E213" s="28"/>
      <c r="F213" s="48">
        <v>4122</v>
      </c>
    </row>
    <row r="214" spans="1:6" s="2" customFormat="1" hidden="1" x14ac:dyDescent="0.25">
      <c r="A214" s="25"/>
      <c r="B214" s="24"/>
      <c r="C214" s="55"/>
      <c r="D214" s="55"/>
      <c r="E214" s="28"/>
      <c r="F214" s="48">
        <v>4122</v>
      </c>
    </row>
    <row r="215" spans="1:6" s="2" customFormat="1" hidden="1" x14ac:dyDescent="0.25">
      <c r="A215" s="25"/>
      <c r="B215" s="24"/>
      <c r="C215" s="52"/>
      <c r="D215" s="55"/>
      <c r="E215" s="28"/>
      <c r="F215" s="48">
        <v>4122</v>
      </c>
    </row>
    <row r="216" spans="1:6" s="2" customFormat="1" hidden="1" x14ac:dyDescent="0.25">
      <c r="A216" s="25"/>
      <c r="B216" s="24"/>
      <c r="C216" s="52"/>
      <c r="D216" s="55"/>
      <c r="E216" s="28"/>
      <c r="F216" s="48">
        <v>4122</v>
      </c>
    </row>
    <row r="217" spans="1:6" s="2" customFormat="1" hidden="1" x14ac:dyDescent="0.25">
      <c r="A217" s="25"/>
      <c r="B217" s="24"/>
      <c r="C217" s="52"/>
      <c r="D217" s="55"/>
      <c r="E217" s="28"/>
      <c r="F217" s="48">
        <v>4122</v>
      </c>
    </row>
    <row r="218" spans="1:6" s="2" customFormat="1" hidden="1" x14ac:dyDescent="0.25">
      <c r="A218" s="25"/>
      <c r="B218" s="24"/>
      <c r="C218" s="52"/>
      <c r="D218" s="55"/>
      <c r="E218" s="28"/>
      <c r="F218" s="48">
        <v>4122</v>
      </c>
    </row>
    <row r="219" spans="1:6" s="2" customFormat="1" hidden="1" x14ac:dyDescent="0.25">
      <c r="A219" s="25"/>
      <c r="B219" s="24"/>
      <c r="C219" s="52"/>
      <c r="D219" s="55"/>
      <c r="E219" s="28"/>
      <c r="F219" s="48">
        <v>4122</v>
      </c>
    </row>
    <row r="220" spans="1:6" s="2" customFormat="1" hidden="1" x14ac:dyDescent="0.25">
      <c r="A220" s="25"/>
      <c r="B220" s="24"/>
      <c r="C220" s="52"/>
      <c r="D220" s="55"/>
      <c r="E220" s="28"/>
      <c r="F220" s="48">
        <v>4122</v>
      </c>
    </row>
    <row r="221" spans="1:6" s="2" customFormat="1" hidden="1" x14ac:dyDescent="0.25">
      <c r="A221" s="25"/>
      <c r="B221" s="24"/>
      <c r="C221" s="52"/>
      <c r="D221" s="55"/>
      <c r="E221" s="28"/>
      <c r="F221" s="48">
        <v>4122</v>
      </c>
    </row>
    <row r="222" spans="1:6" s="2" customFormat="1" hidden="1" x14ac:dyDescent="0.25">
      <c r="A222" s="25"/>
      <c r="B222" s="24"/>
      <c r="C222" s="52"/>
      <c r="D222" s="55"/>
      <c r="E222" s="28"/>
      <c r="F222" s="48">
        <v>4122</v>
      </c>
    </row>
    <row r="223" spans="1:6" s="2" customFormat="1" hidden="1" x14ac:dyDescent="0.25">
      <c r="A223" s="25"/>
      <c r="B223" s="24"/>
      <c r="C223" s="52"/>
      <c r="D223" s="55"/>
      <c r="E223" s="28"/>
      <c r="F223" s="48">
        <v>4122</v>
      </c>
    </row>
    <row r="224" spans="1:6" s="2" customFormat="1" hidden="1" x14ac:dyDescent="0.25">
      <c r="A224" s="25"/>
      <c r="B224" s="24"/>
      <c r="C224" s="52"/>
      <c r="D224" s="55"/>
      <c r="E224" s="28"/>
      <c r="F224" s="48">
        <v>4122</v>
      </c>
    </row>
    <row r="225" spans="1:6" s="2" customFormat="1" hidden="1" x14ac:dyDescent="0.25">
      <c r="A225" s="25"/>
      <c r="B225" s="24"/>
      <c r="C225" s="52"/>
      <c r="D225" s="55"/>
      <c r="E225" s="28"/>
      <c r="F225" s="48">
        <v>4122</v>
      </c>
    </row>
    <row r="226" spans="1:6" s="2" customFormat="1" hidden="1" x14ac:dyDescent="0.25">
      <c r="A226" s="25"/>
      <c r="B226" s="24"/>
      <c r="C226" s="52"/>
      <c r="D226" s="55"/>
      <c r="E226" s="28"/>
      <c r="F226" s="48">
        <v>4122</v>
      </c>
    </row>
    <row r="227" spans="1:6" s="2" customFormat="1" hidden="1" x14ac:dyDescent="0.25">
      <c r="A227" s="25"/>
      <c r="B227" s="24"/>
      <c r="C227" s="52"/>
      <c r="D227" s="55"/>
      <c r="E227" s="28"/>
      <c r="F227" s="48">
        <v>4122</v>
      </c>
    </row>
    <row r="228" spans="1:6" s="2" customFormat="1" hidden="1" x14ac:dyDescent="0.25">
      <c r="A228" s="25"/>
      <c r="B228" s="24"/>
      <c r="C228" s="52"/>
      <c r="D228" s="55"/>
      <c r="E228" s="28"/>
      <c r="F228" s="48">
        <v>4122</v>
      </c>
    </row>
    <row r="229" spans="1:6" s="2" customFormat="1" hidden="1" x14ac:dyDescent="0.25">
      <c r="A229" s="25"/>
      <c r="B229" s="24"/>
      <c r="C229" s="52"/>
      <c r="D229" s="55"/>
      <c r="E229" s="28"/>
      <c r="F229" s="48">
        <v>4122</v>
      </c>
    </row>
    <row r="230" spans="1:6" s="2" customFormat="1" hidden="1" x14ac:dyDescent="0.25">
      <c r="A230" s="25"/>
      <c r="B230" s="24"/>
      <c r="C230" s="52"/>
      <c r="D230" s="55"/>
      <c r="E230" s="28"/>
      <c r="F230" s="48">
        <v>4122</v>
      </c>
    </row>
    <row r="231" spans="1:6" s="2" customFormat="1" hidden="1" x14ac:dyDescent="0.25">
      <c r="A231" s="25"/>
      <c r="B231" s="24"/>
      <c r="C231" s="52"/>
      <c r="D231" s="55"/>
      <c r="E231" s="28"/>
      <c r="F231" s="48">
        <v>4122</v>
      </c>
    </row>
    <row r="232" spans="1:6" s="2" customFormat="1" hidden="1" x14ac:dyDescent="0.25">
      <c r="A232" s="25"/>
      <c r="B232" s="24"/>
      <c r="C232" s="52"/>
      <c r="D232" s="55"/>
      <c r="E232" s="28"/>
      <c r="F232" s="48">
        <v>4122</v>
      </c>
    </row>
    <row r="233" spans="1:6" s="2" customFormat="1" hidden="1" x14ac:dyDescent="0.25">
      <c r="A233" s="25"/>
      <c r="B233" s="24"/>
      <c r="C233" s="52"/>
      <c r="D233" s="55"/>
      <c r="E233" s="28"/>
      <c r="F233" s="48">
        <v>4122</v>
      </c>
    </row>
    <row r="234" spans="1:6" s="2" customFormat="1" hidden="1" x14ac:dyDescent="0.25">
      <c r="A234" s="25"/>
      <c r="B234" s="24"/>
      <c r="C234" s="52"/>
      <c r="D234" s="55"/>
      <c r="E234" s="28"/>
      <c r="F234" s="48">
        <v>4122</v>
      </c>
    </row>
    <row r="235" spans="1:6" s="2" customFormat="1" hidden="1" x14ac:dyDescent="0.25">
      <c r="A235" s="25"/>
      <c r="B235" s="24"/>
      <c r="C235" s="52"/>
      <c r="D235" s="55"/>
      <c r="E235" s="28"/>
      <c r="F235" s="48">
        <v>4122</v>
      </c>
    </row>
    <row r="236" spans="1:6" s="2" customFormat="1" hidden="1" x14ac:dyDescent="0.25">
      <c r="A236" s="25"/>
      <c r="B236" s="24"/>
      <c r="C236" s="52"/>
      <c r="D236" s="55"/>
      <c r="E236" s="28"/>
      <c r="F236" s="48">
        <v>4122</v>
      </c>
    </row>
    <row r="237" spans="1:6" s="2" customFormat="1" hidden="1" x14ac:dyDescent="0.25">
      <c r="A237" s="25"/>
      <c r="B237" s="24"/>
      <c r="C237" s="52"/>
      <c r="D237" s="55"/>
      <c r="E237" s="28"/>
      <c r="F237" s="48">
        <v>4122</v>
      </c>
    </row>
    <row r="238" spans="1:6" s="2" customFormat="1" hidden="1" x14ac:dyDescent="0.25">
      <c r="A238" s="25"/>
      <c r="B238" s="24"/>
      <c r="C238" s="52"/>
      <c r="D238" s="55"/>
      <c r="E238" s="28"/>
      <c r="F238" s="48">
        <v>4122</v>
      </c>
    </row>
    <row r="239" spans="1:6" s="2" customFormat="1" hidden="1" x14ac:dyDescent="0.25">
      <c r="A239" s="25"/>
      <c r="B239" s="24"/>
      <c r="C239" s="52"/>
      <c r="D239" s="55"/>
      <c r="E239" s="28"/>
      <c r="F239" s="48">
        <v>4122</v>
      </c>
    </row>
    <row r="240" spans="1:6" s="2" customFormat="1" hidden="1" x14ac:dyDescent="0.25">
      <c r="A240" s="25"/>
      <c r="B240" s="24"/>
      <c r="C240" s="52"/>
      <c r="D240" s="55"/>
      <c r="E240" s="28"/>
      <c r="F240" s="48">
        <v>4122</v>
      </c>
    </row>
    <row r="241" spans="1:6" s="2" customFormat="1" hidden="1" x14ac:dyDescent="0.25">
      <c r="A241" s="25"/>
      <c r="B241" s="24"/>
      <c r="C241" s="52"/>
      <c r="D241" s="55"/>
      <c r="E241" s="28"/>
      <c r="F241" s="48">
        <v>4122</v>
      </c>
    </row>
    <row r="242" spans="1:6" s="2" customFormat="1" hidden="1" x14ac:dyDescent="0.25">
      <c r="A242" s="25"/>
      <c r="B242" s="24"/>
      <c r="C242" s="52"/>
      <c r="D242" s="55"/>
      <c r="E242" s="28"/>
      <c r="F242" s="48">
        <v>4122</v>
      </c>
    </row>
    <row r="243" spans="1:6" s="2" customFormat="1" hidden="1" x14ac:dyDescent="0.25">
      <c r="A243" s="25"/>
      <c r="B243" s="24"/>
      <c r="C243" s="52"/>
      <c r="D243" s="55"/>
      <c r="E243" s="28"/>
      <c r="F243" s="48">
        <v>4122</v>
      </c>
    </row>
    <row r="244" spans="1:6" s="2" customFormat="1" hidden="1" x14ac:dyDescent="0.25">
      <c r="A244" s="25"/>
      <c r="B244" s="24"/>
      <c r="C244" s="52"/>
      <c r="D244" s="55"/>
      <c r="E244" s="28"/>
      <c r="F244" s="48">
        <v>4122</v>
      </c>
    </row>
    <row r="245" spans="1:6" s="2" customFormat="1" hidden="1" x14ac:dyDescent="0.25">
      <c r="A245" s="25"/>
      <c r="B245" s="24"/>
      <c r="C245" s="52"/>
      <c r="D245" s="55"/>
      <c r="E245" s="28"/>
      <c r="F245" s="48">
        <v>4122</v>
      </c>
    </row>
    <row r="246" spans="1:6" s="2" customFormat="1" hidden="1" x14ac:dyDescent="0.25">
      <c r="A246" s="25"/>
      <c r="B246" s="24"/>
      <c r="C246" s="52"/>
      <c r="D246" s="55"/>
      <c r="E246" s="28"/>
      <c r="F246" s="48">
        <v>4122</v>
      </c>
    </row>
    <row r="247" spans="1:6" s="2" customFormat="1" hidden="1" x14ac:dyDescent="0.25">
      <c r="A247" s="25"/>
      <c r="B247" s="24"/>
      <c r="C247" s="52"/>
      <c r="D247" s="55"/>
      <c r="E247" s="28"/>
      <c r="F247" s="48">
        <v>4122</v>
      </c>
    </row>
    <row r="248" spans="1:6" s="2" customFormat="1" hidden="1" x14ac:dyDescent="0.25">
      <c r="A248" s="25"/>
      <c r="B248" s="24"/>
      <c r="C248" s="52"/>
      <c r="D248" s="55"/>
      <c r="E248" s="28"/>
      <c r="F248" s="48">
        <v>4122</v>
      </c>
    </row>
    <row r="249" spans="1:6" s="2" customFormat="1" hidden="1" x14ac:dyDescent="0.25">
      <c r="A249" s="25"/>
      <c r="B249" s="24"/>
      <c r="C249" s="52"/>
      <c r="D249" s="55"/>
      <c r="E249" s="28"/>
      <c r="F249" s="48">
        <v>4122</v>
      </c>
    </row>
    <row r="250" spans="1:6" s="2" customFormat="1" hidden="1" x14ac:dyDescent="0.25">
      <c r="A250" s="25"/>
      <c r="B250" s="24"/>
      <c r="C250" s="52"/>
      <c r="D250" s="55"/>
      <c r="E250" s="28"/>
      <c r="F250" s="48">
        <v>4122</v>
      </c>
    </row>
    <row r="251" spans="1:6" s="2" customFormat="1" hidden="1" x14ac:dyDescent="0.25">
      <c r="A251" s="25"/>
      <c r="B251" s="24"/>
      <c r="C251" s="52"/>
      <c r="D251" s="55"/>
      <c r="E251" s="28"/>
      <c r="F251" s="48">
        <v>4122</v>
      </c>
    </row>
    <row r="252" spans="1:6" s="2" customFormat="1" hidden="1" x14ac:dyDescent="0.25">
      <c r="A252" s="25"/>
      <c r="B252" s="24"/>
      <c r="C252" s="52"/>
      <c r="D252" s="55"/>
      <c r="E252" s="28"/>
      <c r="F252" s="48">
        <v>4122</v>
      </c>
    </row>
    <row r="253" spans="1:6" s="2" customFormat="1" hidden="1" x14ac:dyDescent="0.25">
      <c r="A253" s="25"/>
      <c r="B253" s="24"/>
      <c r="C253" s="52"/>
      <c r="D253" s="55"/>
      <c r="E253" s="28"/>
      <c r="F253" s="48">
        <v>4122</v>
      </c>
    </row>
    <row r="254" spans="1:6" s="2" customFormat="1" hidden="1" x14ac:dyDescent="0.25">
      <c r="A254" s="25"/>
      <c r="B254" s="24"/>
      <c r="C254" s="52"/>
      <c r="D254" s="55"/>
      <c r="E254" s="28"/>
      <c r="F254" s="48">
        <v>4122</v>
      </c>
    </row>
    <row r="255" spans="1:6" s="2" customFormat="1" hidden="1" x14ac:dyDescent="0.25">
      <c r="A255" s="25"/>
      <c r="B255" s="24"/>
      <c r="C255" s="52"/>
      <c r="D255" s="55"/>
      <c r="E255" s="28"/>
      <c r="F255" s="48">
        <v>4122</v>
      </c>
    </row>
    <row r="256" spans="1:6" s="2" customFormat="1" hidden="1" x14ac:dyDescent="0.25">
      <c r="A256" s="25"/>
      <c r="B256" s="24"/>
      <c r="C256" s="52"/>
      <c r="D256" s="55"/>
      <c r="E256" s="28"/>
      <c r="F256" s="48">
        <v>4122</v>
      </c>
    </row>
    <row r="257" spans="1:6" s="2" customFormat="1" hidden="1" x14ac:dyDescent="0.25">
      <c r="A257" s="25"/>
      <c r="B257" s="24"/>
      <c r="C257" s="55"/>
      <c r="D257" s="55"/>
      <c r="E257" s="28"/>
      <c r="F257" s="48">
        <v>4122</v>
      </c>
    </row>
    <row r="258" spans="1:6" s="2" customFormat="1" hidden="1" x14ac:dyDescent="0.25">
      <c r="A258" s="25"/>
      <c r="B258" s="24"/>
      <c r="C258" s="55"/>
      <c r="D258" s="55"/>
      <c r="E258" s="28"/>
      <c r="F258" s="48">
        <v>4122</v>
      </c>
    </row>
    <row r="259" spans="1:6" s="2" customFormat="1" hidden="1" x14ac:dyDescent="0.25">
      <c r="A259" s="25"/>
      <c r="B259" s="24"/>
      <c r="C259" s="55"/>
      <c r="D259" s="55"/>
      <c r="E259" s="28"/>
      <c r="F259" s="48">
        <v>4122</v>
      </c>
    </row>
    <row r="260" spans="1:6" s="2" customFormat="1" hidden="1" x14ac:dyDescent="0.25">
      <c r="A260" s="25"/>
      <c r="B260" s="24"/>
      <c r="C260" s="55"/>
      <c r="D260" s="55"/>
      <c r="E260" s="28"/>
      <c r="F260" s="48">
        <v>4122</v>
      </c>
    </row>
    <row r="261" spans="1:6" s="2" customFormat="1" hidden="1" x14ac:dyDescent="0.25">
      <c r="A261" s="25"/>
      <c r="B261" s="24"/>
      <c r="C261" s="55"/>
      <c r="D261" s="55"/>
      <c r="E261" s="28"/>
      <c r="F261" s="48">
        <v>4122</v>
      </c>
    </row>
    <row r="262" spans="1:6" s="2" customFormat="1" hidden="1" x14ac:dyDescent="0.25">
      <c r="A262" s="25"/>
      <c r="B262" s="24"/>
      <c r="C262" s="55"/>
      <c r="D262" s="55"/>
      <c r="E262" s="28"/>
      <c r="F262" s="48">
        <v>4122</v>
      </c>
    </row>
    <row r="263" spans="1:6" s="2" customFormat="1" hidden="1" x14ac:dyDescent="0.25">
      <c r="A263" s="25"/>
      <c r="B263" s="24"/>
      <c r="C263" s="55"/>
      <c r="D263" s="55"/>
      <c r="E263" s="28"/>
      <c r="F263" s="48">
        <v>4122</v>
      </c>
    </row>
    <row r="264" spans="1:6" s="2" customFormat="1" hidden="1" x14ac:dyDescent="0.25">
      <c r="A264" s="25"/>
      <c r="B264" s="24"/>
      <c r="C264" s="55"/>
      <c r="D264" s="55"/>
      <c r="E264" s="28"/>
      <c r="F264" s="48">
        <v>4122</v>
      </c>
    </row>
    <row r="265" spans="1:6" s="2" customFormat="1" hidden="1" x14ac:dyDescent="0.25">
      <c r="A265" s="25"/>
      <c r="B265" s="24"/>
      <c r="C265" s="52"/>
      <c r="D265" s="55"/>
      <c r="E265" s="28"/>
      <c r="F265" s="48">
        <v>4122</v>
      </c>
    </row>
    <row r="266" spans="1:6" s="2" customFormat="1" hidden="1" x14ac:dyDescent="0.25">
      <c r="A266" s="25"/>
      <c r="B266" s="24"/>
      <c r="C266" s="52"/>
      <c r="D266" s="55"/>
      <c r="E266" s="28"/>
      <c r="F266" s="48">
        <v>4122</v>
      </c>
    </row>
    <row r="267" spans="1:6" s="2" customFormat="1" hidden="1" x14ac:dyDescent="0.25">
      <c r="A267" s="25"/>
      <c r="B267" s="24"/>
      <c r="C267" s="52"/>
      <c r="D267" s="55"/>
      <c r="E267" s="28"/>
      <c r="F267" s="48">
        <v>4122</v>
      </c>
    </row>
    <row r="268" spans="1:6" s="2" customFormat="1" hidden="1" x14ac:dyDescent="0.25">
      <c r="A268" s="25"/>
      <c r="B268" s="24"/>
      <c r="C268" s="52"/>
      <c r="D268" s="55"/>
      <c r="E268" s="28"/>
      <c r="F268" s="48">
        <v>4122</v>
      </c>
    </row>
    <row r="269" spans="1:6" s="2" customFormat="1" hidden="1" x14ac:dyDescent="0.25">
      <c r="A269" s="25"/>
      <c r="B269" s="24"/>
      <c r="C269" s="52"/>
      <c r="D269" s="55"/>
      <c r="E269" s="22"/>
      <c r="F269" s="48">
        <v>4122</v>
      </c>
    </row>
    <row r="270" spans="1:6" s="2" customFormat="1" hidden="1" x14ac:dyDescent="0.25">
      <c r="A270" s="25"/>
      <c r="B270" s="24"/>
      <c r="C270" s="52"/>
      <c r="D270" s="55"/>
      <c r="E270" s="22"/>
      <c r="F270" s="48">
        <v>4122</v>
      </c>
    </row>
    <row r="271" spans="1:6" s="2" customFormat="1" hidden="1" x14ac:dyDescent="0.25">
      <c r="A271" s="25"/>
      <c r="B271" s="24"/>
      <c r="C271" s="52"/>
      <c r="D271" s="55"/>
      <c r="E271" s="22"/>
      <c r="F271" s="48">
        <v>4122</v>
      </c>
    </row>
    <row r="272" spans="1:6" s="2" customFormat="1" x14ac:dyDescent="0.25">
      <c r="A272" s="25"/>
      <c r="B272" s="24" t="s">
        <v>69</v>
      </c>
      <c r="C272" s="52">
        <v>674.88547000000005</v>
      </c>
      <c r="D272" s="55">
        <v>674885.47</v>
      </c>
      <c r="E272" s="22">
        <v>33030</v>
      </c>
      <c r="F272" s="48">
        <v>4122</v>
      </c>
    </row>
    <row r="273" spans="1:8" s="2" customFormat="1" x14ac:dyDescent="0.25">
      <c r="A273" s="25"/>
      <c r="B273" s="24"/>
      <c r="C273" s="52"/>
      <c r="D273" s="55"/>
      <c r="E273" s="22"/>
      <c r="F273" s="48">
        <v>4122</v>
      </c>
    </row>
    <row r="274" spans="1:8" s="2" customFormat="1" hidden="1" x14ac:dyDescent="0.25">
      <c r="A274" s="25"/>
      <c r="B274" s="24"/>
      <c r="C274" s="52"/>
      <c r="D274" s="55"/>
      <c r="E274" s="22"/>
      <c r="F274" s="48">
        <v>4122</v>
      </c>
    </row>
    <row r="275" spans="1:8" s="2" customFormat="1" hidden="1" x14ac:dyDescent="0.25">
      <c r="A275" s="25"/>
      <c r="B275" s="24"/>
      <c r="C275" s="52"/>
      <c r="D275" s="55"/>
      <c r="E275" s="22"/>
      <c r="F275" s="48">
        <v>4122</v>
      </c>
    </row>
    <row r="276" spans="1:8" s="2" customFormat="1" hidden="1" x14ac:dyDescent="0.25">
      <c r="A276" s="25"/>
      <c r="B276" s="24"/>
      <c r="C276" s="52"/>
      <c r="D276" s="55"/>
      <c r="E276" s="22"/>
      <c r="F276" s="48">
        <v>4122</v>
      </c>
    </row>
    <row r="277" spans="1:8" s="2" customFormat="1" hidden="1" x14ac:dyDescent="0.25">
      <c r="A277" s="25"/>
      <c r="B277" s="24"/>
      <c r="C277" s="52"/>
      <c r="D277" s="55"/>
      <c r="E277" s="22"/>
      <c r="F277" s="48">
        <v>4122</v>
      </c>
    </row>
    <row r="278" spans="1:8" s="2" customFormat="1" hidden="1" x14ac:dyDescent="0.25">
      <c r="A278" s="25"/>
      <c r="B278" s="24"/>
      <c r="C278" s="52"/>
      <c r="D278" s="55"/>
      <c r="E278" s="22"/>
      <c r="F278" s="48">
        <v>4122</v>
      </c>
      <c r="H278" s="1"/>
    </row>
    <row r="279" spans="1:8" s="2" customFormat="1" hidden="1" x14ac:dyDescent="0.25">
      <c r="A279" s="25"/>
      <c r="B279" s="24"/>
      <c r="C279" s="52"/>
      <c r="D279" s="55"/>
      <c r="E279" s="22"/>
      <c r="F279" s="48">
        <v>4122</v>
      </c>
      <c r="H279" s="1"/>
    </row>
    <row r="280" spans="1:8" s="2" customFormat="1" hidden="1" x14ac:dyDescent="0.25">
      <c r="A280" s="25"/>
      <c r="B280" s="24"/>
      <c r="C280" s="52"/>
      <c r="D280" s="55"/>
      <c r="E280" s="22"/>
      <c r="F280" s="48">
        <v>4122</v>
      </c>
      <c r="H280" s="1"/>
    </row>
    <row r="281" spans="1:8" s="2" customFormat="1" hidden="1" x14ac:dyDescent="0.25">
      <c r="A281" s="25"/>
      <c r="B281" s="24"/>
      <c r="C281" s="52"/>
      <c r="D281" s="55"/>
      <c r="E281" s="22"/>
      <c r="F281" s="48">
        <v>4122</v>
      </c>
      <c r="H281" s="1"/>
    </row>
    <row r="282" spans="1:8" s="2" customFormat="1" hidden="1" x14ac:dyDescent="0.25">
      <c r="A282" s="25"/>
      <c r="B282" s="24"/>
      <c r="C282" s="52"/>
      <c r="D282" s="55"/>
      <c r="E282" s="22"/>
      <c r="F282" s="48">
        <v>4122</v>
      </c>
      <c r="H282" s="1"/>
    </row>
    <row r="283" spans="1:8" s="2" customFormat="1" hidden="1" x14ac:dyDescent="0.25">
      <c r="A283" s="25"/>
      <c r="B283" s="24"/>
      <c r="C283" s="52"/>
      <c r="D283" s="55"/>
      <c r="E283" s="22"/>
      <c r="F283" s="48">
        <v>4122</v>
      </c>
      <c r="H283" s="1"/>
    </row>
    <row r="284" spans="1:8" s="2" customFormat="1" hidden="1" x14ac:dyDescent="0.25">
      <c r="A284" s="25"/>
      <c r="B284" s="24"/>
      <c r="C284" s="52"/>
      <c r="D284" s="55"/>
      <c r="E284" s="22"/>
      <c r="F284" s="48">
        <v>4122</v>
      </c>
      <c r="H284" s="1"/>
    </row>
    <row r="285" spans="1:8" s="2" customFormat="1" hidden="1" x14ac:dyDescent="0.25">
      <c r="A285" s="25"/>
      <c r="B285" s="24"/>
      <c r="C285" s="52"/>
      <c r="D285" s="55"/>
      <c r="E285" s="22"/>
      <c r="F285" s="48">
        <v>4122</v>
      </c>
      <c r="H285" s="1"/>
    </row>
    <row r="286" spans="1:8" s="2" customFormat="1" hidden="1" x14ac:dyDescent="0.25">
      <c r="A286" s="25"/>
      <c r="B286" s="24"/>
      <c r="C286" s="52"/>
      <c r="D286" s="55"/>
      <c r="E286" s="22"/>
      <c r="F286" s="48">
        <v>4122</v>
      </c>
      <c r="H286" s="1"/>
    </row>
    <row r="287" spans="1:8" s="2" customFormat="1" hidden="1" x14ac:dyDescent="0.25">
      <c r="A287" s="25"/>
      <c r="B287" s="24"/>
      <c r="C287" s="52"/>
      <c r="D287" s="55"/>
      <c r="E287" s="22"/>
      <c r="F287" s="48">
        <v>4122</v>
      </c>
      <c r="H287" s="1"/>
    </row>
    <row r="288" spans="1:8" s="2" customFormat="1" hidden="1" x14ac:dyDescent="0.25">
      <c r="A288" s="25"/>
      <c r="B288" s="24"/>
      <c r="C288" s="52"/>
      <c r="D288" s="55"/>
      <c r="E288" s="22"/>
      <c r="F288" s="48">
        <v>4122</v>
      </c>
      <c r="H288" s="1"/>
    </row>
    <row r="289" spans="1:8" s="2" customFormat="1" hidden="1" x14ac:dyDescent="0.25">
      <c r="A289" s="25"/>
      <c r="B289" s="24"/>
      <c r="C289" s="52"/>
      <c r="D289" s="55"/>
      <c r="E289" s="22"/>
      <c r="F289" s="48">
        <v>4122</v>
      </c>
      <c r="H289" s="1"/>
    </row>
    <row r="290" spans="1:8" s="2" customFormat="1" hidden="1" x14ac:dyDescent="0.25">
      <c r="A290" s="25"/>
      <c r="B290" s="24"/>
      <c r="C290" s="52"/>
      <c r="D290" s="55"/>
      <c r="E290" s="22"/>
      <c r="F290" s="48">
        <v>4122</v>
      </c>
      <c r="H290" s="1"/>
    </row>
    <row r="291" spans="1:8" s="2" customFormat="1" hidden="1" x14ac:dyDescent="0.25">
      <c r="A291" s="25"/>
      <c r="B291" s="24"/>
      <c r="C291" s="52"/>
      <c r="D291" s="55"/>
      <c r="E291" s="22"/>
      <c r="F291" s="48">
        <v>4122</v>
      </c>
      <c r="H291" s="1"/>
    </row>
    <row r="292" spans="1:8" s="2" customFormat="1" hidden="1" x14ac:dyDescent="0.25">
      <c r="A292" s="25"/>
      <c r="B292" s="24"/>
      <c r="C292" s="52"/>
      <c r="D292" s="55"/>
      <c r="E292" s="22"/>
      <c r="F292" s="48">
        <v>4122</v>
      </c>
      <c r="H292" s="1"/>
    </row>
    <row r="293" spans="1:8" s="2" customFormat="1" hidden="1" x14ac:dyDescent="0.25">
      <c r="A293" s="25"/>
      <c r="B293" s="24"/>
      <c r="C293" s="52"/>
      <c r="D293" s="55"/>
      <c r="E293" s="22"/>
      <c r="F293" s="48">
        <v>4122</v>
      </c>
      <c r="H293" s="1"/>
    </row>
    <row r="294" spans="1:8" s="2" customFormat="1" hidden="1" x14ac:dyDescent="0.25">
      <c r="A294" s="25"/>
      <c r="B294" s="24"/>
      <c r="C294" s="52"/>
      <c r="D294" s="55"/>
      <c r="E294" s="22"/>
      <c r="F294" s="48">
        <v>4122</v>
      </c>
      <c r="H294" s="1"/>
    </row>
    <row r="295" spans="1:8" s="2" customFormat="1" hidden="1" x14ac:dyDescent="0.25">
      <c r="A295" s="25"/>
      <c r="B295" s="24"/>
      <c r="C295" s="52"/>
      <c r="D295" s="55"/>
      <c r="E295" s="22"/>
      <c r="F295" s="48">
        <v>4122</v>
      </c>
      <c r="H295" s="1"/>
    </row>
    <row r="296" spans="1:8" s="2" customFormat="1" hidden="1" x14ac:dyDescent="0.25">
      <c r="A296" s="25"/>
      <c r="B296" s="24"/>
      <c r="C296" s="52"/>
      <c r="D296" s="55"/>
      <c r="E296" s="22"/>
      <c r="F296" s="48">
        <v>4122</v>
      </c>
      <c r="H296" s="1"/>
    </row>
    <row r="297" spans="1:8" s="2" customFormat="1" hidden="1" x14ac:dyDescent="0.25">
      <c r="A297" s="25"/>
      <c r="B297" s="24"/>
      <c r="C297" s="52"/>
      <c r="D297" s="55"/>
      <c r="E297" s="22"/>
      <c r="F297" s="48">
        <v>4122</v>
      </c>
      <c r="H297" s="1"/>
    </row>
    <row r="298" spans="1:8" s="2" customFormat="1" hidden="1" x14ac:dyDescent="0.25">
      <c r="A298" s="25"/>
      <c r="B298" s="24"/>
      <c r="C298" s="52"/>
      <c r="D298" s="55"/>
      <c r="E298" s="22"/>
      <c r="F298" s="48">
        <v>4122</v>
      </c>
      <c r="H298" s="1"/>
    </row>
    <row r="299" spans="1:8" s="2" customFormat="1" hidden="1" x14ac:dyDescent="0.25">
      <c r="A299" s="25"/>
      <c r="B299" s="24"/>
      <c r="C299" s="52"/>
      <c r="D299" s="55"/>
      <c r="E299" s="22"/>
      <c r="F299" s="48">
        <v>4122</v>
      </c>
      <c r="H299" s="1"/>
    </row>
    <row r="300" spans="1:8" s="2" customFormat="1" hidden="1" x14ac:dyDescent="0.25">
      <c r="A300" s="25"/>
      <c r="B300" s="24"/>
      <c r="C300" s="52"/>
      <c r="D300" s="55"/>
      <c r="E300" s="22"/>
      <c r="F300" s="48">
        <v>4122</v>
      </c>
      <c r="H300" s="1"/>
    </row>
    <row r="301" spans="1:8" s="2" customFormat="1" hidden="1" x14ac:dyDescent="0.25">
      <c r="A301" s="25"/>
      <c r="B301" s="24"/>
      <c r="C301" s="52"/>
      <c r="D301" s="55"/>
      <c r="E301" s="22"/>
      <c r="F301" s="48">
        <v>4122</v>
      </c>
      <c r="H301" s="1"/>
    </row>
    <row r="302" spans="1:8" s="2" customFormat="1" hidden="1" x14ac:dyDescent="0.25">
      <c r="A302" s="25"/>
      <c r="B302" s="24"/>
      <c r="C302" s="52"/>
      <c r="D302" s="55"/>
      <c r="E302" s="22"/>
      <c r="F302" s="48">
        <v>4122</v>
      </c>
      <c r="H302" s="1"/>
    </row>
    <row r="303" spans="1:8" s="2" customFormat="1" hidden="1" x14ac:dyDescent="0.25">
      <c r="A303" s="25"/>
      <c r="B303" s="24"/>
      <c r="C303" s="52"/>
      <c r="D303" s="55"/>
      <c r="E303" s="22"/>
      <c r="F303" s="48">
        <v>4122</v>
      </c>
      <c r="H303" s="1"/>
    </row>
    <row r="304" spans="1:8" s="2" customFormat="1" hidden="1" x14ac:dyDescent="0.25">
      <c r="A304" s="25"/>
      <c r="B304" s="24"/>
      <c r="C304" s="52"/>
      <c r="D304" s="55"/>
      <c r="E304" s="22"/>
      <c r="F304" s="48">
        <v>4122</v>
      </c>
      <c r="H304" s="1"/>
    </row>
    <row r="305" spans="1:8" s="2" customFormat="1" hidden="1" x14ac:dyDescent="0.25">
      <c r="A305" s="25"/>
      <c r="B305" s="24"/>
      <c r="C305" s="52"/>
      <c r="D305" s="55"/>
      <c r="E305" s="22"/>
      <c r="F305" s="48">
        <v>4122</v>
      </c>
      <c r="H305" s="1"/>
    </row>
    <row r="306" spans="1:8" s="2" customFormat="1" hidden="1" x14ac:dyDescent="0.25">
      <c r="A306" s="25"/>
      <c r="B306" s="24"/>
      <c r="C306" s="55"/>
      <c r="D306" s="55"/>
      <c r="E306" s="28"/>
      <c r="F306" s="48">
        <v>4122</v>
      </c>
      <c r="H306" s="1"/>
    </row>
    <row r="307" spans="1:8" s="2" customFormat="1" hidden="1" x14ac:dyDescent="0.25">
      <c r="A307" s="25"/>
      <c r="B307" s="24"/>
      <c r="C307" s="55"/>
      <c r="D307" s="55"/>
      <c r="E307" s="28"/>
      <c r="F307" s="48">
        <v>4122</v>
      </c>
      <c r="H307" s="1"/>
    </row>
    <row r="308" spans="1:8" s="2" customFormat="1" hidden="1" x14ac:dyDescent="0.25">
      <c r="A308" s="25"/>
      <c r="B308" s="24"/>
      <c r="C308" s="55"/>
      <c r="D308" s="55"/>
      <c r="E308" s="28"/>
      <c r="F308" s="48">
        <v>4122</v>
      </c>
      <c r="H308" s="1"/>
    </row>
    <row r="309" spans="1:8" s="2" customFormat="1" hidden="1" x14ac:dyDescent="0.25">
      <c r="A309" s="25"/>
      <c r="B309" s="24"/>
      <c r="C309" s="55"/>
      <c r="D309" s="55"/>
      <c r="E309" s="28"/>
      <c r="F309" s="48">
        <v>4122</v>
      </c>
      <c r="H309" s="1"/>
    </row>
    <row r="310" spans="1:8" s="2" customFormat="1" hidden="1" x14ac:dyDescent="0.25">
      <c r="A310" s="25"/>
      <c r="B310" s="24"/>
      <c r="C310" s="55"/>
      <c r="D310" s="55"/>
      <c r="E310" s="28"/>
      <c r="F310" s="48">
        <v>4122</v>
      </c>
      <c r="H310" s="1"/>
    </row>
    <row r="311" spans="1:8" s="2" customFormat="1" hidden="1" x14ac:dyDescent="0.25">
      <c r="A311" s="25"/>
      <c r="B311" s="24"/>
      <c r="C311" s="55"/>
      <c r="D311" s="55"/>
      <c r="E311" s="28"/>
      <c r="F311" s="48">
        <v>4122</v>
      </c>
      <c r="H311" s="1"/>
    </row>
    <row r="312" spans="1:8" s="2" customFormat="1" hidden="1" x14ac:dyDescent="0.25">
      <c r="A312" s="25"/>
      <c r="B312" s="24"/>
      <c r="C312" s="55"/>
      <c r="D312" s="55"/>
      <c r="E312" s="28"/>
      <c r="F312" s="48">
        <v>4122</v>
      </c>
      <c r="H312" s="1"/>
    </row>
    <row r="313" spans="1:8" s="2" customFormat="1" hidden="1" x14ac:dyDescent="0.25">
      <c r="A313" s="25"/>
      <c r="B313" s="24"/>
      <c r="C313" s="55"/>
      <c r="D313" s="55"/>
      <c r="E313" s="28"/>
      <c r="F313" s="48">
        <v>4122</v>
      </c>
      <c r="H313" s="1"/>
    </row>
    <row r="314" spans="1:8" s="2" customFormat="1" hidden="1" x14ac:dyDescent="0.25">
      <c r="A314" s="25"/>
      <c r="B314" s="24"/>
      <c r="C314" s="55"/>
      <c r="D314" s="55"/>
      <c r="E314" s="28"/>
      <c r="F314" s="48">
        <v>4122</v>
      </c>
      <c r="H314" s="1"/>
    </row>
    <row r="315" spans="1:8" s="2" customFormat="1" hidden="1" x14ac:dyDescent="0.25">
      <c r="A315" s="25"/>
      <c r="B315" s="24"/>
      <c r="C315" s="55"/>
      <c r="D315" s="55"/>
      <c r="E315" s="28"/>
      <c r="F315" s="48">
        <v>4122</v>
      </c>
      <c r="H315" s="1"/>
    </row>
    <row r="316" spans="1:8" s="2" customFormat="1" hidden="1" x14ac:dyDescent="0.25">
      <c r="A316" s="25"/>
      <c r="B316" s="24"/>
      <c r="C316" s="55"/>
      <c r="D316" s="55"/>
      <c r="E316" s="28"/>
      <c r="F316" s="48">
        <v>4122</v>
      </c>
      <c r="H316" s="1"/>
    </row>
    <row r="317" spans="1:8" s="2" customFormat="1" hidden="1" x14ac:dyDescent="0.25">
      <c r="A317" s="25"/>
      <c r="B317" s="24"/>
      <c r="C317" s="55"/>
      <c r="D317" s="55"/>
      <c r="E317" s="28"/>
      <c r="F317" s="48">
        <v>4122</v>
      </c>
      <c r="H317" s="1"/>
    </row>
    <row r="318" spans="1:8" s="2" customFormat="1" hidden="1" x14ac:dyDescent="0.25">
      <c r="A318" s="25"/>
      <c r="B318" s="24"/>
      <c r="C318" s="55"/>
      <c r="D318" s="55"/>
      <c r="E318" s="28"/>
      <c r="F318" s="48">
        <v>4122</v>
      </c>
    </row>
    <row r="319" spans="1:8" s="2" customFormat="1" hidden="1" x14ac:dyDescent="0.25">
      <c r="A319" s="25"/>
      <c r="B319" s="24"/>
      <c r="C319" s="55"/>
      <c r="D319" s="55"/>
      <c r="E319" s="28"/>
      <c r="F319" s="48">
        <v>4122</v>
      </c>
    </row>
    <row r="320" spans="1:8" s="2" customFormat="1" hidden="1" x14ac:dyDescent="0.25">
      <c r="A320" s="25"/>
      <c r="B320" s="24"/>
      <c r="C320" s="55"/>
      <c r="D320" s="55"/>
      <c r="E320" s="28"/>
      <c r="F320" s="48">
        <v>4122</v>
      </c>
    </row>
    <row r="321" spans="1:8" s="2" customFormat="1" hidden="1" x14ac:dyDescent="0.25">
      <c r="A321" s="25"/>
      <c r="B321" s="24"/>
      <c r="C321" s="55"/>
      <c r="D321" s="55"/>
      <c r="E321" s="28"/>
      <c r="F321" s="29"/>
    </row>
    <row r="322" spans="1:8" s="2" customFormat="1" hidden="1" x14ac:dyDescent="0.25">
      <c r="A322" s="25"/>
      <c r="B322" s="30" t="s">
        <v>50</v>
      </c>
      <c r="C322" s="26">
        <f>SUM(C323:C327)</f>
        <v>0</v>
      </c>
      <c r="D322" s="27">
        <f>+SUM(D323:D327)</f>
        <v>0</v>
      </c>
      <c r="E322" s="28"/>
      <c r="F322" s="29"/>
    </row>
    <row r="323" spans="1:8" s="2" customFormat="1" hidden="1" x14ac:dyDescent="0.25">
      <c r="A323" s="12"/>
      <c r="B323" s="24"/>
      <c r="C323" s="52"/>
      <c r="D323" s="55"/>
      <c r="E323" s="22"/>
      <c r="F323" s="48">
        <v>4123</v>
      </c>
    </row>
    <row r="324" spans="1:8" s="2" customFormat="1" hidden="1" x14ac:dyDescent="0.25">
      <c r="A324" s="49"/>
      <c r="B324" s="24"/>
      <c r="C324" s="52"/>
      <c r="D324" s="55"/>
      <c r="E324" s="62"/>
      <c r="F324" s="48">
        <v>4123</v>
      </c>
    </row>
    <row r="325" spans="1:8" s="2" customFormat="1" hidden="1" x14ac:dyDescent="0.25">
      <c r="A325" s="49"/>
      <c r="B325" s="24"/>
      <c r="C325" s="52"/>
      <c r="D325" s="55"/>
      <c r="E325" s="62"/>
      <c r="F325" s="48">
        <v>4123</v>
      </c>
    </row>
    <row r="326" spans="1:8" s="2" customFormat="1" hidden="1" x14ac:dyDescent="0.25">
      <c r="A326" s="49"/>
      <c r="B326" s="24"/>
      <c r="C326" s="52"/>
      <c r="D326" s="55"/>
      <c r="E326" s="62"/>
      <c r="F326" s="48">
        <v>4123</v>
      </c>
    </row>
    <row r="327" spans="1:8" hidden="1" x14ac:dyDescent="0.25">
      <c r="A327" s="50"/>
      <c r="B327" s="64"/>
      <c r="C327" s="65"/>
      <c r="D327" s="56"/>
      <c r="E327" s="60"/>
      <c r="F327" s="48"/>
      <c r="G327" s="2"/>
      <c r="H327" s="2"/>
    </row>
    <row r="328" spans="1:8" s="2" customFormat="1" hidden="1" x14ac:dyDescent="0.25">
      <c r="A328" s="25"/>
      <c r="B328" s="66" t="s">
        <v>51</v>
      </c>
      <c r="C328" s="30">
        <f>+C329</f>
        <v>0</v>
      </c>
      <c r="D328" s="31">
        <f>+D329</f>
        <v>0</v>
      </c>
      <c r="E328" s="28"/>
      <c r="F328" s="29"/>
    </row>
    <row r="329" spans="1:8" s="45" customFormat="1" hidden="1" x14ac:dyDescent="0.25">
      <c r="A329" s="43"/>
      <c r="B329" s="44"/>
      <c r="C329" s="47"/>
      <c r="D329" s="47"/>
      <c r="E329" s="67"/>
      <c r="F329" s="68">
        <v>4151</v>
      </c>
      <c r="G329" s="2"/>
      <c r="H329" s="2"/>
    </row>
    <row r="330" spans="1:8" s="2" customFormat="1" hidden="1" x14ac:dyDescent="0.25">
      <c r="A330" s="25"/>
      <c r="B330" s="23"/>
      <c r="C330" s="46"/>
      <c r="D330" s="47"/>
      <c r="E330" s="28"/>
      <c r="F330" s="48"/>
    </row>
    <row r="331" spans="1:8" s="2" customFormat="1" x14ac:dyDescent="0.25">
      <c r="A331" s="25"/>
      <c r="B331" s="69" t="s">
        <v>52</v>
      </c>
      <c r="C331" s="30">
        <f>+SUM(C332:C335)</f>
        <v>0</v>
      </c>
      <c r="D331" s="31">
        <f>+SUM(D332:D335)</f>
        <v>581714.24</v>
      </c>
      <c r="E331" s="28"/>
      <c r="F331" s="48"/>
    </row>
    <row r="332" spans="1:8" s="45" customFormat="1" x14ac:dyDescent="0.25">
      <c r="A332" s="43">
        <v>42075</v>
      </c>
      <c r="B332" s="24" t="s">
        <v>124</v>
      </c>
      <c r="C332" s="53">
        <v>0</v>
      </c>
      <c r="D332" s="55">
        <v>581714.24</v>
      </c>
      <c r="E332" s="67"/>
      <c r="F332" s="68">
        <v>4152</v>
      </c>
      <c r="G332" s="2"/>
      <c r="H332" s="2"/>
    </row>
    <row r="333" spans="1:8" s="45" customFormat="1" hidden="1" x14ac:dyDescent="0.25">
      <c r="A333" s="43"/>
      <c r="B333" s="24"/>
      <c r="C333" s="53"/>
      <c r="D333" s="55"/>
      <c r="E333" s="67"/>
      <c r="F333" s="68">
        <v>4152</v>
      </c>
      <c r="G333" s="2"/>
      <c r="H333" s="2"/>
    </row>
    <row r="334" spans="1:8" s="45" customFormat="1" hidden="1" x14ac:dyDescent="0.25">
      <c r="A334" s="43"/>
      <c r="B334" s="24"/>
      <c r="C334" s="53"/>
      <c r="D334" s="55"/>
      <c r="E334" s="67"/>
      <c r="F334" s="68">
        <v>4152</v>
      </c>
      <c r="G334" s="2"/>
      <c r="H334" s="2"/>
    </row>
    <row r="335" spans="1:8" s="45" customFormat="1" hidden="1" x14ac:dyDescent="0.25">
      <c r="A335" s="43"/>
      <c r="B335" s="24"/>
      <c r="C335" s="53"/>
      <c r="D335" s="55"/>
      <c r="E335" s="67"/>
      <c r="F335" s="68">
        <v>4152</v>
      </c>
      <c r="G335" s="2"/>
      <c r="H335" s="2"/>
    </row>
    <row r="336" spans="1:8" x14ac:dyDescent="0.25">
      <c r="A336" s="50"/>
      <c r="B336" s="24"/>
      <c r="C336" s="59"/>
      <c r="D336" s="55"/>
      <c r="E336" s="60"/>
      <c r="F336" s="63"/>
      <c r="G336" s="2"/>
      <c r="H336" s="2"/>
    </row>
    <row r="337" spans="1:6" s="2" customFormat="1" x14ac:dyDescent="0.25">
      <c r="A337" s="25"/>
      <c r="B337" s="70" t="s">
        <v>53</v>
      </c>
      <c r="C337" s="26">
        <f>+C331+C209+C138+C135+C114+C101+C36+C12+C7+C119+C328+C322+C205+C59+C153+C178+C18+C170+C32+C64</f>
        <v>21548.233430000004</v>
      </c>
      <c r="D337" s="26">
        <f>+D331+D209+D138+D135+D114+D101+D36+D12+D7+D119+D328+D322+D205+D59+D153+D178+D18+D170+D32+D64</f>
        <v>15712291.67</v>
      </c>
      <c r="E337" s="71"/>
      <c r="F337" s="22"/>
    </row>
    <row r="338" spans="1:6" s="2" customFormat="1" ht="16.5" thickBot="1" x14ac:dyDescent="0.3">
      <c r="A338" s="72"/>
      <c r="B338" s="73"/>
      <c r="C338" s="74"/>
      <c r="D338" s="75"/>
      <c r="E338" s="76"/>
      <c r="F338" s="77"/>
    </row>
    <row r="339" spans="1:6" s="2" customFormat="1" x14ac:dyDescent="0.25">
      <c r="A339" s="78"/>
      <c r="B339" s="7"/>
      <c r="C339" s="7"/>
      <c r="D339" s="79"/>
      <c r="E339" s="80"/>
      <c r="F339" s="80"/>
    </row>
    <row r="340" spans="1:6" s="2" customFormat="1" ht="16.5" thickBot="1" x14ac:dyDescent="0.3">
      <c r="A340" s="78"/>
      <c r="B340" s="7"/>
      <c r="C340" s="7"/>
      <c r="D340" s="79"/>
      <c r="E340" s="80"/>
      <c r="F340" s="80"/>
    </row>
    <row r="341" spans="1:6" s="2" customFormat="1" x14ac:dyDescent="0.25">
      <c r="A341" s="3"/>
      <c r="B341" s="4"/>
      <c r="C341" s="4"/>
      <c r="D341" s="5"/>
      <c r="E341" s="81"/>
      <c r="F341" s="81"/>
    </row>
    <row r="342" spans="1:6" s="2" customFormat="1" ht="16.5" thickBot="1" x14ac:dyDescent="0.3">
      <c r="A342" s="8" t="s">
        <v>1</v>
      </c>
      <c r="B342" s="9" t="s">
        <v>54</v>
      </c>
      <c r="C342" s="9" t="s">
        <v>3</v>
      </c>
      <c r="D342" s="10" t="s">
        <v>4</v>
      </c>
      <c r="E342" s="82" t="s">
        <v>5</v>
      </c>
      <c r="F342" s="82" t="s">
        <v>6</v>
      </c>
    </row>
    <row r="343" spans="1:6" s="2" customFormat="1" x14ac:dyDescent="0.25">
      <c r="A343" s="25"/>
      <c r="B343" s="13" t="s">
        <v>14</v>
      </c>
      <c r="C343" s="39">
        <f>+SUM(C344:C376)</f>
        <v>533.58971999999994</v>
      </c>
      <c r="D343" s="40">
        <f>+SUM(D344:D376)</f>
        <v>534564.72</v>
      </c>
      <c r="E343" s="48"/>
      <c r="F343" s="48"/>
    </row>
    <row r="344" spans="1:6" s="2" customFormat="1" x14ac:dyDescent="0.25">
      <c r="A344" s="25">
        <v>42069</v>
      </c>
      <c r="B344" s="44" t="s">
        <v>114</v>
      </c>
      <c r="C344" s="53">
        <v>141.55572000000001</v>
      </c>
      <c r="D344" s="20">
        <v>141555.72</v>
      </c>
      <c r="E344" s="48">
        <v>90877</v>
      </c>
      <c r="F344" s="48">
        <v>4213</v>
      </c>
    </row>
    <row r="345" spans="1:6" s="2" customFormat="1" hidden="1" x14ac:dyDescent="0.25">
      <c r="A345" s="25"/>
      <c r="B345" s="44"/>
      <c r="C345" s="53"/>
      <c r="D345" s="21"/>
      <c r="E345" s="48"/>
      <c r="F345" s="48">
        <v>4213</v>
      </c>
    </row>
    <row r="346" spans="1:6" s="2" customFormat="1" hidden="1" x14ac:dyDescent="0.25">
      <c r="A346" s="25"/>
      <c r="B346" s="44"/>
      <c r="C346" s="53"/>
      <c r="D346" s="21"/>
      <c r="E346" s="48"/>
      <c r="F346" s="48">
        <v>4213</v>
      </c>
    </row>
    <row r="347" spans="1:6" s="2" customFormat="1" hidden="1" x14ac:dyDescent="0.25">
      <c r="A347" s="25"/>
      <c r="B347" s="44"/>
      <c r="C347" s="53"/>
      <c r="D347" s="21"/>
      <c r="E347" s="48"/>
      <c r="F347" s="48">
        <v>4213</v>
      </c>
    </row>
    <row r="348" spans="1:6" s="2" customFormat="1" hidden="1" x14ac:dyDescent="0.25">
      <c r="A348" s="25"/>
      <c r="B348" s="44"/>
      <c r="C348" s="53"/>
      <c r="D348" s="21"/>
      <c r="E348" s="48"/>
      <c r="F348" s="48">
        <v>4213</v>
      </c>
    </row>
    <row r="349" spans="1:6" s="2" customFormat="1" hidden="1" x14ac:dyDescent="0.25">
      <c r="A349" s="25"/>
      <c r="B349" s="44"/>
      <c r="C349" s="53"/>
      <c r="D349" s="20"/>
      <c r="E349" s="48"/>
      <c r="F349" s="48">
        <v>4213</v>
      </c>
    </row>
    <row r="350" spans="1:6" s="2" customFormat="1" hidden="1" x14ac:dyDescent="0.25">
      <c r="A350" s="25"/>
      <c r="B350" s="44"/>
      <c r="C350" s="53"/>
      <c r="D350" s="20"/>
      <c r="E350" s="48"/>
      <c r="F350" s="48">
        <v>4213</v>
      </c>
    </row>
    <row r="351" spans="1:6" s="2" customFormat="1" hidden="1" x14ac:dyDescent="0.25">
      <c r="A351" s="25"/>
      <c r="B351" s="44"/>
      <c r="C351" s="53"/>
      <c r="D351" s="20"/>
      <c r="E351" s="48"/>
      <c r="F351" s="48">
        <v>4213</v>
      </c>
    </row>
    <row r="352" spans="1:6" s="2" customFormat="1" hidden="1" x14ac:dyDescent="0.25">
      <c r="A352" s="25"/>
      <c r="B352" s="44"/>
      <c r="C352" s="53"/>
      <c r="D352" s="20"/>
      <c r="E352" s="48"/>
      <c r="F352" s="48">
        <v>4213</v>
      </c>
    </row>
    <row r="353" spans="1:6" s="2" customFormat="1" hidden="1" x14ac:dyDescent="0.25">
      <c r="A353" s="25"/>
      <c r="B353" s="44"/>
      <c r="C353" s="53"/>
      <c r="D353" s="20"/>
      <c r="E353" s="48"/>
      <c r="F353" s="48">
        <v>4213</v>
      </c>
    </row>
    <row r="354" spans="1:6" s="2" customFormat="1" hidden="1" x14ac:dyDescent="0.25">
      <c r="A354" s="25"/>
      <c r="B354" s="44"/>
      <c r="C354" s="53"/>
      <c r="D354" s="20"/>
      <c r="E354" s="48"/>
      <c r="F354" s="48">
        <v>4213</v>
      </c>
    </row>
    <row r="355" spans="1:6" s="2" customFormat="1" hidden="1" x14ac:dyDescent="0.25">
      <c r="A355" s="25"/>
      <c r="B355" s="44"/>
      <c r="C355" s="53"/>
      <c r="D355" s="20"/>
      <c r="E355" s="48"/>
      <c r="F355" s="48">
        <v>4213</v>
      </c>
    </row>
    <row r="356" spans="1:6" s="2" customFormat="1" hidden="1" x14ac:dyDescent="0.25">
      <c r="A356" s="25"/>
      <c r="B356" s="44"/>
      <c r="C356" s="53"/>
      <c r="D356" s="20"/>
      <c r="E356" s="48"/>
      <c r="F356" s="48">
        <v>4213</v>
      </c>
    </row>
    <row r="357" spans="1:6" s="2" customFormat="1" hidden="1" x14ac:dyDescent="0.25">
      <c r="A357" s="25"/>
      <c r="B357" s="44"/>
      <c r="C357" s="53"/>
      <c r="D357" s="20"/>
      <c r="E357" s="48"/>
      <c r="F357" s="48">
        <v>4213</v>
      </c>
    </row>
    <row r="358" spans="1:6" s="2" customFormat="1" hidden="1" x14ac:dyDescent="0.25">
      <c r="A358" s="25"/>
      <c r="B358" s="44"/>
      <c r="C358" s="53"/>
      <c r="D358" s="20"/>
      <c r="E358" s="48"/>
      <c r="F358" s="48">
        <v>4213</v>
      </c>
    </row>
    <row r="359" spans="1:6" s="2" customFormat="1" hidden="1" x14ac:dyDescent="0.25">
      <c r="A359" s="25"/>
      <c r="B359" s="44"/>
      <c r="C359" s="53"/>
      <c r="D359" s="20"/>
      <c r="E359" s="48"/>
      <c r="F359" s="48">
        <v>4213</v>
      </c>
    </row>
    <row r="360" spans="1:6" s="2" customFormat="1" hidden="1" x14ac:dyDescent="0.25">
      <c r="A360" s="25"/>
      <c r="B360" s="44"/>
      <c r="C360" s="53"/>
      <c r="D360" s="20"/>
      <c r="E360" s="48"/>
      <c r="F360" s="48">
        <v>4213</v>
      </c>
    </row>
    <row r="361" spans="1:6" s="2" customFormat="1" hidden="1" x14ac:dyDescent="0.25">
      <c r="A361" s="25"/>
      <c r="B361" s="44"/>
      <c r="C361" s="53"/>
      <c r="D361" s="20"/>
      <c r="E361" s="48"/>
      <c r="F361" s="48">
        <v>4213</v>
      </c>
    </row>
    <row r="362" spans="1:6" s="2" customFormat="1" hidden="1" x14ac:dyDescent="0.25">
      <c r="A362" s="25"/>
      <c r="B362" s="44"/>
      <c r="C362" s="20"/>
      <c r="D362" s="21"/>
      <c r="E362" s="48"/>
      <c r="F362" s="48">
        <v>4213</v>
      </c>
    </row>
    <row r="363" spans="1:6" s="2" customFormat="1" hidden="1" x14ac:dyDescent="0.25">
      <c r="A363" s="25"/>
      <c r="B363" s="24"/>
      <c r="C363" s="20"/>
      <c r="D363" s="21"/>
      <c r="E363" s="48"/>
      <c r="F363" s="48">
        <v>4213</v>
      </c>
    </row>
    <row r="364" spans="1:6" s="2" customFormat="1" hidden="1" x14ac:dyDescent="0.25">
      <c r="A364" s="25"/>
      <c r="B364" s="44"/>
      <c r="C364" s="20"/>
      <c r="D364" s="21"/>
      <c r="E364" s="48"/>
      <c r="F364" s="48">
        <v>4213</v>
      </c>
    </row>
    <row r="365" spans="1:6" s="2" customFormat="1" hidden="1" x14ac:dyDescent="0.25">
      <c r="A365" s="25"/>
      <c r="B365" s="44"/>
      <c r="C365" s="20"/>
      <c r="D365" s="21"/>
      <c r="E365" s="48"/>
      <c r="F365" s="48">
        <v>4213</v>
      </c>
    </row>
    <row r="366" spans="1:6" s="2" customFormat="1" hidden="1" x14ac:dyDescent="0.25">
      <c r="A366" s="25"/>
      <c r="B366" s="44"/>
      <c r="C366" s="20"/>
      <c r="D366" s="21"/>
      <c r="E366" s="48"/>
      <c r="F366" s="48">
        <v>4213</v>
      </c>
    </row>
    <row r="367" spans="1:6" s="2" customFormat="1" hidden="1" x14ac:dyDescent="0.25">
      <c r="A367" s="25"/>
      <c r="B367" s="44"/>
      <c r="C367" s="20"/>
      <c r="D367" s="21"/>
      <c r="E367" s="48"/>
      <c r="F367" s="48">
        <v>4213</v>
      </c>
    </row>
    <row r="368" spans="1:6" s="2" customFormat="1" hidden="1" x14ac:dyDescent="0.25">
      <c r="A368" s="25"/>
      <c r="B368" s="44"/>
      <c r="C368" s="20"/>
      <c r="D368" s="21"/>
      <c r="E368" s="48"/>
      <c r="F368" s="48">
        <v>4213</v>
      </c>
    </row>
    <row r="369" spans="1:7" s="2" customFormat="1" hidden="1" x14ac:dyDescent="0.25">
      <c r="A369" s="25"/>
      <c r="B369" s="44"/>
      <c r="C369" s="20"/>
      <c r="D369" s="21"/>
      <c r="E369" s="48"/>
      <c r="F369" s="48">
        <v>4213</v>
      </c>
    </row>
    <row r="370" spans="1:7" s="2" customFormat="1" hidden="1" x14ac:dyDescent="0.25">
      <c r="A370" s="25"/>
      <c r="B370" s="44"/>
      <c r="C370" s="20"/>
      <c r="D370" s="21"/>
      <c r="E370" s="48"/>
      <c r="F370" s="48">
        <v>4213</v>
      </c>
    </row>
    <row r="371" spans="1:7" s="2" customFormat="1" x14ac:dyDescent="0.25">
      <c r="A371" s="25"/>
      <c r="B371" s="44" t="s">
        <v>121</v>
      </c>
      <c r="C371" s="20">
        <v>0</v>
      </c>
      <c r="D371" s="21">
        <v>975</v>
      </c>
      <c r="E371" s="48">
        <v>90877</v>
      </c>
      <c r="F371" s="48">
        <v>4213</v>
      </c>
      <c r="G371" s="2" t="s">
        <v>132</v>
      </c>
    </row>
    <row r="372" spans="1:7" s="2" customFormat="1" x14ac:dyDescent="0.25">
      <c r="A372" s="25"/>
      <c r="B372" s="44" t="s">
        <v>110</v>
      </c>
      <c r="C372" s="20">
        <v>392.03399999999999</v>
      </c>
      <c r="D372" s="21">
        <v>392034</v>
      </c>
      <c r="E372" s="48">
        <v>90909</v>
      </c>
      <c r="F372" s="48">
        <v>4213</v>
      </c>
    </row>
    <row r="373" spans="1:7" s="2" customFormat="1" hidden="1" x14ac:dyDescent="0.25">
      <c r="A373" s="25"/>
      <c r="B373" s="44"/>
      <c r="C373" s="20"/>
      <c r="D373" s="21"/>
      <c r="E373" s="48"/>
      <c r="F373" s="48">
        <v>4213</v>
      </c>
    </row>
    <row r="374" spans="1:7" s="2" customFormat="1" hidden="1" x14ac:dyDescent="0.25">
      <c r="A374" s="25"/>
      <c r="B374" s="44"/>
      <c r="C374" s="20"/>
      <c r="D374" s="21"/>
      <c r="E374" s="48"/>
      <c r="F374" s="48">
        <v>4213</v>
      </c>
    </row>
    <row r="375" spans="1:7" s="2" customFormat="1" hidden="1" x14ac:dyDescent="0.25">
      <c r="A375" s="25"/>
      <c r="B375" s="44"/>
      <c r="C375" s="20"/>
      <c r="D375" s="21"/>
      <c r="E375" s="48"/>
      <c r="F375" s="48">
        <v>4213</v>
      </c>
    </row>
    <row r="376" spans="1:7" s="2" customFormat="1" hidden="1" x14ac:dyDescent="0.25">
      <c r="A376" s="25"/>
      <c r="B376" s="44"/>
      <c r="C376" s="20"/>
      <c r="D376" s="40"/>
      <c r="E376" s="48"/>
      <c r="F376" s="48"/>
    </row>
    <row r="377" spans="1:7" s="2" customFormat="1" x14ac:dyDescent="0.25">
      <c r="A377" s="25"/>
      <c r="B377" s="23"/>
      <c r="C377" s="20"/>
      <c r="D377" s="40"/>
      <c r="E377" s="48"/>
      <c r="F377" s="48"/>
    </row>
    <row r="378" spans="1:7" s="2" customFormat="1" x14ac:dyDescent="0.25">
      <c r="A378" s="25"/>
      <c r="B378" s="13" t="s">
        <v>45</v>
      </c>
      <c r="C378" s="39">
        <f>+SUM(C379:C430)</f>
        <v>0</v>
      </c>
      <c r="D378" s="40">
        <f>+SUM(D379:D430)</f>
        <v>16575</v>
      </c>
      <c r="E378" s="48"/>
      <c r="F378" s="48"/>
    </row>
    <row r="379" spans="1:7" s="2" customFormat="1" hidden="1" x14ac:dyDescent="0.25">
      <c r="A379" s="25"/>
      <c r="B379" s="44"/>
      <c r="C379" s="53"/>
      <c r="D379" s="21"/>
      <c r="E379" s="48"/>
      <c r="F379" s="48">
        <v>4216</v>
      </c>
    </row>
    <row r="380" spans="1:7" s="2" customFormat="1" hidden="1" x14ac:dyDescent="0.25">
      <c r="A380" s="25"/>
      <c r="B380" s="44"/>
      <c r="C380" s="53"/>
      <c r="D380" s="21"/>
      <c r="E380" s="48"/>
      <c r="F380" s="48">
        <v>4216</v>
      </c>
    </row>
    <row r="381" spans="1:7" s="2" customFormat="1" hidden="1" x14ac:dyDescent="0.25">
      <c r="A381" s="25"/>
      <c r="B381" s="44"/>
      <c r="C381" s="53"/>
      <c r="D381" s="21"/>
      <c r="E381" s="48"/>
      <c r="F381" s="48">
        <v>4216</v>
      </c>
    </row>
    <row r="382" spans="1:7" s="2" customFormat="1" hidden="1" x14ac:dyDescent="0.25">
      <c r="A382" s="25"/>
      <c r="B382" s="44"/>
      <c r="C382" s="53"/>
      <c r="D382" s="21"/>
      <c r="E382" s="48"/>
      <c r="F382" s="48">
        <v>4216</v>
      </c>
    </row>
    <row r="383" spans="1:7" s="2" customFormat="1" hidden="1" x14ac:dyDescent="0.25">
      <c r="A383" s="25"/>
      <c r="B383" s="44"/>
      <c r="C383" s="53"/>
      <c r="D383" s="21"/>
      <c r="E383" s="48"/>
      <c r="F383" s="48">
        <v>4216</v>
      </c>
    </row>
    <row r="384" spans="1:7" s="2" customFormat="1" hidden="1" x14ac:dyDescent="0.25">
      <c r="A384" s="25"/>
      <c r="B384" s="44"/>
      <c r="C384" s="53"/>
      <c r="D384" s="21"/>
      <c r="E384" s="48"/>
      <c r="F384" s="48">
        <v>4216</v>
      </c>
    </row>
    <row r="385" spans="1:6" s="2" customFormat="1" hidden="1" x14ac:dyDescent="0.25">
      <c r="A385" s="25"/>
      <c r="B385" s="44"/>
      <c r="C385" s="53"/>
      <c r="D385" s="21"/>
      <c r="E385" s="48"/>
      <c r="F385" s="48">
        <v>4216</v>
      </c>
    </row>
    <row r="386" spans="1:6" s="2" customFormat="1" hidden="1" x14ac:dyDescent="0.25">
      <c r="A386" s="25"/>
      <c r="B386" s="44"/>
      <c r="C386" s="53"/>
      <c r="D386" s="21"/>
      <c r="E386" s="48"/>
      <c r="F386" s="48">
        <v>4216</v>
      </c>
    </row>
    <row r="387" spans="1:6" s="2" customFormat="1" hidden="1" x14ac:dyDescent="0.25">
      <c r="A387" s="25"/>
      <c r="B387" s="44"/>
      <c r="C387" s="53"/>
      <c r="D387" s="21"/>
      <c r="E387" s="48"/>
      <c r="F387" s="48">
        <v>4216</v>
      </c>
    </row>
    <row r="388" spans="1:6" s="2" customFormat="1" hidden="1" x14ac:dyDescent="0.25">
      <c r="A388" s="25"/>
      <c r="B388" s="44"/>
      <c r="C388" s="53"/>
      <c r="D388" s="21"/>
      <c r="E388" s="48"/>
      <c r="F388" s="48">
        <v>4216</v>
      </c>
    </row>
    <row r="389" spans="1:6" s="2" customFormat="1" hidden="1" x14ac:dyDescent="0.25">
      <c r="A389" s="25"/>
      <c r="B389" s="44"/>
      <c r="C389" s="53"/>
      <c r="D389" s="21"/>
      <c r="E389" s="48"/>
      <c r="F389" s="48">
        <v>4216</v>
      </c>
    </row>
    <row r="390" spans="1:6" s="2" customFormat="1" hidden="1" x14ac:dyDescent="0.25">
      <c r="A390" s="25"/>
      <c r="B390" s="44"/>
      <c r="C390" s="53"/>
      <c r="D390" s="21"/>
      <c r="E390" s="48"/>
      <c r="F390" s="48">
        <v>4216</v>
      </c>
    </row>
    <row r="391" spans="1:6" s="2" customFormat="1" hidden="1" x14ac:dyDescent="0.25">
      <c r="A391" s="25"/>
      <c r="B391" s="44"/>
      <c r="C391" s="53"/>
      <c r="D391" s="21"/>
      <c r="E391" s="48"/>
      <c r="F391" s="48">
        <v>4216</v>
      </c>
    </row>
    <row r="392" spans="1:6" s="2" customFormat="1" hidden="1" x14ac:dyDescent="0.25">
      <c r="A392" s="25"/>
      <c r="B392" s="44"/>
      <c r="C392" s="53"/>
      <c r="D392" s="21"/>
      <c r="E392" s="48"/>
      <c r="F392" s="48">
        <v>4216</v>
      </c>
    </row>
    <row r="393" spans="1:6" s="2" customFormat="1" hidden="1" x14ac:dyDescent="0.25">
      <c r="A393" s="25"/>
      <c r="B393" s="44"/>
      <c r="C393" s="53"/>
      <c r="D393" s="21"/>
      <c r="E393" s="48"/>
      <c r="F393" s="48">
        <v>4216</v>
      </c>
    </row>
    <row r="394" spans="1:6" s="2" customFormat="1" hidden="1" x14ac:dyDescent="0.25">
      <c r="A394" s="25"/>
      <c r="B394" s="44"/>
      <c r="C394" s="53"/>
      <c r="D394" s="21"/>
      <c r="E394" s="48"/>
      <c r="F394" s="48">
        <v>4216</v>
      </c>
    </row>
    <row r="395" spans="1:6" s="2" customFormat="1" hidden="1" x14ac:dyDescent="0.25">
      <c r="A395" s="25"/>
      <c r="B395" s="44"/>
      <c r="C395" s="53"/>
      <c r="D395" s="21"/>
      <c r="E395" s="48"/>
      <c r="F395" s="48">
        <v>4216</v>
      </c>
    </row>
    <row r="396" spans="1:6" s="2" customFormat="1" hidden="1" x14ac:dyDescent="0.25">
      <c r="A396" s="25"/>
      <c r="B396" s="44"/>
      <c r="C396" s="53"/>
      <c r="D396" s="21"/>
      <c r="E396" s="48"/>
      <c r="F396" s="48">
        <v>4216</v>
      </c>
    </row>
    <row r="397" spans="1:6" s="2" customFormat="1" hidden="1" x14ac:dyDescent="0.25">
      <c r="A397" s="25"/>
      <c r="B397" s="44"/>
      <c r="C397" s="53"/>
      <c r="D397" s="21"/>
      <c r="E397" s="48"/>
      <c r="F397" s="48">
        <v>4216</v>
      </c>
    </row>
    <row r="398" spans="1:6" s="2" customFormat="1" hidden="1" x14ac:dyDescent="0.25">
      <c r="A398" s="25"/>
      <c r="B398" s="44"/>
      <c r="C398" s="53"/>
      <c r="D398" s="21"/>
      <c r="E398" s="48"/>
      <c r="F398" s="48">
        <v>4216</v>
      </c>
    </row>
    <row r="399" spans="1:6" s="2" customFormat="1" hidden="1" x14ac:dyDescent="0.25">
      <c r="A399" s="25"/>
      <c r="B399" s="44"/>
      <c r="C399" s="53"/>
      <c r="D399" s="21"/>
      <c r="E399" s="48"/>
      <c r="F399" s="48">
        <v>4216</v>
      </c>
    </row>
    <row r="400" spans="1:6" s="2" customFormat="1" hidden="1" x14ac:dyDescent="0.25">
      <c r="A400" s="25"/>
      <c r="B400" s="44"/>
      <c r="C400" s="53"/>
      <c r="D400" s="21"/>
      <c r="E400" s="48"/>
      <c r="F400" s="48">
        <v>4216</v>
      </c>
    </row>
    <row r="401" spans="1:7" s="2" customFormat="1" hidden="1" x14ac:dyDescent="0.25">
      <c r="A401" s="25"/>
      <c r="B401" s="44"/>
      <c r="C401" s="20"/>
      <c r="D401" s="21"/>
      <c r="E401" s="48"/>
      <c r="F401" s="48">
        <v>4216</v>
      </c>
    </row>
    <row r="402" spans="1:7" s="2" customFormat="1" x14ac:dyDescent="0.25">
      <c r="A402" s="25"/>
      <c r="B402" s="44" t="s">
        <v>121</v>
      </c>
      <c r="C402" s="20">
        <v>0</v>
      </c>
      <c r="D402" s="21">
        <v>16575</v>
      </c>
      <c r="E402" s="48">
        <v>15835</v>
      </c>
      <c r="F402" s="48">
        <v>4216</v>
      </c>
      <c r="G402" s="2" t="s">
        <v>133</v>
      </c>
    </row>
    <row r="403" spans="1:7" s="2" customFormat="1" hidden="1" x14ac:dyDescent="0.25">
      <c r="A403" s="25"/>
      <c r="B403" s="44"/>
      <c r="C403" s="20"/>
      <c r="D403" s="21"/>
      <c r="E403" s="48"/>
      <c r="F403" s="48">
        <v>4216</v>
      </c>
    </row>
    <row r="404" spans="1:7" s="2" customFormat="1" hidden="1" x14ac:dyDescent="0.25">
      <c r="A404" s="25"/>
      <c r="B404" s="24"/>
      <c r="C404" s="20"/>
      <c r="D404" s="47"/>
      <c r="E404" s="48"/>
      <c r="F404" s="48">
        <v>4216</v>
      </c>
    </row>
    <row r="405" spans="1:7" s="2" customFormat="1" hidden="1" x14ac:dyDescent="0.25">
      <c r="A405" s="25"/>
      <c r="B405" s="24"/>
      <c r="C405" s="20"/>
      <c r="D405" s="47"/>
      <c r="E405" s="48"/>
      <c r="F405" s="48">
        <v>4216</v>
      </c>
    </row>
    <row r="406" spans="1:7" s="2" customFormat="1" hidden="1" x14ac:dyDescent="0.25">
      <c r="A406" s="25"/>
      <c r="B406" s="24"/>
      <c r="C406" s="20"/>
      <c r="D406" s="47"/>
      <c r="E406" s="48"/>
      <c r="F406" s="48">
        <v>4216</v>
      </c>
    </row>
    <row r="407" spans="1:7" s="2" customFormat="1" hidden="1" x14ac:dyDescent="0.25">
      <c r="A407" s="25"/>
      <c r="B407" s="44"/>
      <c r="C407" s="20"/>
      <c r="D407" s="47"/>
      <c r="E407" s="48"/>
      <c r="F407" s="48">
        <v>4216</v>
      </c>
    </row>
    <row r="408" spans="1:7" s="2" customFormat="1" hidden="1" x14ac:dyDescent="0.25">
      <c r="A408" s="25"/>
      <c r="B408" s="24"/>
      <c r="C408" s="20"/>
      <c r="D408" s="47"/>
      <c r="E408" s="48"/>
      <c r="F408" s="48">
        <v>4216</v>
      </c>
    </row>
    <row r="409" spans="1:7" s="2" customFormat="1" hidden="1" x14ac:dyDescent="0.25">
      <c r="A409" s="25"/>
      <c r="B409" s="24"/>
      <c r="C409" s="53"/>
      <c r="D409" s="47"/>
      <c r="E409" s="48"/>
      <c r="F409" s="48">
        <v>4216</v>
      </c>
    </row>
    <row r="410" spans="1:7" s="2" customFormat="1" hidden="1" x14ac:dyDescent="0.25">
      <c r="A410" s="25"/>
      <c r="B410" s="24"/>
      <c r="C410" s="53"/>
      <c r="D410" s="47"/>
      <c r="E410" s="48"/>
      <c r="F410" s="48">
        <v>4216</v>
      </c>
    </row>
    <row r="411" spans="1:7" s="2" customFormat="1" hidden="1" x14ac:dyDescent="0.25">
      <c r="A411" s="25"/>
      <c r="B411" s="24"/>
      <c r="C411" s="53"/>
      <c r="D411" s="21"/>
      <c r="E411" s="48"/>
      <c r="F411" s="48">
        <v>4216</v>
      </c>
    </row>
    <row r="412" spans="1:7" s="2" customFormat="1" hidden="1" x14ac:dyDescent="0.25">
      <c r="A412" s="25"/>
      <c r="B412" s="24"/>
      <c r="C412" s="53"/>
      <c r="D412" s="21"/>
      <c r="E412" s="48"/>
      <c r="F412" s="48">
        <v>4216</v>
      </c>
    </row>
    <row r="413" spans="1:7" s="2" customFormat="1" hidden="1" x14ac:dyDescent="0.25">
      <c r="A413" s="25"/>
      <c r="B413" s="24"/>
      <c r="C413" s="53"/>
      <c r="D413" s="21"/>
      <c r="E413" s="48"/>
      <c r="F413" s="48">
        <v>4216</v>
      </c>
    </row>
    <row r="414" spans="1:7" s="2" customFormat="1" hidden="1" x14ac:dyDescent="0.25">
      <c r="A414" s="25"/>
      <c r="B414" s="24"/>
      <c r="C414" s="53"/>
      <c r="D414" s="21"/>
      <c r="E414" s="48"/>
      <c r="F414" s="48">
        <v>4216</v>
      </c>
    </row>
    <row r="415" spans="1:7" s="2" customFormat="1" hidden="1" x14ac:dyDescent="0.25">
      <c r="A415" s="25"/>
      <c r="B415" s="24"/>
      <c r="C415" s="53"/>
      <c r="D415" s="21"/>
      <c r="E415" s="48"/>
      <c r="F415" s="48">
        <v>4216</v>
      </c>
    </row>
    <row r="416" spans="1:7" s="2" customFormat="1" hidden="1" x14ac:dyDescent="0.25">
      <c r="A416" s="25"/>
      <c r="B416" s="24"/>
      <c r="C416" s="53"/>
      <c r="D416" s="21"/>
      <c r="E416" s="48"/>
      <c r="F416" s="48">
        <v>4216</v>
      </c>
    </row>
    <row r="417" spans="1:6" s="2" customFormat="1" hidden="1" x14ac:dyDescent="0.25">
      <c r="A417" s="25"/>
      <c r="B417" s="24"/>
      <c r="C417" s="53"/>
      <c r="D417" s="21"/>
      <c r="E417" s="48"/>
      <c r="F417" s="48">
        <v>4216</v>
      </c>
    </row>
    <row r="418" spans="1:6" s="2" customFormat="1" hidden="1" x14ac:dyDescent="0.25">
      <c r="A418" s="25"/>
      <c r="B418" s="24"/>
      <c r="C418" s="53"/>
      <c r="D418" s="21"/>
      <c r="E418" s="48"/>
      <c r="F418" s="48">
        <v>4216</v>
      </c>
    </row>
    <row r="419" spans="1:6" s="2" customFormat="1" hidden="1" x14ac:dyDescent="0.25">
      <c r="A419" s="25"/>
      <c r="B419" s="24"/>
      <c r="C419" s="53"/>
      <c r="D419" s="21"/>
      <c r="E419" s="48"/>
      <c r="F419" s="48">
        <v>4216</v>
      </c>
    </row>
    <row r="420" spans="1:6" s="2" customFormat="1" hidden="1" x14ac:dyDescent="0.25">
      <c r="A420" s="25"/>
      <c r="B420" s="24"/>
      <c r="C420" s="53"/>
      <c r="D420" s="21"/>
      <c r="E420" s="48"/>
      <c r="F420" s="48">
        <v>4216</v>
      </c>
    </row>
    <row r="421" spans="1:6" s="2" customFormat="1" hidden="1" x14ac:dyDescent="0.25">
      <c r="A421" s="25"/>
      <c r="B421" s="24"/>
      <c r="C421" s="53"/>
      <c r="D421" s="21"/>
      <c r="E421" s="48"/>
      <c r="F421" s="48">
        <v>4216</v>
      </c>
    </row>
    <row r="422" spans="1:6" s="2" customFormat="1" hidden="1" x14ac:dyDescent="0.25">
      <c r="A422" s="25"/>
      <c r="B422" s="24"/>
      <c r="C422" s="53"/>
      <c r="D422" s="21"/>
      <c r="E422" s="48"/>
      <c r="F422" s="48">
        <v>4216</v>
      </c>
    </row>
    <row r="423" spans="1:6" s="2" customFormat="1" hidden="1" x14ac:dyDescent="0.25">
      <c r="A423" s="25"/>
      <c r="B423" s="24"/>
      <c r="C423" s="53"/>
      <c r="D423" s="21"/>
      <c r="E423" s="48"/>
      <c r="F423" s="48">
        <v>4216</v>
      </c>
    </row>
    <row r="424" spans="1:6" s="2" customFormat="1" hidden="1" x14ac:dyDescent="0.25">
      <c r="A424" s="25"/>
      <c r="B424" s="24"/>
      <c r="C424" s="53"/>
      <c r="D424" s="21"/>
      <c r="E424" s="48"/>
      <c r="F424" s="48">
        <v>4216</v>
      </c>
    </row>
    <row r="425" spans="1:6" s="2" customFormat="1" hidden="1" x14ac:dyDescent="0.25">
      <c r="A425" s="25"/>
      <c r="B425" s="24"/>
      <c r="C425" s="53"/>
      <c r="D425" s="21"/>
      <c r="E425" s="48"/>
      <c r="F425" s="48">
        <v>4216</v>
      </c>
    </row>
    <row r="426" spans="1:6" s="2" customFormat="1" hidden="1" x14ac:dyDescent="0.25">
      <c r="A426" s="25"/>
      <c r="B426" s="24"/>
      <c r="C426" s="53"/>
      <c r="D426" s="21"/>
      <c r="E426" s="48"/>
      <c r="F426" s="48">
        <v>4216</v>
      </c>
    </row>
    <row r="427" spans="1:6" s="2" customFormat="1" hidden="1" x14ac:dyDescent="0.25">
      <c r="A427" s="25"/>
      <c r="B427" s="24"/>
      <c r="C427" s="53"/>
      <c r="D427" s="21"/>
      <c r="E427" s="48"/>
      <c r="F427" s="48">
        <v>4216</v>
      </c>
    </row>
    <row r="428" spans="1:6" s="2" customFormat="1" hidden="1" x14ac:dyDescent="0.25">
      <c r="A428" s="25"/>
      <c r="B428" s="24"/>
      <c r="C428" s="53"/>
      <c r="D428" s="21"/>
      <c r="E428" s="48"/>
      <c r="F428" s="48">
        <v>4216</v>
      </c>
    </row>
    <row r="429" spans="1:6" s="2" customFormat="1" hidden="1" x14ac:dyDescent="0.25">
      <c r="A429" s="25"/>
      <c r="B429" s="24"/>
      <c r="C429" s="20"/>
      <c r="D429" s="21"/>
      <c r="E429" s="48"/>
      <c r="F429" s="48">
        <v>4216</v>
      </c>
    </row>
    <row r="430" spans="1:6" s="2" customFormat="1" hidden="1" x14ac:dyDescent="0.25">
      <c r="A430" s="25"/>
      <c r="B430" s="23"/>
      <c r="C430" s="20"/>
      <c r="D430" s="21"/>
      <c r="E430" s="48"/>
      <c r="F430" s="48"/>
    </row>
    <row r="431" spans="1:6" s="2" customFormat="1" hidden="1" x14ac:dyDescent="0.25">
      <c r="A431" s="25"/>
      <c r="B431" s="30" t="s">
        <v>36</v>
      </c>
      <c r="C431" s="39">
        <f>+C432+C433</f>
        <v>0</v>
      </c>
      <c r="D431" s="39">
        <f>+D432+D433</f>
        <v>0</v>
      </c>
      <c r="E431" s="48"/>
      <c r="F431" s="48"/>
    </row>
    <row r="432" spans="1:6" s="2" customFormat="1" hidden="1" x14ac:dyDescent="0.25">
      <c r="A432" s="25"/>
      <c r="B432" s="24"/>
      <c r="C432" s="20"/>
      <c r="D432" s="21"/>
      <c r="E432" s="48"/>
      <c r="F432" s="48">
        <v>4216</v>
      </c>
    </row>
    <row r="433" spans="1:8" s="2" customFormat="1" hidden="1" x14ac:dyDescent="0.25">
      <c r="A433" s="25"/>
      <c r="B433" s="24"/>
      <c r="C433" s="20"/>
      <c r="D433" s="21"/>
      <c r="E433" s="48"/>
      <c r="F433" s="48">
        <v>4216</v>
      </c>
    </row>
    <row r="434" spans="1:8" s="2" customFormat="1" x14ac:dyDescent="0.25">
      <c r="A434" s="25"/>
      <c r="B434" s="23"/>
      <c r="C434" s="20"/>
      <c r="D434" s="21"/>
      <c r="E434" s="48"/>
      <c r="F434" s="48"/>
    </row>
    <row r="435" spans="1:8" s="2" customFormat="1" x14ac:dyDescent="0.25">
      <c r="A435" s="25"/>
      <c r="B435" s="38" t="s">
        <v>91</v>
      </c>
      <c r="C435" s="40">
        <f>+C437+C436+C438</f>
        <v>5171.2852200000007</v>
      </c>
      <c r="D435" s="40">
        <f>+D437+D436+D438</f>
        <v>5171285.2200000007</v>
      </c>
      <c r="E435" s="48"/>
      <c r="F435" s="48"/>
    </row>
    <row r="436" spans="1:8" s="2" customFormat="1" x14ac:dyDescent="0.25">
      <c r="A436" s="25">
        <v>42034</v>
      </c>
      <c r="B436" s="24" t="s">
        <v>103</v>
      </c>
      <c r="C436" s="20">
        <v>4395.5924400000004</v>
      </c>
      <c r="D436" s="21">
        <v>4395592.4400000004</v>
      </c>
      <c r="E436" s="48">
        <v>17871</v>
      </c>
      <c r="F436" s="48">
        <v>4216</v>
      </c>
    </row>
    <row r="437" spans="1:8" x14ac:dyDescent="0.25">
      <c r="A437" s="25">
        <v>42034</v>
      </c>
      <c r="B437" s="24" t="s">
        <v>103</v>
      </c>
      <c r="C437" s="20">
        <v>775.69277999999997</v>
      </c>
      <c r="D437" s="21">
        <v>775692.78</v>
      </c>
      <c r="E437" s="48">
        <v>17870</v>
      </c>
      <c r="F437" s="48">
        <v>4216</v>
      </c>
      <c r="G437" s="2"/>
      <c r="H437" s="2"/>
    </row>
    <row r="438" spans="1:8" hidden="1" x14ac:dyDescent="0.25">
      <c r="A438" s="25"/>
      <c r="B438" s="24"/>
      <c r="C438" s="20"/>
      <c r="D438" s="21"/>
      <c r="E438" s="48"/>
      <c r="F438" s="48">
        <v>4216</v>
      </c>
      <c r="G438" s="2"/>
      <c r="H438" s="2"/>
    </row>
    <row r="439" spans="1:8" s="2" customFormat="1" hidden="1" x14ac:dyDescent="0.25">
      <c r="A439" s="25"/>
      <c r="B439" s="13"/>
      <c r="C439" s="39"/>
      <c r="D439" s="40"/>
      <c r="E439" s="48"/>
      <c r="F439" s="48"/>
    </row>
    <row r="440" spans="1:8" s="2" customFormat="1" hidden="1" x14ac:dyDescent="0.25">
      <c r="A440" s="25"/>
      <c r="B440" s="13" t="s">
        <v>48</v>
      </c>
      <c r="C440" s="39">
        <f>SUM(C441:C455)</f>
        <v>0</v>
      </c>
      <c r="D440" s="39">
        <f>SUM(D441:D455)</f>
        <v>0</v>
      </c>
      <c r="E440" s="48"/>
      <c r="F440" s="48"/>
    </row>
    <row r="441" spans="1:8" s="2" customFormat="1" hidden="1" x14ac:dyDescent="0.25">
      <c r="A441" s="25"/>
      <c r="B441" s="23"/>
      <c r="C441" s="52"/>
      <c r="D441" s="55"/>
      <c r="E441" s="22"/>
      <c r="F441" s="48">
        <v>4222</v>
      </c>
      <c r="H441" s="1"/>
    </row>
    <row r="442" spans="1:8" s="2" customFormat="1" hidden="1" x14ac:dyDescent="0.25">
      <c r="A442" s="25"/>
      <c r="B442" s="23"/>
      <c r="C442" s="52"/>
      <c r="D442" s="55"/>
      <c r="E442" s="22"/>
      <c r="F442" s="48">
        <v>4222</v>
      </c>
      <c r="H442" s="1"/>
    </row>
    <row r="443" spans="1:8" s="2" customFormat="1" hidden="1" x14ac:dyDescent="0.25">
      <c r="A443" s="25"/>
      <c r="B443" s="23"/>
      <c r="C443" s="20"/>
      <c r="D443" s="55"/>
      <c r="E443" s="48"/>
      <c r="F443" s="48">
        <v>4222</v>
      </c>
    </row>
    <row r="444" spans="1:8" s="2" customFormat="1" hidden="1" x14ac:dyDescent="0.25">
      <c r="A444" s="25"/>
      <c r="B444" s="23"/>
      <c r="C444" s="20"/>
      <c r="D444" s="55"/>
      <c r="E444" s="48"/>
      <c r="F444" s="48">
        <v>4222</v>
      </c>
    </row>
    <row r="445" spans="1:8" s="2" customFormat="1" hidden="1" x14ac:dyDescent="0.25">
      <c r="A445" s="25"/>
      <c r="B445" s="23"/>
      <c r="C445" s="20"/>
      <c r="D445" s="55"/>
      <c r="E445" s="48"/>
      <c r="F445" s="48">
        <v>4222</v>
      </c>
    </row>
    <row r="446" spans="1:8" s="2" customFormat="1" hidden="1" x14ac:dyDescent="0.25">
      <c r="A446" s="25"/>
      <c r="B446" s="23"/>
      <c r="C446" s="20"/>
      <c r="D446" s="55"/>
      <c r="E446" s="48"/>
      <c r="F446" s="48">
        <v>4222</v>
      </c>
    </row>
    <row r="447" spans="1:8" s="2" customFormat="1" hidden="1" x14ac:dyDescent="0.25">
      <c r="A447" s="25"/>
      <c r="B447" s="23"/>
      <c r="C447" s="20"/>
      <c r="D447" s="55"/>
      <c r="E447" s="48"/>
      <c r="F447" s="48">
        <v>4222</v>
      </c>
    </row>
    <row r="448" spans="1:8" s="2" customFormat="1" hidden="1" x14ac:dyDescent="0.25">
      <c r="A448" s="25"/>
      <c r="B448" s="23"/>
      <c r="C448" s="20"/>
      <c r="D448" s="55"/>
      <c r="E448" s="48"/>
      <c r="F448" s="48">
        <v>4222</v>
      </c>
    </row>
    <row r="449" spans="1:8" s="2" customFormat="1" hidden="1" x14ac:dyDescent="0.25">
      <c r="A449" s="25"/>
      <c r="B449" s="24"/>
      <c r="C449" s="20"/>
      <c r="D449" s="55"/>
      <c r="E449" s="48"/>
      <c r="F449" s="48">
        <v>4222</v>
      </c>
      <c r="H449" s="1"/>
    </row>
    <row r="450" spans="1:8" s="2" customFormat="1" hidden="1" x14ac:dyDescent="0.25">
      <c r="A450" s="25"/>
      <c r="B450" s="23"/>
      <c r="C450" s="20"/>
      <c r="D450" s="55"/>
      <c r="E450" s="48"/>
      <c r="F450" s="48">
        <v>4222</v>
      </c>
    </row>
    <row r="451" spans="1:8" s="2" customFormat="1" hidden="1" x14ac:dyDescent="0.25">
      <c r="A451" s="25"/>
      <c r="B451" s="23"/>
      <c r="C451" s="20"/>
      <c r="D451" s="55"/>
      <c r="E451" s="48"/>
      <c r="F451" s="48">
        <v>4222</v>
      </c>
    </row>
    <row r="452" spans="1:8" s="2" customFormat="1" hidden="1" x14ac:dyDescent="0.25">
      <c r="A452" s="25"/>
      <c r="B452" s="23"/>
      <c r="C452" s="20"/>
      <c r="D452" s="55"/>
      <c r="E452" s="48"/>
      <c r="F452" s="48">
        <v>4222</v>
      </c>
    </row>
    <row r="453" spans="1:8" s="2" customFormat="1" hidden="1" x14ac:dyDescent="0.25">
      <c r="A453" s="25"/>
      <c r="B453" s="23"/>
      <c r="C453" s="20"/>
      <c r="D453" s="55"/>
      <c r="E453" s="48"/>
      <c r="F453" s="48">
        <v>4222</v>
      </c>
    </row>
    <row r="454" spans="1:8" s="2" customFormat="1" hidden="1" x14ac:dyDescent="0.25">
      <c r="A454" s="25"/>
      <c r="B454" s="23"/>
      <c r="C454" s="46"/>
      <c r="D454" s="55"/>
      <c r="E454" s="48"/>
      <c r="F454" s="48">
        <v>4222</v>
      </c>
    </row>
    <row r="455" spans="1:8" s="2" customFormat="1" hidden="1" x14ac:dyDescent="0.25">
      <c r="A455" s="25"/>
      <c r="B455" s="23"/>
      <c r="C455" s="20"/>
      <c r="D455" s="55"/>
      <c r="E455" s="48"/>
      <c r="F455" s="48">
        <v>4222</v>
      </c>
    </row>
    <row r="456" spans="1:8" x14ac:dyDescent="0.25">
      <c r="A456" s="50"/>
      <c r="B456" s="83"/>
      <c r="C456" s="84"/>
      <c r="D456" s="55"/>
      <c r="E456" s="85"/>
      <c r="F456" s="63"/>
      <c r="G456" s="2"/>
      <c r="H456" s="2"/>
    </row>
    <row r="457" spans="1:8" s="2" customFormat="1" x14ac:dyDescent="0.25">
      <c r="A457" s="25"/>
      <c r="B457" s="30" t="s">
        <v>50</v>
      </c>
      <c r="C457" s="30">
        <f>+SUM(C458:C471)</f>
        <v>26736.119480000001</v>
      </c>
      <c r="D457" s="31">
        <f>+SUM(D458:D471)</f>
        <v>44243685.079999998</v>
      </c>
      <c r="E457" s="48"/>
      <c r="F457" s="48"/>
    </row>
    <row r="458" spans="1:8" s="2" customFormat="1" x14ac:dyDescent="0.25">
      <c r="A458" s="25">
        <v>42073</v>
      </c>
      <c r="B458" s="24" t="s">
        <v>112</v>
      </c>
      <c r="C458" s="20">
        <v>24568.326000000001</v>
      </c>
      <c r="D458" s="21">
        <v>24568326</v>
      </c>
      <c r="E458" s="48">
        <v>86505</v>
      </c>
      <c r="F458" s="48">
        <v>4223</v>
      </c>
    </row>
    <row r="459" spans="1:8" s="2" customFormat="1" x14ac:dyDescent="0.25">
      <c r="A459" s="25">
        <v>42073</v>
      </c>
      <c r="B459" s="24" t="s">
        <v>112</v>
      </c>
      <c r="C459" s="20">
        <v>2167.7934799999998</v>
      </c>
      <c r="D459" s="21">
        <v>2167793.48</v>
      </c>
      <c r="E459" s="48">
        <v>86501</v>
      </c>
      <c r="F459" s="48">
        <v>4223</v>
      </c>
    </row>
    <row r="460" spans="1:8" s="2" customFormat="1" x14ac:dyDescent="0.25">
      <c r="A460" s="25">
        <v>42087</v>
      </c>
      <c r="B460" s="23" t="s">
        <v>123</v>
      </c>
      <c r="C460" s="46">
        <v>0</v>
      </c>
      <c r="D460" s="47">
        <v>17507565.600000001</v>
      </c>
      <c r="E460" s="22">
        <v>86505</v>
      </c>
      <c r="F460" s="48">
        <v>4223</v>
      </c>
      <c r="G460" s="2" t="s">
        <v>134</v>
      </c>
    </row>
    <row r="461" spans="1:8" s="2" customFormat="1" hidden="1" x14ac:dyDescent="0.25">
      <c r="A461" s="25"/>
      <c r="B461" s="23"/>
      <c r="C461" s="46"/>
      <c r="D461" s="47"/>
      <c r="E461" s="22"/>
      <c r="F461" s="48">
        <v>4223</v>
      </c>
    </row>
    <row r="462" spans="1:8" s="2" customFormat="1" hidden="1" x14ac:dyDescent="0.25">
      <c r="A462" s="25"/>
      <c r="B462" s="23"/>
      <c r="C462" s="46"/>
      <c r="D462" s="47"/>
      <c r="E462" s="22"/>
      <c r="F462" s="48">
        <v>4223</v>
      </c>
    </row>
    <row r="463" spans="1:8" s="2" customFormat="1" hidden="1" x14ac:dyDescent="0.25">
      <c r="A463" s="25"/>
      <c r="B463" s="23"/>
      <c r="C463" s="46"/>
      <c r="D463" s="21"/>
      <c r="E463" s="22"/>
      <c r="F463" s="48">
        <v>4223</v>
      </c>
    </row>
    <row r="464" spans="1:8" s="2" customFormat="1" hidden="1" x14ac:dyDescent="0.25">
      <c r="A464" s="25"/>
      <c r="B464" s="23"/>
      <c r="C464" s="46"/>
      <c r="D464" s="21"/>
      <c r="E464" s="22"/>
      <c r="F464" s="48">
        <v>4223</v>
      </c>
    </row>
    <row r="465" spans="1:8" s="2" customFormat="1" hidden="1" x14ac:dyDescent="0.25">
      <c r="A465" s="25"/>
      <c r="B465" s="23"/>
      <c r="C465" s="46"/>
      <c r="D465" s="21"/>
      <c r="E465" s="22"/>
      <c r="F465" s="48">
        <v>4223</v>
      </c>
    </row>
    <row r="466" spans="1:8" s="2" customFormat="1" hidden="1" x14ac:dyDescent="0.25">
      <c r="A466" s="25"/>
      <c r="B466" s="23"/>
      <c r="C466" s="46"/>
      <c r="D466" s="21"/>
      <c r="E466" s="22"/>
      <c r="F466" s="48">
        <v>4223</v>
      </c>
    </row>
    <row r="467" spans="1:8" s="2" customFormat="1" hidden="1" x14ac:dyDescent="0.25">
      <c r="A467" s="25"/>
      <c r="B467" s="23"/>
      <c r="C467" s="46"/>
      <c r="D467" s="21"/>
      <c r="E467" s="22"/>
      <c r="F467" s="48">
        <v>4223</v>
      </c>
    </row>
    <row r="468" spans="1:8" s="2" customFormat="1" hidden="1" x14ac:dyDescent="0.25">
      <c r="A468" s="25"/>
      <c r="B468" s="23"/>
      <c r="C468" s="46"/>
      <c r="D468" s="21"/>
      <c r="E468" s="22"/>
      <c r="F468" s="48">
        <v>4223</v>
      </c>
    </row>
    <row r="469" spans="1:8" s="2" customFormat="1" hidden="1" x14ac:dyDescent="0.25">
      <c r="A469" s="25"/>
      <c r="B469" s="23"/>
      <c r="C469" s="46"/>
      <c r="D469" s="21"/>
      <c r="E469" s="22"/>
      <c r="F469" s="48">
        <v>4223</v>
      </c>
    </row>
    <row r="470" spans="1:8" s="2" customFormat="1" hidden="1" x14ac:dyDescent="0.25">
      <c r="A470" s="25"/>
      <c r="B470" s="23"/>
      <c r="C470" s="46"/>
      <c r="D470" s="21"/>
      <c r="E470" s="22"/>
      <c r="F470" s="48">
        <v>4223</v>
      </c>
    </row>
    <row r="471" spans="1:8" s="2" customFormat="1" hidden="1" x14ac:dyDescent="0.25">
      <c r="A471" s="25"/>
      <c r="B471" s="23"/>
      <c r="C471" s="46"/>
      <c r="D471" s="21"/>
      <c r="E471" s="22"/>
      <c r="F471" s="48"/>
      <c r="G471" s="1"/>
    </row>
    <row r="472" spans="1:8" s="2" customFormat="1" x14ac:dyDescent="0.25">
      <c r="A472" s="25"/>
      <c r="B472" s="24"/>
      <c r="C472" s="46"/>
      <c r="D472" s="86"/>
      <c r="E472" s="48"/>
      <c r="F472" s="48"/>
      <c r="G472" s="1"/>
    </row>
    <row r="473" spans="1:8" s="2" customFormat="1" x14ac:dyDescent="0.25">
      <c r="A473" s="25"/>
      <c r="B473" s="70" t="s">
        <v>55</v>
      </c>
      <c r="C473" s="26">
        <f>+C440+C457+C343+C378+C435+C431</f>
        <v>32440.994420000003</v>
      </c>
      <c r="D473" s="26">
        <f>+D440+D457+D343+D378+D435+D431</f>
        <v>49966110.019999996</v>
      </c>
      <c r="E473" s="71"/>
      <c r="F473" s="28"/>
      <c r="G473" s="1"/>
    </row>
    <row r="474" spans="1:8" s="2" customFormat="1" ht="16.5" thickBot="1" x14ac:dyDescent="0.3">
      <c r="A474" s="72"/>
      <c r="B474" s="73"/>
      <c r="C474" s="74"/>
      <c r="D474" s="75"/>
      <c r="E474" s="76"/>
      <c r="F474" s="76"/>
      <c r="G474" s="1"/>
    </row>
    <row r="475" spans="1:8" s="2" customFormat="1" x14ac:dyDescent="0.25">
      <c r="A475" s="87"/>
      <c r="D475" s="45"/>
      <c r="E475" s="88"/>
      <c r="F475" s="88"/>
      <c r="G475" s="1"/>
    </row>
    <row r="476" spans="1:8" s="2" customFormat="1" ht="16.5" thickBot="1" x14ac:dyDescent="0.3">
      <c r="A476" s="89"/>
      <c r="B476" s="90"/>
      <c r="C476" s="90"/>
      <c r="D476" s="91"/>
      <c r="E476" s="92"/>
      <c r="F476" s="92"/>
      <c r="G476" s="1"/>
    </row>
    <row r="477" spans="1:8" s="2" customFormat="1" x14ac:dyDescent="0.25">
      <c r="A477" s="93"/>
      <c r="B477" s="94"/>
      <c r="C477" s="94"/>
      <c r="D477" s="5"/>
      <c r="E477" s="95"/>
      <c r="F477" s="165"/>
      <c r="G477" s="88"/>
      <c r="H477" s="1"/>
    </row>
    <row r="478" spans="1:8" s="2" customFormat="1" ht="16.5" thickBot="1" x14ac:dyDescent="0.3">
      <c r="A478" s="93"/>
      <c r="B478" s="9" t="s">
        <v>56</v>
      </c>
      <c r="C478" s="9" t="s">
        <v>3</v>
      </c>
      <c r="D478" s="10" t="s">
        <v>4</v>
      </c>
      <c r="E478" s="95"/>
      <c r="F478" s="165"/>
      <c r="G478" s="88"/>
      <c r="H478" s="1"/>
    </row>
    <row r="479" spans="1:8" s="2" customFormat="1" x14ac:dyDescent="0.25">
      <c r="A479" s="93"/>
      <c r="B479" s="96"/>
      <c r="C479" s="96"/>
      <c r="D479" s="97"/>
      <c r="E479" s="95"/>
      <c r="F479" s="165"/>
      <c r="G479" s="88"/>
      <c r="H479" s="1"/>
    </row>
    <row r="480" spans="1:8" s="2" customFormat="1" x14ac:dyDescent="0.25">
      <c r="A480" s="98"/>
      <c r="B480" s="99" t="s">
        <v>57</v>
      </c>
      <c r="C480" s="99">
        <f>+C337</f>
        <v>21548.233430000004</v>
      </c>
      <c r="D480" s="56">
        <f>+D337</f>
        <v>15712291.67</v>
      </c>
      <c r="E480" s="100"/>
      <c r="F480" s="80"/>
      <c r="G480" s="88" t="s">
        <v>61</v>
      </c>
      <c r="H480" s="1">
        <f>'[1]Vstupni Seznam'!$M$1</f>
        <v>951693271.66000009</v>
      </c>
    </row>
    <row r="481" spans="1:9" s="2" customFormat="1" x14ac:dyDescent="0.25">
      <c r="A481" s="98"/>
      <c r="B481" s="99" t="s">
        <v>58</v>
      </c>
      <c r="C481" s="99">
        <f>+C473</f>
        <v>32440.994420000003</v>
      </c>
      <c r="D481" s="122">
        <f>+D473</f>
        <v>49966110.019999996</v>
      </c>
      <c r="E481" s="101"/>
      <c r="F481" s="92"/>
      <c r="G481" s="88" t="s">
        <v>62</v>
      </c>
      <c r="H481" s="1">
        <f>27388800*4</f>
        <v>109555200</v>
      </c>
    </row>
    <row r="482" spans="1:9" s="2" customFormat="1" x14ac:dyDescent="0.25">
      <c r="A482" s="98"/>
      <c r="B482" s="99"/>
      <c r="C482" s="99"/>
      <c r="D482" s="56"/>
      <c r="E482" s="101"/>
      <c r="F482" s="92"/>
      <c r="G482" s="88" t="s">
        <v>64</v>
      </c>
      <c r="H482" s="1">
        <f>+D38+D39+D40+D41+D42+D43+D44+D45+D46+D47+D48+D49+D50+D51+D52+D53+D54+D55+D56+D57+D372</f>
        <v>4326471</v>
      </c>
    </row>
    <row r="483" spans="1:9" s="2" customFormat="1" x14ac:dyDescent="0.25">
      <c r="A483" s="98"/>
      <c r="B483" s="102" t="s">
        <v>59</v>
      </c>
      <c r="C483" s="102">
        <f>+C480+C481</f>
        <v>53989.22785000001</v>
      </c>
      <c r="D483" s="27">
        <f>SUM(D480:D481)</f>
        <v>65678401.689999998</v>
      </c>
      <c r="E483" s="101"/>
      <c r="F483" s="92"/>
      <c r="G483" s="2" t="s">
        <v>63</v>
      </c>
      <c r="H483" s="1">
        <f>H480-H481-H478-H479+H482</f>
        <v>846464542.66000009</v>
      </c>
    </row>
    <row r="484" spans="1:9" s="2" customFormat="1" ht="16.5" thickBot="1" x14ac:dyDescent="0.3">
      <c r="A484" s="98"/>
      <c r="B484" s="103"/>
      <c r="C484" s="103"/>
      <c r="D484" s="75"/>
      <c r="E484" s="100"/>
      <c r="F484" s="80"/>
      <c r="H484" s="1">
        <f>+H483-D483</f>
        <v>780786140.97000003</v>
      </c>
      <c r="I484" s="109" t="s">
        <v>101</v>
      </c>
    </row>
    <row r="485" spans="1:9" s="2" customFormat="1" x14ac:dyDescent="0.25">
      <c r="A485" s="87"/>
      <c r="D485" s="45"/>
      <c r="E485" s="1"/>
      <c r="G485" s="1" t="s">
        <v>126</v>
      </c>
      <c r="H485" s="1">
        <f>144000+90980.06+55520+4024988.5+509931</f>
        <v>4825419.5599999996</v>
      </c>
      <c r="I485" s="180"/>
    </row>
    <row r="486" spans="1:9" ht="16.5" thickBot="1" x14ac:dyDescent="0.3">
      <c r="B486" s="130"/>
      <c r="C486" s="131"/>
      <c r="D486" s="154"/>
      <c r="E486" s="104"/>
      <c r="F486" s="104"/>
      <c r="G486" s="1"/>
      <c r="H486" s="1">
        <f>+H484-H485</f>
        <v>775960721.41000009</v>
      </c>
      <c r="I486" s="45" t="s">
        <v>135</v>
      </c>
    </row>
    <row r="487" spans="1:9" ht="16.5" thickBot="1" x14ac:dyDescent="0.3">
      <c r="B487" s="170" t="s">
        <v>79</v>
      </c>
      <c r="C487" s="137" t="s">
        <v>80</v>
      </c>
      <c r="D487" s="137" t="s">
        <v>80</v>
      </c>
      <c r="E487" s="140" t="s">
        <v>82</v>
      </c>
      <c r="F487" s="140" t="s">
        <v>81</v>
      </c>
      <c r="G487" s="138" t="s">
        <v>83</v>
      </c>
      <c r="H487" s="139" t="s">
        <v>84</v>
      </c>
    </row>
    <row r="488" spans="1:9" s="185" customFormat="1" x14ac:dyDescent="0.25">
      <c r="A488" s="183" t="e">
        <f>IF(#REF!=#REF!,1,IF(#REF!&gt;#REF!,0,-1))</f>
        <v>#REF!</v>
      </c>
      <c r="B488" s="184">
        <v>4111</v>
      </c>
      <c r="C488" s="143"/>
      <c r="D488" s="155">
        <f>SUMIF(C506:C534,B488,G506:G534)</f>
        <v>0</v>
      </c>
      <c r="E488" s="141">
        <f t="shared" ref="E488:E499" si="0">SUMIF($F$7:$F$536,B488,$C$7:$C$536)</f>
        <v>0</v>
      </c>
      <c r="F488" s="141">
        <f t="shared" ref="F488:F499" si="1">SUMIF($F$7:$F$486,B488,$D$7:$D$486)</f>
        <v>0</v>
      </c>
      <c r="G488" s="141">
        <f>C488-E488*1000</f>
        <v>0</v>
      </c>
      <c r="H488" s="141">
        <f>+D488-F488</f>
        <v>0</v>
      </c>
    </row>
    <row r="489" spans="1:9" x14ac:dyDescent="0.25">
      <c r="B489" s="186">
        <v>4113</v>
      </c>
      <c r="C489" s="144">
        <v>5906744.8200000003</v>
      </c>
      <c r="D489" s="155">
        <v>1361485.82</v>
      </c>
      <c r="E489" s="142">
        <f t="shared" si="0"/>
        <v>5906.7448200000008</v>
      </c>
      <c r="F489" s="141">
        <f t="shared" si="1"/>
        <v>1361485.82</v>
      </c>
      <c r="G489" s="141">
        <f t="shared" ref="G489:G499" si="2">C489-E489*1000</f>
        <v>0</v>
      </c>
      <c r="H489" s="141">
        <f t="shared" ref="H489:H499" si="3">+D489-F489</f>
        <v>0</v>
      </c>
      <c r="I489" s="185"/>
    </row>
    <row r="490" spans="1:9" x14ac:dyDescent="0.25">
      <c r="B490" s="186">
        <v>4116</v>
      </c>
      <c r="C490" s="144">
        <v>14621106.279999999</v>
      </c>
      <c r="D490" s="155">
        <v>12748709.279999999</v>
      </c>
      <c r="E490" s="142">
        <f t="shared" si="0"/>
        <v>14621.10628</v>
      </c>
      <c r="F490" s="141">
        <f t="shared" si="1"/>
        <v>12748709.280000001</v>
      </c>
      <c r="G490" s="141">
        <f t="shared" si="2"/>
        <v>0</v>
      </c>
      <c r="H490" s="141">
        <f t="shared" si="3"/>
        <v>0</v>
      </c>
      <c r="I490" s="185"/>
    </row>
    <row r="491" spans="1:9" x14ac:dyDescent="0.25">
      <c r="B491" s="186">
        <v>4119</v>
      </c>
      <c r="C491" s="144"/>
      <c r="D491" s="155">
        <f>SUMIF(C511:C537,B491,G509:G537)</f>
        <v>0</v>
      </c>
      <c r="E491" s="142">
        <f t="shared" si="0"/>
        <v>0</v>
      </c>
      <c r="F491" s="141">
        <f t="shared" si="1"/>
        <v>0</v>
      </c>
      <c r="G491" s="141">
        <f t="shared" si="2"/>
        <v>0</v>
      </c>
      <c r="H491" s="141">
        <f t="shared" si="3"/>
        <v>0</v>
      </c>
      <c r="I491" s="185"/>
    </row>
    <row r="492" spans="1:9" x14ac:dyDescent="0.25">
      <c r="B492" s="186">
        <v>4122</v>
      </c>
      <c r="C492" s="144">
        <v>1020382.33</v>
      </c>
      <c r="D492" s="155">
        <v>1020382.33</v>
      </c>
      <c r="E492" s="142">
        <f t="shared" si="0"/>
        <v>1020.3823300000001</v>
      </c>
      <c r="F492" s="141">
        <f t="shared" si="1"/>
        <v>1020382.33</v>
      </c>
      <c r="G492" s="141">
        <f t="shared" si="2"/>
        <v>0</v>
      </c>
      <c r="H492" s="141">
        <f t="shared" si="3"/>
        <v>0</v>
      </c>
      <c r="I492" s="185"/>
    </row>
    <row r="493" spans="1:9" x14ac:dyDescent="0.25">
      <c r="B493" s="186">
        <v>4123</v>
      </c>
      <c r="C493" s="144"/>
      <c r="D493" s="155">
        <f t="shared" ref="D493:D498" si="4">SUMIF(C511:C539,B493,G511:G539)</f>
        <v>0</v>
      </c>
      <c r="E493" s="142">
        <f t="shared" si="0"/>
        <v>0</v>
      </c>
      <c r="F493" s="141">
        <f t="shared" si="1"/>
        <v>0</v>
      </c>
      <c r="G493" s="141">
        <f t="shared" si="2"/>
        <v>0</v>
      </c>
      <c r="H493" s="141">
        <f t="shared" si="3"/>
        <v>0</v>
      </c>
      <c r="I493" s="185"/>
    </row>
    <row r="494" spans="1:9" x14ac:dyDescent="0.25">
      <c r="B494" s="186">
        <v>4151</v>
      </c>
      <c r="C494" s="144"/>
      <c r="D494" s="155">
        <f t="shared" si="4"/>
        <v>0</v>
      </c>
      <c r="E494" s="142">
        <f t="shared" si="0"/>
        <v>0</v>
      </c>
      <c r="F494" s="141">
        <f t="shared" si="1"/>
        <v>0</v>
      </c>
      <c r="G494" s="141">
        <f t="shared" si="2"/>
        <v>0</v>
      </c>
      <c r="H494" s="141">
        <f t="shared" si="3"/>
        <v>0</v>
      </c>
      <c r="I494" s="185"/>
    </row>
    <row r="495" spans="1:9" x14ac:dyDescent="0.25">
      <c r="B495" s="186">
        <v>4152</v>
      </c>
      <c r="C495" s="144"/>
      <c r="D495" s="155">
        <v>581714.24</v>
      </c>
      <c r="E495" s="142">
        <f t="shared" si="0"/>
        <v>0</v>
      </c>
      <c r="F495" s="141">
        <f t="shared" si="1"/>
        <v>581714.24</v>
      </c>
      <c r="G495" s="141">
        <f t="shared" si="2"/>
        <v>0</v>
      </c>
      <c r="H495" s="141">
        <f t="shared" si="3"/>
        <v>0</v>
      </c>
      <c r="I495" s="185"/>
    </row>
    <row r="496" spans="1:9" x14ac:dyDescent="0.25">
      <c r="B496" s="186">
        <v>4213</v>
      </c>
      <c r="C496" s="144">
        <v>533589.72</v>
      </c>
      <c r="D496" s="155">
        <v>534564.72</v>
      </c>
      <c r="E496" s="142">
        <f t="shared" si="0"/>
        <v>533.58971999999994</v>
      </c>
      <c r="F496" s="141">
        <f t="shared" si="1"/>
        <v>534564.72</v>
      </c>
      <c r="G496" s="141">
        <f t="shared" si="2"/>
        <v>0</v>
      </c>
      <c r="H496" s="141">
        <f t="shared" si="3"/>
        <v>0</v>
      </c>
      <c r="I496" s="185"/>
    </row>
    <row r="497" spans="2:9" x14ac:dyDescent="0.25">
      <c r="B497" s="186">
        <v>4216</v>
      </c>
      <c r="C497" s="144">
        <v>5171285.22</v>
      </c>
      <c r="D497" s="155">
        <v>5187860.22</v>
      </c>
      <c r="E497" s="142">
        <f t="shared" si="0"/>
        <v>5171.2852200000007</v>
      </c>
      <c r="F497" s="141">
        <f t="shared" si="1"/>
        <v>5187860.2200000007</v>
      </c>
      <c r="G497" s="141">
        <f t="shared" si="2"/>
        <v>0</v>
      </c>
      <c r="H497" s="141">
        <f t="shared" si="3"/>
        <v>0</v>
      </c>
      <c r="I497" s="185"/>
    </row>
    <row r="498" spans="2:9" x14ac:dyDescent="0.25">
      <c r="B498" s="186">
        <v>4222</v>
      </c>
      <c r="C498" s="144"/>
      <c r="D498" s="155">
        <f t="shared" si="4"/>
        <v>0</v>
      </c>
      <c r="E498" s="142">
        <f t="shared" si="0"/>
        <v>0</v>
      </c>
      <c r="F498" s="141">
        <f t="shared" si="1"/>
        <v>0</v>
      </c>
      <c r="G498" s="141">
        <f t="shared" si="2"/>
        <v>0</v>
      </c>
      <c r="H498" s="141">
        <f t="shared" si="3"/>
        <v>0</v>
      </c>
      <c r="I498" s="185"/>
    </row>
    <row r="499" spans="2:9" x14ac:dyDescent="0.25">
      <c r="B499" s="186">
        <v>4223</v>
      </c>
      <c r="C499" s="144">
        <v>26736119.48</v>
      </c>
      <c r="D499" s="155">
        <v>44243685.079999998</v>
      </c>
      <c r="E499" s="142">
        <f t="shared" si="0"/>
        <v>26736.119480000001</v>
      </c>
      <c r="F499" s="141">
        <f t="shared" si="1"/>
        <v>44243685.079999998</v>
      </c>
      <c r="G499" s="141">
        <f t="shared" si="2"/>
        <v>0</v>
      </c>
      <c r="H499" s="141">
        <f t="shared" si="3"/>
        <v>0</v>
      </c>
      <c r="I499" s="185"/>
    </row>
    <row r="500" spans="2:9" x14ac:dyDescent="0.25">
      <c r="B500" s="132"/>
      <c r="C500" s="144">
        <f t="shared" ref="C500:H500" si="5">+SUM(C488:C499)</f>
        <v>53989227.849999994</v>
      </c>
      <c r="D500" s="156">
        <f t="shared" si="5"/>
        <v>65678401.689999998</v>
      </c>
      <c r="E500" s="144">
        <f t="shared" si="5"/>
        <v>53989.227850000003</v>
      </c>
      <c r="F500" s="144">
        <f t="shared" si="5"/>
        <v>65678401.689999998</v>
      </c>
      <c r="G500" s="141">
        <f t="shared" si="5"/>
        <v>0</v>
      </c>
      <c r="H500" s="141">
        <f t="shared" si="5"/>
        <v>0</v>
      </c>
      <c r="I500" s="185"/>
    </row>
    <row r="501" spans="2:9" ht="16.5" thickBot="1" x14ac:dyDescent="0.3">
      <c r="B501" s="133"/>
      <c r="C501" s="145"/>
      <c r="D501" s="157"/>
      <c r="E501" s="134"/>
      <c r="F501" s="134"/>
      <c r="G501" s="135"/>
      <c r="H501" s="136"/>
      <c r="I501" s="185"/>
    </row>
    <row r="502" spans="2:9" x14ac:dyDescent="0.25">
      <c r="H502" s="2"/>
    </row>
    <row r="503" spans="2:9" x14ac:dyDescent="0.25">
      <c r="B503" s="177"/>
      <c r="C503" s="2" t="s">
        <v>120</v>
      </c>
      <c r="H503" s="2"/>
    </row>
    <row r="504" spans="2:9" x14ac:dyDescent="0.25">
      <c r="H504" s="2"/>
    </row>
    <row r="505" spans="2:9" x14ac:dyDescent="0.25">
      <c r="B505" s="187"/>
      <c r="C505" s="187"/>
      <c r="D505" s="187"/>
      <c r="E505" s="188"/>
      <c r="F505" s="188"/>
      <c r="G505" s="188"/>
      <c r="H505" s="187"/>
    </row>
    <row r="506" spans="2:9" x14ac:dyDescent="0.25">
      <c r="B506" s="187"/>
      <c r="C506" s="187"/>
      <c r="D506" s="187"/>
      <c r="E506" s="188"/>
      <c r="F506" s="188"/>
      <c r="G506" s="188"/>
      <c r="H506" s="187"/>
    </row>
    <row r="507" spans="2:9" x14ac:dyDescent="0.25">
      <c r="B507" s="187"/>
      <c r="C507" s="187"/>
      <c r="D507" s="187"/>
      <c r="E507" s="188"/>
      <c r="F507" s="188"/>
      <c r="G507" s="188"/>
      <c r="H507" s="187"/>
    </row>
    <row r="508" spans="2:9" x14ac:dyDescent="0.25">
      <c r="B508" s="187"/>
      <c r="C508" s="187"/>
      <c r="D508" s="187"/>
      <c r="E508" s="188"/>
      <c r="F508" s="188"/>
      <c r="G508" s="188"/>
      <c r="H508" s="187"/>
    </row>
    <row r="509" spans="2:9" x14ac:dyDescent="0.25">
      <c r="B509" s="187"/>
      <c r="D509" s="187"/>
      <c r="E509" s="188"/>
      <c r="F509" s="188"/>
      <c r="G509" s="187"/>
      <c r="H509" s="187"/>
    </row>
    <row r="510" spans="2:9" x14ac:dyDescent="0.25">
      <c r="B510" s="187"/>
      <c r="D510" s="187"/>
      <c r="E510" s="188"/>
      <c r="F510" s="188"/>
      <c r="G510" s="188"/>
    </row>
    <row r="511" spans="2:9" x14ac:dyDescent="0.25">
      <c r="B511" s="187"/>
      <c r="C511" s="187"/>
      <c r="D511" s="187"/>
      <c r="E511" s="188"/>
      <c r="F511" s="188"/>
      <c r="G511" s="188"/>
    </row>
    <row r="512" spans="2:9" x14ac:dyDescent="0.25">
      <c r="B512" s="187"/>
      <c r="C512" s="187"/>
      <c r="D512" s="187"/>
      <c r="E512" s="188"/>
      <c r="F512" s="188"/>
      <c r="G512" s="188"/>
      <c r="H512" s="187"/>
    </row>
    <row r="513" spans="2:8" x14ac:dyDescent="0.25">
      <c r="B513" s="187"/>
      <c r="C513" s="187"/>
      <c r="D513" s="187"/>
      <c r="E513" s="188"/>
      <c r="F513" s="188"/>
      <c r="G513" s="187"/>
      <c r="H513" s="187"/>
    </row>
    <row r="514" spans="2:8" x14ac:dyDescent="0.25">
      <c r="B514" s="187"/>
      <c r="C514" s="187"/>
      <c r="D514" s="187"/>
      <c r="E514" s="188"/>
      <c r="F514" s="188"/>
      <c r="G514" s="188"/>
      <c r="H514" s="187"/>
    </row>
    <row r="515" spans="2:8" x14ac:dyDescent="0.25">
      <c r="B515" s="187"/>
      <c r="C515" s="187"/>
      <c r="D515" s="187"/>
      <c r="E515" s="188"/>
      <c r="F515" s="188"/>
      <c r="G515" s="188"/>
      <c r="H515" s="187"/>
    </row>
    <row r="516" spans="2:8" x14ac:dyDescent="0.25">
      <c r="B516" s="187"/>
      <c r="C516" s="187"/>
      <c r="D516" s="187"/>
      <c r="E516" s="188"/>
      <c r="F516" s="188"/>
      <c r="G516" s="188"/>
      <c r="H516" s="187"/>
    </row>
    <row r="517" spans="2:8" x14ac:dyDescent="0.25">
      <c r="B517" s="187"/>
      <c r="C517" s="187"/>
      <c r="D517" s="187"/>
      <c r="E517" s="188"/>
      <c r="F517" s="188"/>
      <c r="G517" s="188"/>
      <c r="H517" s="187"/>
    </row>
    <row r="518" spans="2:8" x14ac:dyDescent="0.25">
      <c r="B518" s="187"/>
      <c r="C518" s="187"/>
      <c r="D518" s="187"/>
      <c r="E518" s="188"/>
      <c r="F518" s="188"/>
      <c r="G518" s="188"/>
      <c r="H518" s="187"/>
    </row>
    <row r="519" spans="2:8" x14ac:dyDescent="0.25">
      <c r="B519" s="187"/>
      <c r="C519" s="187"/>
      <c r="D519" s="187"/>
      <c r="E519" s="187"/>
      <c r="F519" s="187"/>
      <c r="G519" s="188"/>
      <c r="H519" s="187"/>
    </row>
    <row r="520" spans="2:8" x14ac:dyDescent="0.25">
      <c r="B520" s="187"/>
      <c r="C520" s="187"/>
      <c r="D520" s="187"/>
      <c r="E520" s="188"/>
      <c r="F520" s="188"/>
      <c r="G520" s="188"/>
      <c r="H520" s="187"/>
    </row>
    <row r="521" spans="2:8" x14ac:dyDescent="0.25">
      <c r="B521" s="187"/>
      <c r="C521" s="187"/>
      <c r="D521" s="187"/>
      <c r="E521" s="188"/>
      <c r="F521" s="188"/>
      <c r="G521" s="188"/>
      <c r="H521" s="187"/>
    </row>
    <row r="522" spans="2:8" x14ac:dyDescent="0.25">
      <c r="B522" s="187"/>
      <c r="C522" s="187"/>
      <c r="D522" s="187"/>
      <c r="E522" s="188"/>
      <c r="F522" s="188"/>
      <c r="G522" s="188"/>
      <c r="H522" s="187"/>
    </row>
    <row r="523" spans="2:8" x14ac:dyDescent="0.25">
      <c r="B523" s="187"/>
      <c r="C523" s="187"/>
      <c r="D523" s="187"/>
      <c r="E523" s="187"/>
      <c r="F523" s="187"/>
      <c r="G523" s="187"/>
      <c r="H523" s="187"/>
    </row>
    <row r="524" spans="2:8" x14ac:dyDescent="0.25">
      <c r="B524" s="187"/>
      <c r="C524" s="187"/>
      <c r="D524" s="187"/>
      <c r="E524" s="188"/>
      <c r="F524" s="188"/>
      <c r="G524" s="187"/>
      <c r="H524" s="187"/>
    </row>
    <row r="525" spans="2:8" x14ac:dyDescent="0.25">
      <c r="B525" s="187"/>
      <c r="C525" s="187"/>
      <c r="D525" s="187"/>
      <c r="E525" s="188"/>
      <c r="F525" s="188"/>
      <c r="G525" s="188"/>
      <c r="H525" s="187"/>
    </row>
    <row r="526" spans="2:8" x14ac:dyDescent="0.25">
      <c r="B526" s="187"/>
      <c r="C526" s="187"/>
      <c r="D526" s="187"/>
      <c r="E526" s="188"/>
      <c r="F526" s="188"/>
      <c r="G526" s="188"/>
      <c r="H526" s="187"/>
    </row>
    <row r="527" spans="2:8" x14ac:dyDescent="0.25">
      <c r="B527" s="187"/>
      <c r="C527" s="187"/>
      <c r="D527" s="187"/>
      <c r="E527" s="187"/>
      <c r="F527" s="187"/>
      <c r="G527" s="188"/>
      <c r="H527" s="187"/>
    </row>
    <row r="528" spans="2:8" x14ac:dyDescent="0.25">
      <c r="B528" s="187"/>
      <c r="C528" s="187"/>
      <c r="D528" s="187"/>
      <c r="E528" s="187"/>
      <c r="F528" s="187"/>
      <c r="G528" s="188"/>
      <c r="H528" s="187"/>
    </row>
    <row r="529" spans="2:8" x14ac:dyDescent="0.25">
      <c r="B529" s="187"/>
      <c r="C529" s="187"/>
      <c r="D529" s="187"/>
      <c r="E529" s="188"/>
      <c r="F529" s="188"/>
      <c r="G529" s="188"/>
      <c r="H529" s="187"/>
    </row>
    <row r="530" spans="2:8" x14ac:dyDescent="0.25">
      <c r="B530" s="187"/>
      <c r="C530" s="187"/>
      <c r="D530" s="187"/>
      <c r="E530" s="187"/>
      <c r="F530" s="187"/>
      <c r="G530" s="188"/>
      <c r="H530" s="187"/>
    </row>
    <row r="531" spans="2:8" x14ac:dyDescent="0.25">
      <c r="B531" s="187"/>
      <c r="C531" s="187"/>
      <c r="D531" s="187"/>
      <c r="E531" s="187"/>
      <c r="F531" s="187"/>
      <c r="G531" s="187"/>
      <c r="H531" s="187"/>
    </row>
    <row r="532" spans="2:8" x14ac:dyDescent="0.25">
      <c r="B532" s="187"/>
      <c r="C532" s="187"/>
      <c r="D532" s="187"/>
      <c r="E532" s="187"/>
      <c r="F532" s="187"/>
      <c r="G532" s="187"/>
      <c r="H532" s="187"/>
    </row>
    <row r="533" spans="2:8" x14ac:dyDescent="0.25">
      <c r="B533" s="187"/>
      <c r="C533" s="187"/>
      <c r="D533" s="187"/>
      <c r="E533" s="187"/>
      <c r="F533" s="187"/>
      <c r="G533" s="188"/>
      <c r="H533" s="187"/>
    </row>
    <row r="534" spans="2:8" x14ac:dyDescent="0.25">
      <c r="B534" s="187"/>
      <c r="C534" s="187"/>
      <c r="D534" s="187"/>
      <c r="E534" s="187"/>
      <c r="F534" s="187"/>
      <c r="G534" s="187"/>
      <c r="H534" s="187"/>
    </row>
    <row r="535" spans="2:8" x14ac:dyDescent="0.25">
      <c r="B535" s="187"/>
      <c r="C535" s="187"/>
      <c r="D535" s="187"/>
      <c r="E535" s="187"/>
      <c r="F535" s="187"/>
      <c r="G535" s="187"/>
      <c r="H535" s="187"/>
    </row>
    <row r="572" spans="1:8" x14ac:dyDescent="0.25">
      <c r="A572" s="189"/>
      <c r="B572" s="190"/>
      <c r="C572" s="190"/>
      <c r="D572" s="191"/>
      <c r="E572" s="192"/>
      <c r="F572" s="193"/>
      <c r="G572" s="191"/>
      <c r="H572" s="194"/>
    </row>
    <row r="573" spans="1:8" x14ac:dyDescent="0.25">
      <c r="A573" s="189"/>
      <c r="B573" s="190"/>
      <c r="C573" s="190"/>
      <c r="D573" s="191"/>
      <c r="E573" s="192"/>
      <c r="F573" s="193"/>
      <c r="G573" s="191"/>
      <c r="H573" s="194"/>
    </row>
    <row r="574" spans="1:8" x14ac:dyDescent="0.25">
      <c r="A574" s="189"/>
      <c r="B574" s="190"/>
      <c r="C574" s="190"/>
      <c r="D574" s="191"/>
      <c r="E574" s="192"/>
      <c r="F574" s="193"/>
      <c r="G574" s="191"/>
      <c r="H574" s="194"/>
    </row>
    <row r="575" spans="1:8" x14ac:dyDescent="0.25">
      <c r="A575" s="189"/>
      <c r="B575" s="190"/>
      <c r="C575" s="190"/>
      <c r="D575" s="191"/>
      <c r="E575" s="192"/>
      <c r="F575" s="193"/>
      <c r="G575" s="191"/>
      <c r="H575" s="194"/>
    </row>
    <row r="576" spans="1:8" x14ac:dyDescent="0.25">
      <c r="A576" s="189"/>
      <c r="B576" s="190"/>
      <c r="C576" s="190"/>
      <c r="D576" s="191"/>
      <c r="E576" s="192"/>
      <c r="F576" s="193"/>
      <c r="G576" s="191"/>
      <c r="H576" s="194"/>
    </row>
    <row r="577" spans="1:8" x14ac:dyDescent="0.25">
      <c r="A577" s="189"/>
      <c r="B577" s="190"/>
      <c r="C577" s="190"/>
      <c r="D577" s="191"/>
      <c r="E577" s="192"/>
      <c r="F577" s="193"/>
      <c r="G577" s="191"/>
      <c r="H577" s="194"/>
    </row>
    <row r="578" spans="1:8" x14ac:dyDescent="0.25">
      <c r="A578" s="189"/>
      <c r="B578" s="190"/>
      <c r="C578" s="190"/>
      <c r="D578" s="191"/>
      <c r="E578" s="192"/>
      <c r="F578" s="193"/>
      <c r="G578" s="191"/>
      <c r="H578" s="194"/>
    </row>
    <row r="579" spans="1:8" x14ac:dyDescent="0.25">
      <c r="A579" s="189"/>
      <c r="B579" s="190"/>
      <c r="C579" s="190"/>
      <c r="D579" s="191"/>
      <c r="E579" s="192"/>
      <c r="F579" s="193"/>
      <c r="G579" s="191"/>
      <c r="H579" s="194"/>
    </row>
    <row r="580" spans="1:8" x14ac:dyDescent="0.25">
      <c r="A580" s="189"/>
      <c r="B580" s="190"/>
      <c r="C580" s="190"/>
      <c r="D580" s="191"/>
      <c r="E580" s="192"/>
      <c r="F580" s="193"/>
      <c r="G580" s="191"/>
      <c r="H580" s="194"/>
    </row>
    <row r="581" spans="1:8" x14ac:dyDescent="0.25">
      <c r="A581" s="189"/>
      <c r="B581" s="190"/>
      <c r="C581" s="190"/>
      <c r="D581" s="191"/>
      <c r="E581" s="192"/>
      <c r="F581" s="193"/>
      <c r="G581" s="191"/>
      <c r="H581" s="194"/>
    </row>
    <row r="582" spans="1:8" x14ac:dyDescent="0.25">
      <c r="A582" s="189"/>
      <c r="B582" s="190"/>
      <c r="C582" s="190"/>
      <c r="D582" s="191"/>
      <c r="E582" s="192"/>
      <c r="F582" s="193"/>
      <c r="G582" s="191"/>
      <c r="H582" s="194"/>
    </row>
    <row r="583" spans="1:8" x14ac:dyDescent="0.25">
      <c r="A583" s="189"/>
      <c r="B583" s="190"/>
      <c r="C583" s="190"/>
      <c r="D583" s="191"/>
      <c r="E583" s="192"/>
      <c r="F583" s="193"/>
      <c r="G583" s="191"/>
      <c r="H583" s="194"/>
    </row>
    <row r="584" spans="1:8" x14ac:dyDescent="0.25">
      <c r="A584" s="189"/>
      <c r="B584" s="190"/>
      <c r="C584" s="190"/>
      <c r="D584" s="191"/>
      <c r="E584" s="192"/>
      <c r="F584" s="193"/>
      <c r="G584" s="191"/>
      <c r="H584" s="194"/>
    </row>
    <row r="585" spans="1:8" x14ac:dyDescent="0.25">
      <c r="A585" s="189"/>
      <c r="B585" s="190"/>
      <c r="C585" s="190"/>
      <c r="D585" s="191"/>
      <c r="E585" s="192"/>
      <c r="F585" s="193"/>
      <c r="G585" s="191"/>
      <c r="H585" s="194"/>
    </row>
    <row r="586" spans="1:8" x14ac:dyDescent="0.25">
      <c r="A586" s="189"/>
      <c r="B586" s="190"/>
      <c r="C586" s="190"/>
      <c r="D586" s="191"/>
      <c r="E586" s="192"/>
      <c r="F586" s="193"/>
      <c r="G586" s="191"/>
      <c r="H586" s="194"/>
    </row>
    <row r="587" spans="1:8" x14ac:dyDescent="0.25">
      <c r="A587" s="189"/>
      <c r="B587" s="190"/>
      <c r="C587" s="190"/>
      <c r="D587" s="191"/>
      <c r="E587" s="192"/>
      <c r="F587" s="193"/>
      <c r="G587" s="191"/>
      <c r="H587" s="194"/>
    </row>
    <row r="588" spans="1:8" x14ac:dyDescent="0.25">
      <c r="A588" s="189"/>
      <c r="B588" s="190"/>
      <c r="C588" s="190"/>
      <c r="D588" s="191"/>
      <c r="E588" s="192"/>
      <c r="F588" s="193"/>
      <c r="G588" s="191"/>
      <c r="H588" s="194"/>
    </row>
    <row r="589" spans="1:8" x14ac:dyDescent="0.25">
      <c r="A589" s="189"/>
      <c r="B589" s="190"/>
      <c r="C589" s="190"/>
      <c r="D589" s="191"/>
      <c r="E589" s="192"/>
      <c r="F589" s="193"/>
      <c r="G589" s="191"/>
      <c r="H589" s="194"/>
    </row>
    <row r="590" spans="1:8" x14ac:dyDescent="0.25">
      <c r="A590" s="189"/>
      <c r="B590" s="190"/>
      <c r="C590" s="190"/>
      <c r="D590" s="191"/>
      <c r="E590" s="192"/>
      <c r="F590" s="193"/>
      <c r="G590" s="191"/>
      <c r="H590" s="194"/>
    </row>
    <row r="591" spans="1:8" x14ac:dyDescent="0.25">
      <c r="A591" s="189"/>
      <c r="B591" s="190"/>
      <c r="C591" s="190"/>
      <c r="D591" s="191"/>
      <c r="E591" s="192"/>
      <c r="F591" s="193"/>
      <c r="G591" s="191"/>
      <c r="H591" s="194"/>
    </row>
    <row r="592" spans="1:8" x14ac:dyDescent="0.25">
      <c r="A592" s="189"/>
      <c r="B592" s="190"/>
      <c r="C592" s="190"/>
      <c r="D592" s="191"/>
      <c r="E592" s="192"/>
      <c r="F592" s="193"/>
      <c r="G592" s="191"/>
      <c r="H592" s="194"/>
    </row>
    <row r="593" spans="1:8" x14ac:dyDescent="0.25">
      <c r="A593" s="189"/>
      <c r="B593" s="190"/>
      <c r="C593" s="190"/>
      <c r="D593" s="191"/>
      <c r="E593" s="192"/>
      <c r="F593" s="193"/>
      <c r="G593" s="191"/>
      <c r="H593" s="194"/>
    </row>
    <row r="594" spans="1:8" x14ac:dyDescent="0.25">
      <c r="A594" s="189"/>
      <c r="B594" s="190"/>
      <c r="C594" s="190"/>
      <c r="D594" s="191"/>
      <c r="E594" s="192"/>
      <c r="F594" s="193"/>
      <c r="G594" s="191"/>
      <c r="H594" s="194"/>
    </row>
    <row r="595" spans="1:8" x14ac:dyDescent="0.25">
      <c r="A595" s="189"/>
      <c r="B595" s="190"/>
      <c r="C595" s="190"/>
      <c r="D595" s="191"/>
      <c r="E595" s="192"/>
      <c r="F595" s="193"/>
      <c r="G595" s="191"/>
      <c r="H595" s="194"/>
    </row>
    <row r="596" spans="1:8" x14ac:dyDescent="0.25">
      <c r="A596" s="189"/>
      <c r="B596" s="190"/>
      <c r="C596" s="190"/>
      <c r="D596" s="191"/>
      <c r="E596" s="192"/>
      <c r="F596" s="193"/>
      <c r="G596" s="191"/>
      <c r="H596" s="194"/>
    </row>
    <row r="597" spans="1:8" x14ac:dyDescent="0.25">
      <c r="A597" s="189"/>
      <c r="B597" s="190"/>
      <c r="C597" s="190"/>
      <c r="D597" s="191"/>
      <c r="E597" s="192"/>
      <c r="F597" s="193"/>
      <c r="G597" s="191"/>
      <c r="H597" s="194"/>
    </row>
    <row r="598" spans="1:8" x14ac:dyDescent="0.25">
      <c r="A598" s="189"/>
      <c r="B598" s="190"/>
      <c r="C598" s="190"/>
      <c r="D598" s="191"/>
      <c r="E598" s="192"/>
      <c r="F598" s="193"/>
      <c r="G598" s="191"/>
      <c r="H598" s="194"/>
    </row>
    <row r="599" spans="1:8" x14ac:dyDescent="0.25">
      <c r="A599" s="189"/>
      <c r="B599" s="190"/>
      <c r="C599" s="190"/>
      <c r="D599" s="191"/>
      <c r="E599" s="192"/>
      <c r="F599" s="193"/>
      <c r="G599" s="191"/>
      <c r="H599" s="194"/>
    </row>
    <row r="600" spans="1:8" x14ac:dyDescent="0.25">
      <c r="A600" s="189"/>
      <c r="B600" s="190"/>
      <c r="C600" s="190"/>
      <c r="D600" s="191"/>
      <c r="E600" s="192"/>
      <c r="F600" s="193"/>
      <c r="G600" s="191"/>
      <c r="H600" s="194"/>
    </row>
    <row r="601" spans="1:8" x14ac:dyDescent="0.25">
      <c r="A601" s="189"/>
      <c r="B601" s="190"/>
      <c r="C601" s="190"/>
      <c r="D601" s="191"/>
      <c r="E601" s="192"/>
      <c r="F601" s="193"/>
      <c r="G601" s="191"/>
      <c r="H601" s="194"/>
    </row>
    <row r="602" spans="1:8" x14ac:dyDescent="0.25">
      <c r="A602" s="189"/>
      <c r="B602" s="190"/>
      <c r="C602" s="190"/>
      <c r="D602" s="191"/>
      <c r="E602" s="192"/>
      <c r="F602" s="193"/>
      <c r="G602" s="191"/>
      <c r="H602" s="194"/>
    </row>
    <row r="603" spans="1:8" x14ac:dyDescent="0.25">
      <c r="A603" s="189"/>
      <c r="B603" s="190"/>
      <c r="C603" s="190"/>
      <c r="D603" s="191"/>
      <c r="E603" s="192"/>
      <c r="F603" s="193"/>
      <c r="G603" s="191"/>
      <c r="H603" s="194"/>
    </row>
    <row r="604" spans="1:8" x14ac:dyDescent="0.25">
      <c r="A604" s="189"/>
      <c r="B604" s="190"/>
      <c r="C604" s="190"/>
      <c r="D604" s="191"/>
      <c r="E604" s="192"/>
      <c r="F604" s="193"/>
      <c r="G604" s="191"/>
      <c r="H604" s="194"/>
    </row>
    <row r="605" spans="1:8" x14ac:dyDescent="0.25">
      <c r="A605" s="189"/>
      <c r="B605" s="190"/>
      <c r="C605" s="190"/>
      <c r="D605" s="191"/>
      <c r="E605" s="192"/>
      <c r="F605" s="193"/>
      <c r="G605" s="191"/>
      <c r="H605" s="194"/>
    </row>
    <row r="606" spans="1:8" x14ac:dyDescent="0.25">
      <c r="A606" s="189"/>
      <c r="B606" s="190"/>
      <c r="C606" s="190"/>
      <c r="D606" s="191"/>
      <c r="E606" s="192"/>
      <c r="F606" s="193"/>
      <c r="G606" s="191"/>
      <c r="H606" s="194"/>
    </row>
    <row r="607" spans="1:8" x14ac:dyDescent="0.25">
      <c r="A607" s="189"/>
      <c r="B607" s="190"/>
      <c r="C607" s="190"/>
      <c r="D607" s="191"/>
      <c r="E607" s="192"/>
      <c r="F607" s="193"/>
      <c r="G607" s="191"/>
      <c r="H607" s="194"/>
    </row>
    <row r="608" spans="1:8" x14ac:dyDescent="0.25">
      <c r="A608" s="189"/>
      <c r="B608" s="190"/>
      <c r="C608" s="190"/>
      <c r="D608" s="191"/>
      <c r="E608" s="192"/>
      <c r="F608" s="193"/>
      <c r="G608" s="191"/>
      <c r="H608" s="194"/>
    </row>
    <row r="609" spans="1:8" x14ac:dyDescent="0.25">
      <c r="A609" s="189"/>
      <c r="B609" s="190"/>
      <c r="C609" s="190"/>
      <c r="D609" s="191"/>
      <c r="E609" s="192"/>
      <c r="F609" s="193"/>
      <c r="G609" s="191"/>
      <c r="H609" s="194"/>
    </row>
    <row r="610" spans="1:8" x14ac:dyDescent="0.25">
      <c r="A610" s="189"/>
      <c r="B610" s="190"/>
      <c r="C610" s="190"/>
      <c r="D610" s="191"/>
      <c r="E610" s="192"/>
      <c r="F610" s="193"/>
      <c r="G610" s="191"/>
      <c r="H610" s="194"/>
    </row>
    <row r="611" spans="1:8" x14ac:dyDescent="0.25">
      <c r="A611" s="189"/>
      <c r="B611" s="190"/>
      <c r="C611" s="190"/>
      <c r="D611" s="191"/>
      <c r="E611" s="192"/>
      <c r="F611" s="193"/>
      <c r="G611" s="191"/>
      <c r="H611" s="194"/>
    </row>
    <row r="612" spans="1:8" x14ac:dyDescent="0.25">
      <c r="A612" s="189"/>
      <c r="B612" s="190"/>
      <c r="C612" s="190"/>
      <c r="D612" s="191"/>
      <c r="E612" s="192"/>
      <c r="F612" s="193"/>
      <c r="G612" s="191"/>
      <c r="H612" s="194"/>
    </row>
    <row r="613" spans="1:8" x14ac:dyDescent="0.25">
      <c r="A613" s="189"/>
      <c r="B613" s="190"/>
      <c r="C613" s="190"/>
      <c r="D613" s="191"/>
      <c r="E613" s="192"/>
      <c r="F613" s="193"/>
      <c r="G613" s="191"/>
      <c r="H613" s="194"/>
    </row>
    <row r="614" spans="1:8" x14ac:dyDescent="0.25">
      <c r="A614" s="189"/>
      <c r="B614" s="190"/>
      <c r="C614" s="190"/>
      <c r="D614" s="191"/>
      <c r="E614" s="192"/>
      <c r="F614" s="193"/>
      <c r="G614" s="191"/>
      <c r="H614" s="194"/>
    </row>
    <row r="615" spans="1:8" x14ac:dyDescent="0.25">
      <c r="A615" s="189"/>
      <c r="B615" s="190"/>
      <c r="C615" s="190"/>
      <c r="D615" s="191"/>
      <c r="E615" s="192"/>
      <c r="F615" s="193"/>
      <c r="G615" s="191"/>
      <c r="H615" s="194"/>
    </row>
    <row r="616" spans="1:8" x14ac:dyDescent="0.25">
      <c r="A616" s="189"/>
      <c r="B616" s="190"/>
      <c r="C616" s="190"/>
      <c r="D616" s="191"/>
      <c r="E616" s="192"/>
      <c r="F616" s="193"/>
      <c r="G616" s="191"/>
      <c r="H616" s="194"/>
    </row>
    <row r="617" spans="1:8" x14ac:dyDescent="0.25">
      <c r="A617" s="189"/>
      <c r="B617" s="190"/>
      <c r="C617" s="190"/>
      <c r="D617" s="191"/>
      <c r="E617" s="192"/>
      <c r="F617" s="193"/>
      <c r="G617" s="191"/>
      <c r="H617" s="194"/>
    </row>
    <row r="618" spans="1:8" x14ac:dyDescent="0.25">
      <c r="A618" s="189"/>
      <c r="B618" s="190"/>
      <c r="C618" s="190"/>
      <c r="D618" s="191"/>
      <c r="E618" s="192"/>
      <c r="F618" s="193"/>
      <c r="G618" s="191"/>
      <c r="H618" s="194"/>
    </row>
    <row r="619" spans="1:8" x14ac:dyDescent="0.25">
      <c r="A619" s="189"/>
      <c r="B619" s="190"/>
      <c r="C619" s="190"/>
      <c r="D619" s="191"/>
      <c r="E619" s="192"/>
      <c r="F619" s="193"/>
      <c r="G619" s="191"/>
      <c r="H619" s="194"/>
    </row>
    <row r="620" spans="1:8" x14ac:dyDescent="0.25">
      <c r="A620" s="189"/>
      <c r="B620" s="190"/>
      <c r="C620" s="190"/>
      <c r="D620" s="191"/>
      <c r="E620" s="192"/>
      <c r="F620" s="193"/>
      <c r="G620" s="191"/>
      <c r="H620" s="194"/>
    </row>
    <row r="621" spans="1:8" x14ac:dyDescent="0.25">
      <c r="A621" s="189"/>
      <c r="B621" s="190"/>
      <c r="C621" s="190"/>
      <c r="D621" s="191"/>
      <c r="E621" s="192"/>
      <c r="F621" s="193"/>
      <c r="G621" s="191"/>
      <c r="H621" s="194"/>
    </row>
    <row r="622" spans="1:8" x14ac:dyDescent="0.25">
      <c r="A622" s="189"/>
      <c r="B622" s="190"/>
      <c r="C622" s="190"/>
      <c r="D622" s="191"/>
      <c r="E622" s="192"/>
      <c r="F622" s="193"/>
      <c r="G622" s="191"/>
      <c r="H622" s="194"/>
    </row>
    <row r="623" spans="1:8" x14ac:dyDescent="0.25">
      <c r="A623" s="189"/>
      <c r="B623" s="190"/>
      <c r="C623" s="190"/>
      <c r="D623" s="191"/>
      <c r="E623" s="192"/>
      <c r="F623" s="193"/>
      <c r="G623" s="191"/>
      <c r="H623" s="194"/>
    </row>
    <row r="624" spans="1:8" x14ac:dyDescent="0.25">
      <c r="A624" s="189"/>
      <c r="B624" s="190"/>
      <c r="C624" s="190"/>
      <c r="D624" s="191"/>
      <c r="E624" s="192"/>
      <c r="F624" s="193"/>
      <c r="G624" s="191"/>
      <c r="H624" s="194"/>
    </row>
    <row r="625" spans="1:8" x14ac:dyDescent="0.25">
      <c r="A625" s="189"/>
      <c r="B625" s="190"/>
      <c r="C625" s="190"/>
      <c r="D625" s="191"/>
      <c r="E625" s="192"/>
      <c r="F625" s="193"/>
      <c r="G625" s="191"/>
      <c r="H625" s="194"/>
    </row>
    <row r="626" spans="1:8" x14ac:dyDescent="0.25">
      <c r="A626" s="189"/>
      <c r="B626" s="190"/>
      <c r="C626" s="190"/>
      <c r="D626" s="191"/>
      <c r="E626" s="192"/>
      <c r="F626" s="193"/>
      <c r="G626" s="191"/>
      <c r="H626" s="194"/>
    </row>
    <row r="627" spans="1:8" x14ac:dyDescent="0.25">
      <c r="A627" s="189"/>
      <c r="B627" s="190"/>
      <c r="C627" s="190"/>
      <c r="D627" s="191"/>
      <c r="E627" s="192"/>
      <c r="F627" s="193"/>
      <c r="G627" s="191"/>
      <c r="H627" s="194"/>
    </row>
    <row r="628" spans="1:8" x14ac:dyDescent="0.25">
      <c r="A628" s="189"/>
      <c r="B628" s="190"/>
      <c r="C628" s="190"/>
      <c r="D628" s="191"/>
      <c r="E628" s="192"/>
      <c r="F628" s="193"/>
      <c r="G628" s="191"/>
      <c r="H628" s="194"/>
    </row>
    <row r="629" spans="1:8" x14ac:dyDescent="0.25">
      <c r="A629" s="189"/>
      <c r="B629" s="190"/>
      <c r="C629" s="190"/>
      <c r="D629" s="191"/>
      <c r="E629" s="192"/>
      <c r="F629" s="193"/>
      <c r="G629" s="191"/>
      <c r="H629" s="194"/>
    </row>
    <row r="630" spans="1:8" x14ac:dyDescent="0.25">
      <c r="A630" s="189"/>
      <c r="B630" s="190"/>
      <c r="C630" s="190"/>
      <c r="D630" s="191"/>
      <c r="E630" s="192"/>
      <c r="F630" s="193"/>
      <c r="G630" s="191"/>
      <c r="H630" s="194"/>
    </row>
    <row r="631" spans="1:8" x14ac:dyDescent="0.25">
      <c r="A631" s="189"/>
      <c r="B631" s="190"/>
      <c r="C631" s="190"/>
      <c r="D631" s="191"/>
      <c r="E631" s="192"/>
      <c r="F631" s="193"/>
      <c r="G631" s="191"/>
      <c r="H631" s="194"/>
    </row>
    <row r="632" spans="1:8" x14ac:dyDescent="0.25">
      <c r="A632" s="189"/>
      <c r="B632" s="190"/>
      <c r="C632" s="190"/>
      <c r="D632" s="191"/>
      <c r="E632" s="192"/>
      <c r="F632" s="193"/>
      <c r="G632" s="191"/>
      <c r="H632" s="194"/>
    </row>
    <row r="633" spans="1:8" x14ac:dyDescent="0.25">
      <c r="A633" s="189"/>
      <c r="B633" s="190"/>
      <c r="C633" s="190"/>
      <c r="D633" s="191"/>
      <c r="E633" s="192"/>
      <c r="F633" s="193"/>
      <c r="G633" s="191"/>
      <c r="H633" s="194"/>
    </row>
    <row r="634" spans="1:8" x14ac:dyDescent="0.25">
      <c r="A634" s="189"/>
      <c r="B634" s="190"/>
      <c r="C634" s="190"/>
      <c r="D634" s="191"/>
      <c r="E634" s="192"/>
      <c r="F634" s="193"/>
      <c r="G634" s="191"/>
      <c r="H634" s="194"/>
    </row>
    <row r="635" spans="1:8" x14ac:dyDescent="0.25">
      <c r="A635" s="189"/>
      <c r="B635" s="190"/>
      <c r="C635" s="190"/>
      <c r="D635" s="191"/>
      <c r="E635" s="192"/>
      <c r="F635" s="193"/>
      <c r="G635" s="191"/>
      <c r="H635" s="194"/>
    </row>
    <row r="636" spans="1:8" x14ac:dyDescent="0.25">
      <c r="A636" s="189"/>
      <c r="B636" s="190"/>
      <c r="C636" s="190"/>
      <c r="D636" s="191"/>
      <c r="E636" s="192"/>
      <c r="F636" s="193"/>
      <c r="G636" s="191"/>
      <c r="H636" s="194"/>
    </row>
    <row r="637" spans="1:8" x14ac:dyDescent="0.25">
      <c r="A637" s="189"/>
      <c r="B637" s="190"/>
      <c r="C637" s="190"/>
      <c r="D637" s="191"/>
      <c r="E637" s="192"/>
      <c r="F637" s="193"/>
      <c r="G637" s="191"/>
      <c r="H637" s="194"/>
    </row>
    <row r="638" spans="1:8" x14ac:dyDescent="0.25">
      <c r="A638" s="189"/>
      <c r="B638" s="190"/>
      <c r="C638" s="190"/>
      <c r="D638" s="191"/>
      <c r="E638" s="192"/>
      <c r="F638" s="193"/>
      <c r="G638" s="191"/>
      <c r="H638" s="194"/>
    </row>
    <row r="639" spans="1:8" x14ac:dyDescent="0.25">
      <c r="A639" s="189"/>
      <c r="B639" s="190"/>
      <c r="C639" s="190"/>
      <c r="D639" s="191"/>
      <c r="E639" s="192"/>
      <c r="F639" s="193"/>
      <c r="G639" s="191"/>
      <c r="H639" s="194"/>
    </row>
    <row r="640" spans="1:8" x14ac:dyDescent="0.25">
      <c r="A640" s="189"/>
      <c r="B640" s="190"/>
      <c r="C640" s="190"/>
      <c r="D640" s="191"/>
      <c r="E640" s="192"/>
      <c r="F640" s="193"/>
      <c r="G640" s="191"/>
      <c r="H640" s="194"/>
    </row>
    <row r="641" spans="1:8" x14ac:dyDescent="0.25">
      <c r="A641" s="189"/>
      <c r="B641" s="190"/>
      <c r="C641" s="190"/>
      <c r="D641" s="191"/>
      <c r="E641" s="192"/>
      <c r="F641" s="193"/>
      <c r="G641" s="191"/>
      <c r="H641" s="194"/>
    </row>
    <row r="642" spans="1:8" x14ac:dyDescent="0.25">
      <c r="A642" s="189"/>
      <c r="B642" s="190"/>
      <c r="C642" s="190"/>
      <c r="D642" s="191"/>
      <c r="E642" s="192"/>
      <c r="F642" s="193"/>
      <c r="G642" s="191"/>
      <c r="H642" s="194"/>
    </row>
    <row r="643" spans="1:8" x14ac:dyDescent="0.25">
      <c r="A643" s="189"/>
      <c r="B643" s="190"/>
      <c r="C643" s="190"/>
      <c r="D643" s="191"/>
      <c r="E643" s="192"/>
      <c r="F643" s="193"/>
      <c r="G643" s="191"/>
      <c r="H643" s="194"/>
    </row>
    <row r="644" spans="1:8" x14ac:dyDescent="0.25">
      <c r="A644" s="189"/>
      <c r="B644" s="190"/>
      <c r="C644" s="190"/>
      <c r="D644" s="191"/>
      <c r="E644" s="192"/>
      <c r="F644" s="193"/>
      <c r="G644" s="191"/>
      <c r="H644" s="194"/>
    </row>
    <row r="645" spans="1:8" x14ac:dyDescent="0.25">
      <c r="A645" s="189"/>
      <c r="B645" s="190"/>
      <c r="C645" s="190"/>
      <c r="D645" s="191"/>
      <c r="E645" s="192"/>
      <c r="F645" s="193"/>
      <c r="G645" s="191"/>
      <c r="H645" s="194"/>
    </row>
    <row r="646" spans="1:8" x14ac:dyDescent="0.25">
      <c r="A646" s="189"/>
      <c r="B646" s="190"/>
      <c r="C646" s="190"/>
      <c r="D646" s="191"/>
      <c r="E646" s="192"/>
      <c r="F646" s="193"/>
      <c r="G646" s="191"/>
      <c r="H646" s="194"/>
    </row>
    <row r="647" spans="1:8" x14ac:dyDescent="0.25">
      <c r="A647" s="189"/>
      <c r="B647" s="190"/>
      <c r="C647" s="190"/>
      <c r="D647" s="191"/>
      <c r="E647" s="192"/>
      <c r="F647" s="193"/>
      <c r="G647" s="191"/>
      <c r="H647" s="194"/>
    </row>
    <row r="648" spans="1:8" x14ac:dyDescent="0.25">
      <c r="A648" s="189"/>
      <c r="B648" s="190"/>
      <c r="C648" s="190"/>
      <c r="D648" s="191"/>
      <c r="E648" s="192"/>
      <c r="F648" s="193"/>
      <c r="G648" s="191"/>
      <c r="H648" s="194"/>
    </row>
    <row r="649" spans="1:8" x14ac:dyDescent="0.25">
      <c r="A649" s="189"/>
      <c r="B649" s="190"/>
      <c r="C649" s="190"/>
      <c r="D649" s="191"/>
      <c r="E649" s="192"/>
      <c r="F649" s="193"/>
      <c r="G649" s="191"/>
      <c r="H649" s="194"/>
    </row>
    <row r="650" spans="1:8" x14ac:dyDescent="0.25">
      <c r="A650" s="189"/>
      <c r="B650" s="190"/>
      <c r="C650" s="190"/>
      <c r="D650" s="191"/>
      <c r="E650" s="192"/>
      <c r="F650" s="193"/>
      <c r="G650" s="191"/>
      <c r="H650" s="194"/>
    </row>
    <row r="651" spans="1:8" x14ac:dyDescent="0.25">
      <c r="A651" s="189"/>
      <c r="B651" s="190"/>
      <c r="C651" s="190"/>
      <c r="D651" s="191"/>
      <c r="E651" s="192"/>
      <c r="F651" s="193"/>
      <c r="G651" s="191"/>
      <c r="H651" s="194"/>
    </row>
    <row r="652" spans="1:8" x14ac:dyDescent="0.25">
      <c r="A652" s="189"/>
      <c r="B652" s="190"/>
      <c r="C652" s="190"/>
      <c r="D652" s="191"/>
      <c r="E652" s="192"/>
      <c r="F652" s="193"/>
      <c r="G652" s="191"/>
      <c r="H652" s="194"/>
    </row>
    <row r="653" spans="1:8" x14ac:dyDescent="0.25">
      <c r="A653" s="189"/>
      <c r="B653" s="190"/>
      <c r="C653" s="190"/>
      <c r="D653" s="191"/>
      <c r="E653" s="192"/>
      <c r="F653" s="193"/>
      <c r="G653" s="191"/>
      <c r="H653" s="194"/>
    </row>
    <row r="654" spans="1:8" x14ac:dyDescent="0.25">
      <c r="A654" s="189"/>
      <c r="B654" s="190"/>
      <c r="C654" s="190"/>
      <c r="D654" s="191"/>
      <c r="E654" s="192"/>
      <c r="F654" s="193"/>
      <c r="G654" s="191"/>
      <c r="H654" s="194"/>
    </row>
    <row r="655" spans="1:8" x14ac:dyDescent="0.25">
      <c r="A655" s="189"/>
      <c r="B655" s="190"/>
      <c r="C655" s="190"/>
      <c r="D655" s="191"/>
      <c r="E655" s="192"/>
      <c r="F655" s="193"/>
      <c r="G655" s="191"/>
      <c r="H655" s="194"/>
    </row>
    <row r="656" spans="1:8" x14ac:dyDescent="0.25">
      <c r="A656" s="189"/>
      <c r="B656" s="190"/>
      <c r="C656" s="190"/>
      <c r="D656" s="191"/>
      <c r="E656" s="192"/>
      <c r="F656" s="193"/>
      <c r="G656" s="191"/>
      <c r="H656" s="194"/>
    </row>
    <row r="657" spans="1:8" x14ac:dyDescent="0.25">
      <c r="A657" s="189"/>
      <c r="B657" s="190"/>
      <c r="C657" s="190"/>
      <c r="D657" s="191"/>
      <c r="E657" s="192"/>
      <c r="F657" s="193"/>
      <c r="G657" s="191"/>
      <c r="H657" s="194"/>
    </row>
    <row r="658" spans="1:8" x14ac:dyDescent="0.25">
      <c r="A658" s="189"/>
      <c r="B658" s="190"/>
      <c r="C658" s="190"/>
      <c r="D658" s="191"/>
      <c r="E658" s="192"/>
      <c r="F658" s="193"/>
      <c r="G658" s="191"/>
      <c r="H658" s="194"/>
    </row>
    <row r="659" spans="1:8" x14ac:dyDescent="0.25">
      <c r="A659" s="189"/>
      <c r="B659" s="190"/>
      <c r="C659" s="190"/>
      <c r="D659" s="191"/>
      <c r="E659" s="192"/>
      <c r="F659" s="193"/>
      <c r="G659" s="191"/>
      <c r="H659" s="194"/>
    </row>
    <row r="660" spans="1:8" x14ac:dyDescent="0.25">
      <c r="A660" s="189"/>
      <c r="B660" s="190"/>
      <c r="C660" s="190"/>
      <c r="D660" s="191"/>
      <c r="E660" s="192"/>
      <c r="F660" s="193"/>
      <c r="G660" s="191"/>
      <c r="H660" s="194"/>
    </row>
    <row r="661" spans="1:8" x14ac:dyDescent="0.25">
      <c r="A661" s="189"/>
      <c r="B661" s="190"/>
      <c r="C661" s="190"/>
      <c r="D661" s="191"/>
      <c r="E661" s="192"/>
      <c r="F661" s="193"/>
      <c r="G661" s="191"/>
      <c r="H661" s="194"/>
    </row>
    <row r="662" spans="1:8" x14ac:dyDescent="0.25">
      <c r="A662" s="189"/>
      <c r="B662" s="190"/>
      <c r="C662" s="190"/>
      <c r="D662" s="191"/>
      <c r="E662" s="192"/>
      <c r="F662" s="193"/>
      <c r="G662" s="191"/>
      <c r="H662" s="194"/>
    </row>
    <row r="663" spans="1:8" x14ac:dyDescent="0.25">
      <c r="A663" s="189"/>
      <c r="B663" s="190"/>
      <c r="C663" s="190"/>
      <c r="D663" s="191"/>
      <c r="E663" s="192"/>
      <c r="F663" s="193"/>
      <c r="G663" s="191"/>
      <c r="H663" s="194"/>
    </row>
    <row r="664" spans="1:8" x14ac:dyDescent="0.25">
      <c r="A664" s="189"/>
      <c r="B664" s="190"/>
      <c r="C664" s="190"/>
      <c r="D664" s="191"/>
      <c r="E664" s="192"/>
      <c r="F664" s="193"/>
      <c r="G664" s="191"/>
      <c r="H664" s="194"/>
    </row>
    <row r="665" spans="1:8" x14ac:dyDescent="0.25">
      <c r="A665" s="189"/>
      <c r="B665" s="190"/>
      <c r="C665" s="190"/>
      <c r="D665" s="191"/>
      <c r="E665" s="192"/>
      <c r="F665" s="193"/>
      <c r="G665" s="191"/>
      <c r="H665" s="194"/>
    </row>
    <row r="666" spans="1:8" x14ac:dyDescent="0.25">
      <c r="A666" s="189"/>
      <c r="B666" s="190"/>
      <c r="C666" s="190"/>
      <c r="D666" s="191"/>
      <c r="E666" s="192"/>
      <c r="F666" s="193"/>
      <c r="G666" s="191"/>
      <c r="H666" s="194"/>
    </row>
    <row r="667" spans="1:8" x14ac:dyDescent="0.25">
      <c r="A667" s="189"/>
      <c r="B667" s="190"/>
      <c r="C667" s="190"/>
      <c r="D667" s="191"/>
      <c r="E667" s="192"/>
      <c r="F667" s="193"/>
      <c r="G667" s="191"/>
      <c r="H667" s="194"/>
    </row>
    <row r="668" spans="1:8" x14ac:dyDescent="0.25">
      <c r="A668" s="189"/>
      <c r="B668" s="190"/>
      <c r="C668" s="190"/>
      <c r="D668" s="191"/>
      <c r="E668" s="192"/>
      <c r="F668" s="193"/>
      <c r="G668" s="191"/>
      <c r="H668" s="194"/>
    </row>
    <row r="669" spans="1:8" x14ac:dyDescent="0.25">
      <c r="A669" s="189"/>
      <c r="B669" s="190"/>
      <c r="C669" s="190"/>
      <c r="D669" s="191"/>
      <c r="E669" s="192"/>
      <c r="F669" s="193"/>
      <c r="G669" s="191"/>
      <c r="H669" s="194"/>
    </row>
    <row r="670" spans="1:8" x14ac:dyDescent="0.25">
      <c r="A670" s="189"/>
      <c r="B670" s="190"/>
      <c r="C670" s="190"/>
      <c r="D670" s="191"/>
      <c r="E670" s="192"/>
      <c r="F670" s="193"/>
      <c r="G670" s="191"/>
      <c r="H670" s="194"/>
    </row>
    <row r="671" spans="1:8" x14ac:dyDescent="0.25">
      <c r="A671" s="189"/>
      <c r="B671" s="190"/>
      <c r="C671" s="190"/>
      <c r="D671" s="191"/>
      <c r="E671" s="192"/>
      <c r="F671" s="193"/>
      <c r="G671" s="191"/>
      <c r="H671" s="194"/>
    </row>
    <row r="672" spans="1:8" x14ac:dyDescent="0.25">
      <c r="A672" s="189"/>
      <c r="B672" s="190"/>
      <c r="C672" s="190"/>
      <c r="D672" s="191"/>
      <c r="E672" s="192"/>
      <c r="F672" s="193"/>
      <c r="G672" s="191"/>
      <c r="H672" s="194"/>
    </row>
    <row r="673" spans="1:8" x14ac:dyDescent="0.25">
      <c r="A673" s="189"/>
      <c r="B673" s="190"/>
      <c r="C673" s="190"/>
      <c r="D673" s="191"/>
      <c r="E673" s="192"/>
      <c r="F673" s="193"/>
      <c r="G673" s="191"/>
      <c r="H673" s="194"/>
    </row>
    <row r="674" spans="1:8" x14ac:dyDescent="0.25">
      <c r="A674" s="189"/>
      <c r="B674" s="190"/>
      <c r="C674" s="190"/>
      <c r="D674" s="191"/>
      <c r="E674" s="192"/>
      <c r="F674" s="193"/>
      <c r="G674" s="191"/>
      <c r="H674" s="194"/>
    </row>
    <row r="675" spans="1:8" x14ac:dyDescent="0.25">
      <c r="A675" s="189"/>
      <c r="B675" s="190"/>
      <c r="C675" s="190"/>
      <c r="D675" s="191"/>
      <c r="E675" s="192"/>
      <c r="F675" s="193"/>
      <c r="G675" s="191"/>
      <c r="H675" s="194"/>
    </row>
    <row r="676" spans="1:8" x14ac:dyDescent="0.25">
      <c r="A676" s="189"/>
      <c r="B676" s="190"/>
      <c r="C676" s="190"/>
      <c r="D676" s="191"/>
      <c r="E676" s="192"/>
      <c r="F676" s="193"/>
      <c r="G676" s="191"/>
      <c r="H676" s="194"/>
    </row>
    <row r="677" spans="1:8" x14ac:dyDescent="0.25">
      <c r="A677" s="189"/>
      <c r="B677" s="190"/>
      <c r="C677" s="190"/>
      <c r="D677" s="191"/>
      <c r="E677" s="192"/>
      <c r="F677" s="193"/>
      <c r="G677" s="191"/>
      <c r="H677" s="194"/>
    </row>
    <row r="678" spans="1:8" x14ac:dyDescent="0.25">
      <c r="A678" s="189"/>
      <c r="B678" s="190"/>
      <c r="C678" s="190"/>
      <c r="D678" s="191"/>
      <c r="E678" s="192"/>
      <c r="F678" s="193"/>
      <c r="G678" s="191"/>
      <c r="H678" s="194"/>
    </row>
    <row r="679" spans="1:8" x14ac:dyDescent="0.25">
      <c r="A679" s="189"/>
      <c r="B679" s="190"/>
      <c r="C679" s="190"/>
      <c r="D679" s="191"/>
      <c r="E679" s="192"/>
      <c r="F679" s="193"/>
      <c r="G679" s="191"/>
      <c r="H679" s="194"/>
    </row>
    <row r="680" spans="1:8" x14ac:dyDescent="0.25">
      <c r="A680" s="189"/>
      <c r="B680" s="190"/>
      <c r="C680" s="190"/>
      <c r="D680" s="191"/>
      <c r="E680" s="192"/>
      <c r="F680" s="193"/>
      <c r="G680" s="191"/>
      <c r="H680" s="194"/>
    </row>
    <row r="681" spans="1:8" x14ac:dyDescent="0.25">
      <c r="A681" s="189"/>
      <c r="B681" s="190"/>
      <c r="C681" s="190"/>
      <c r="D681" s="191"/>
      <c r="E681" s="192"/>
      <c r="F681" s="193"/>
      <c r="G681" s="191"/>
      <c r="H681" s="194"/>
    </row>
    <row r="682" spans="1:8" x14ac:dyDescent="0.25">
      <c r="A682" s="189"/>
      <c r="B682" s="190"/>
      <c r="C682" s="190"/>
      <c r="D682" s="191"/>
      <c r="E682" s="192"/>
      <c r="F682" s="193"/>
      <c r="G682" s="191"/>
      <c r="H682" s="194"/>
    </row>
    <row r="683" spans="1:8" x14ac:dyDescent="0.25">
      <c r="A683" s="189"/>
      <c r="B683" s="190"/>
      <c r="C683" s="190"/>
      <c r="D683" s="191"/>
      <c r="E683" s="192"/>
      <c r="F683" s="193"/>
      <c r="G683" s="191"/>
      <c r="H683" s="194"/>
    </row>
    <row r="684" spans="1:8" x14ac:dyDescent="0.25">
      <c r="A684" s="189"/>
      <c r="B684" s="190"/>
      <c r="C684" s="190"/>
      <c r="D684" s="191"/>
      <c r="E684" s="192"/>
      <c r="F684" s="193"/>
      <c r="G684" s="191"/>
      <c r="H684" s="194"/>
    </row>
    <row r="685" spans="1:8" x14ac:dyDescent="0.25">
      <c r="A685" s="189"/>
      <c r="B685" s="190"/>
      <c r="C685" s="190"/>
      <c r="D685" s="191"/>
      <c r="E685" s="192"/>
      <c r="F685" s="193"/>
      <c r="G685" s="191"/>
      <c r="H685" s="194"/>
    </row>
    <row r="686" spans="1:8" x14ac:dyDescent="0.25">
      <c r="A686" s="189"/>
      <c r="B686" s="190"/>
      <c r="C686" s="190"/>
      <c r="D686" s="191"/>
      <c r="E686" s="192"/>
      <c r="F686" s="193"/>
      <c r="G686" s="191"/>
      <c r="H686" s="194"/>
    </row>
    <row r="687" spans="1:8" x14ac:dyDescent="0.25">
      <c r="A687" s="189"/>
      <c r="B687" s="190"/>
      <c r="C687" s="190"/>
      <c r="D687" s="191"/>
      <c r="E687" s="192"/>
      <c r="F687" s="193"/>
      <c r="G687" s="191"/>
      <c r="H687" s="194"/>
    </row>
    <row r="688" spans="1:8" x14ac:dyDescent="0.25">
      <c r="A688" s="189"/>
      <c r="B688" s="190"/>
      <c r="C688" s="190"/>
      <c r="D688" s="191"/>
      <c r="E688" s="192"/>
      <c r="F688" s="193"/>
      <c r="G688" s="191"/>
      <c r="H688" s="194"/>
    </row>
    <row r="689" spans="1:8" x14ac:dyDescent="0.25">
      <c r="A689" s="189"/>
      <c r="B689" s="190"/>
      <c r="C689" s="190"/>
      <c r="D689" s="191"/>
      <c r="E689" s="192"/>
      <c r="F689" s="193"/>
      <c r="G689" s="191"/>
      <c r="H689" s="194"/>
    </row>
    <row r="690" spans="1:8" x14ac:dyDescent="0.25">
      <c r="A690" s="189"/>
      <c r="B690" s="190"/>
      <c r="C690" s="190"/>
      <c r="D690" s="191"/>
      <c r="E690" s="192"/>
      <c r="F690" s="193"/>
      <c r="G690" s="191"/>
      <c r="H690" s="194"/>
    </row>
    <row r="691" spans="1:8" x14ac:dyDescent="0.25">
      <c r="A691" s="189"/>
      <c r="B691" s="190"/>
      <c r="C691" s="190"/>
      <c r="D691" s="191"/>
      <c r="E691" s="192"/>
      <c r="F691" s="193"/>
      <c r="G691" s="191"/>
      <c r="H691" s="194"/>
    </row>
    <row r="692" spans="1:8" x14ac:dyDescent="0.25">
      <c r="A692" s="189"/>
      <c r="B692" s="190"/>
      <c r="C692" s="190"/>
      <c r="D692" s="191"/>
      <c r="E692" s="192"/>
      <c r="F692" s="193"/>
      <c r="G692" s="191"/>
      <c r="H692" s="194"/>
    </row>
    <row r="693" spans="1:8" x14ac:dyDescent="0.25">
      <c r="A693" s="189"/>
      <c r="B693" s="190"/>
      <c r="C693" s="190"/>
      <c r="D693" s="191"/>
      <c r="E693" s="192"/>
      <c r="F693" s="193"/>
      <c r="G693" s="191"/>
      <c r="H693" s="194"/>
    </row>
    <row r="694" spans="1:8" x14ac:dyDescent="0.25">
      <c r="A694" s="189"/>
      <c r="B694" s="190"/>
      <c r="C694" s="190"/>
      <c r="D694" s="191"/>
      <c r="E694" s="192"/>
      <c r="F694" s="193"/>
      <c r="G694" s="191"/>
      <c r="H694" s="194"/>
    </row>
    <row r="695" spans="1:8" x14ac:dyDescent="0.25">
      <c r="A695" s="189"/>
      <c r="B695" s="190"/>
      <c r="C695" s="190"/>
      <c r="D695" s="191"/>
      <c r="E695" s="192"/>
      <c r="F695" s="193"/>
      <c r="G695" s="191"/>
      <c r="H695" s="194"/>
    </row>
    <row r="696" spans="1:8" x14ac:dyDescent="0.25">
      <c r="A696" s="189"/>
      <c r="B696" s="190"/>
      <c r="C696" s="190"/>
      <c r="D696" s="191"/>
      <c r="E696" s="192"/>
      <c r="F696" s="193"/>
      <c r="G696" s="191"/>
      <c r="H696" s="194"/>
    </row>
    <row r="697" spans="1:8" x14ac:dyDescent="0.25">
      <c r="A697" s="189"/>
      <c r="B697" s="190"/>
      <c r="C697" s="190"/>
      <c r="D697" s="191"/>
      <c r="E697" s="192"/>
      <c r="F697" s="193"/>
      <c r="G697" s="191"/>
      <c r="H697" s="194"/>
    </row>
    <row r="698" spans="1:8" x14ac:dyDescent="0.25">
      <c r="A698" s="189"/>
      <c r="B698" s="190"/>
      <c r="C698" s="190"/>
      <c r="D698" s="191"/>
      <c r="E698" s="192"/>
      <c r="F698" s="193"/>
      <c r="G698" s="191"/>
      <c r="H698" s="194"/>
    </row>
    <row r="699" spans="1:8" x14ac:dyDescent="0.25">
      <c r="A699" s="189"/>
      <c r="B699" s="190"/>
      <c r="C699" s="190"/>
      <c r="D699" s="191"/>
      <c r="E699" s="192"/>
      <c r="F699" s="193"/>
      <c r="G699" s="191"/>
      <c r="H699" s="194"/>
    </row>
    <row r="700" spans="1:8" x14ac:dyDescent="0.25">
      <c r="A700" s="189"/>
      <c r="B700" s="190"/>
      <c r="C700" s="190"/>
      <c r="D700" s="191"/>
      <c r="E700" s="192"/>
      <c r="F700" s="193"/>
      <c r="G700" s="191"/>
      <c r="H700" s="194"/>
    </row>
    <row r="701" spans="1:8" x14ac:dyDescent="0.25">
      <c r="A701" s="189"/>
      <c r="B701" s="190"/>
      <c r="C701" s="190"/>
      <c r="D701" s="191"/>
      <c r="E701" s="192"/>
      <c r="F701" s="193"/>
      <c r="G701" s="191"/>
      <c r="H701" s="194"/>
    </row>
    <row r="702" spans="1:8" x14ac:dyDescent="0.25">
      <c r="A702" s="189"/>
      <c r="B702" s="190"/>
      <c r="C702" s="190"/>
      <c r="D702" s="191"/>
      <c r="E702" s="192"/>
      <c r="F702" s="193"/>
      <c r="G702" s="191"/>
      <c r="H702" s="194"/>
    </row>
    <row r="703" spans="1:8" x14ac:dyDescent="0.25">
      <c r="A703" s="189"/>
      <c r="B703" s="190"/>
      <c r="C703" s="190"/>
      <c r="D703" s="191"/>
      <c r="E703" s="192"/>
      <c r="F703" s="193"/>
      <c r="G703" s="191"/>
      <c r="H703" s="194"/>
    </row>
    <row r="704" spans="1:8" x14ac:dyDescent="0.25">
      <c r="A704" s="189"/>
      <c r="B704" s="190"/>
      <c r="C704" s="190"/>
      <c r="D704" s="191"/>
      <c r="E704" s="192"/>
      <c r="F704" s="193"/>
      <c r="G704" s="191"/>
      <c r="H704" s="194"/>
    </row>
    <row r="705" spans="1:8" x14ac:dyDescent="0.25">
      <c r="A705" s="189"/>
      <c r="B705" s="190"/>
      <c r="C705" s="190"/>
      <c r="D705" s="191"/>
      <c r="E705" s="192"/>
      <c r="F705" s="193"/>
      <c r="G705" s="191"/>
      <c r="H705" s="194"/>
    </row>
    <row r="706" spans="1:8" x14ac:dyDescent="0.25">
      <c r="A706" s="189"/>
      <c r="B706" s="190"/>
      <c r="C706" s="190"/>
      <c r="D706" s="191"/>
      <c r="E706" s="192"/>
      <c r="F706" s="193"/>
      <c r="G706" s="191"/>
      <c r="H706" s="194"/>
    </row>
    <row r="707" spans="1:8" x14ac:dyDescent="0.25">
      <c r="A707" s="189"/>
      <c r="B707" s="190"/>
      <c r="C707" s="190"/>
      <c r="D707" s="191"/>
      <c r="E707" s="192"/>
      <c r="F707" s="193"/>
      <c r="G707" s="191"/>
      <c r="H707" s="194"/>
    </row>
    <row r="708" spans="1:8" x14ac:dyDescent="0.25">
      <c r="A708" s="189"/>
      <c r="B708" s="190"/>
      <c r="C708" s="190"/>
      <c r="D708" s="191"/>
      <c r="E708" s="192"/>
      <c r="F708" s="193"/>
      <c r="G708" s="191"/>
      <c r="H708" s="194"/>
    </row>
    <row r="709" spans="1:8" x14ac:dyDescent="0.25">
      <c r="A709" s="189"/>
      <c r="B709" s="190"/>
      <c r="C709" s="190"/>
      <c r="D709" s="191"/>
      <c r="E709" s="192"/>
      <c r="F709" s="193"/>
      <c r="G709" s="191"/>
      <c r="H709" s="194"/>
    </row>
    <row r="710" spans="1:8" x14ac:dyDescent="0.25">
      <c r="A710" s="189"/>
      <c r="B710" s="190"/>
      <c r="C710" s="190"/>
      <c r="D710" s="191"/>
      <c r="E710" s="192"/>
      <c r="F710" s="193"/>
      <c r="G710" s="191"/>
      <c r="H710" s="194"/>
    </row>
    <row r="711" spans="1:8" x14ac:dyDescent="0.25">
      <c r="A711" s="189"/>
      <c r="B711" s="190"/>
      <c r="C711" s="190"/>
      <c r="D711" s="191"/>
      <c r="E711" s="192"/>
      <c r="F711" s="193"/>
      <c r="G711" s="191"/>
      <c r="H711" s="194"/>
    </row>
    <row r="712" spans="1:8" x14ac:dyDescent="0.25">
      <c r="A712" s="189"/>
      <c r="B712" s="190"/>
      <c r="C712" s="190"/>
      <c r="D712" s="191"/>
      <c r="E712" s="192"/>
      <c r="F712" s="193"/>
      <c r="G712" s="191"/>
      <c r="H712" s="194"/>
    </row>
    <row r="713" spans="1:8" x14ac:dyDescent="0.25">
      <c r="A713" s="189"/>
      <c r="B713" s="190"/>
      <c r="C713" s="190"/>
      <c r="D713" s="191"/>
      <c r="E713" s="192"/>
      <c r="F713" s="193"/>
      <c r="G713" s="191"/>
      <c r="H713" s="194"/>
    </row>
    <row r="714" spans="1:8" x14ac:dyDescent="0.25">
      <c r="A714" s="189"/>
      <c r="B714" s="190"/>
      <c r="C714" s="190"/>
      <c r="D714" s="191"/>
      <c r="E714" s="192"/>
      <c r="F714" s="193"/>
      <c r="G714" s="191"/>
      <c r="H714" s="194"/>
    </row>
    <row r="715" spans="1:8" x14ac:dyDescent="0.25">
      <c r="A715" s="189"/>
      <c r="B715" s="190"/>
      <c r="C715" s="190"/>
      <c r="D715" s="191"/>
      <c r="E715" s="192"/>
      <c r="F715" s="193"/>
      <c r="G715" s="191"/>
      <c r="H715" s="194"/>
    </row>
    <row r="716" spans="1:8" x14ac:dyDescent="0.25">
      <c r="A716" s="189"/>
      <c r="B716" s="190"/>
      <c r="C716" s="190"/>
      <c r="D716" s="191"/>
      <c r="E716" s="192"/>
      <c r="F716" s="193"/>
      <c r="G716" s="191"/>
      <c r="H716" s="194"/>
    </row>
    <row r="717" spans="1:8" x14ac:dyDescent="0.25">
      <c r="A717" s="189"/>
      <c r="B717" s="190"/>
      <c r="C717" s="190"/>
      <c r="D717" s="191"/>
      <c r="E717" s="192"/>
      <c r="F717" s="193"/>
      <c r="G717" s="191"/>
      <c r="H717" s="194"/>
    </row>
    <row r="718" spans="1:8" x14ac:dyDescent="0.25">
      <c r="A718" s="189"/>
      <c r="B718" s="190"/>
      <c r="C718" s="190"/>
      <c r="D718" s="191"/>
      <c r="E718" s="192"/>
      <c r="F718" s="193"/>
      <c r="G718" s="191"/>
      <c r="H718" s="194"/>
    </row>
    <row r="719" spans="1:8" x14ac:dyDescent="0.25">
      <c r="A719" s="189"/>
      <c r="B719" s="190"/>
      <c r="C719" s="190"/>
      <c r="D719" s="191"/>
      <c r="E719" s="192"/>
      <c r="F719" s="193"/>
      <c r="G719" s="191"/>
      <c r="H719" s="194"/>
    </row>
    <row r="720" spans="1:8" x14ac:dyDescent="0.25">
      <c r="A720" s="189"/>
      <c r="B720" s="190"/>
      <c r="C720" s="190"/>
      <c r="D720" s="191"/>
      <c r="E720" s="192"/>
      <c r="F720" s="193"/>
      <c r="G720" s="191"/>
      <c r="H720" s="194"/>
    </row>
    <row r="721" spans="1:8" x14ac:dyDescent="0.25">
      <c r="A721" s="189"/>
      <c r="B721" s="190"/>
      <c r="C721" s="190"/>
      <c r="D721" s="191"/>
      <c r="E721" s="192"/>
      <c r="F721" s="193"/>
      <c r="G721" s="191"/>
      <c r="H721" s="194"/>
    </row>
    <row r="722" spans="1:8" x14ac:dyDescent="0.25">
      <c r="A722" s="189"/>
      <c r="B722" s="190"/>
      <c r="C722" s="190"/>
      <c r="D722" s="191"/>
      <c r="E722" s="192"/>
      <c r="F722" s="193"/>
      <c r="G722" s="191"/>
      <c r="H722" s="194"/>
    </row>
    <row r="723" spans="1:8" x14ac:dyDescent="0.25">
      <c r="A723" s="189"/>
      <c r="B723" s="190"/>
      <c r="C723" s="190"/>
      <c r="D723" s="191"/>
      <c r="E723" s="192"/>
      <c r="F723" s="193"/>
      <c r="G723" s="191"/>
      <c r="H723" s="194"/>
    </row>
    <row r="724" spans="1:8" x14ac:dyDescent="0.25">
      <c r="A724" s="189"/>
      <c r="B724" s="190"/>
      <c r="C724" s="190"/>
      <c r="D724" s="191"/>
      <c r="E724" s="192"/>
      <c r="F724" s="193"/>
      <c r="G724" s="191"/>
      <c r="H724" s="194"/>
    </row>
    <row r="725" spans="1:8" x14ac:dyDescent="0.25">
      <c r="A725" s="189"/>
      <c r="B725" s="190"/>
      <c r="C725" s="190"/>
      <c r="D725" s="191"/>
      <c r="E725" s="192"/>
      <c r="F725" s="193"/>
      <c r="G725" s="191"/>
      <c r="H725" s="194"/>
    </row>
    <row r="726" spans="1:8" x14ac:dyDescent="0.25">
      <c r="A726" s="189"/>
      <c r="B726" s="190"/>
      <c r="C726" s="190"/>
      <c r="D726" s="191"/>
      <c r="E726" s="192"/>
      <c r="F726" s="193"/>
      <c r="G726" s="191"/>
      <c r="H726" s="194"/>
    </row>
    <row r="727" spans="1:8" x14ac:dyDescent="0.25">
      <c r="A727" s="189"/>
      <c r="B727" s="190"/>
      <c r="C727" s="190"/>
      <c r="D727" s="191"/>
      <c r="E727" s="192"/>
      <c r="F727" s="193"/>
      <c r="G727" s="191"/>
      <c r="H727" s="194"/>
    </row>
    <row r="728" spans="1:8" x14ac:dyDescent="0.25">
      <c r="A728" s="189"/>
      <c r="B728" s="190"/>
      <c r="C728" s="190"/>
      <c r="D728" s="191"/>
      <c r="E728" s="192"/>
      <c r="F728" s="193"/>
      <c r="G728" s="191"/>
      <c r="H728" s="194"/>
    </row>
    <row r="729" spans="1:8" x14ac:dyDescent="0.25">
      <c r="A729" s="189"/>
      <c r="B729" s="190"/>
      <c r="C729" s="190"/>
      <c r="D729" s="191"/>
      <c r="E729" s="192"/>
      <c r="F729" s="193"/>
      <c r="G729" s="191"/>
      <c r="H729" s="194"/>
    </row>
    <row r="730" spans="1:8" x14ac:dyDescent="0.25">
      <c r="A730" s="189"/>
      <c r="B730" s="190"/>
      <c r="C730" s="190"/>
      <c r="D730" s="191"/>
      <c r="E730" s="192"/>
      <c r="F730" s="193"/>
      <c r="G730" s="191"/>
      <c r="H730" s="194"/>
    </row>
    <row r="731" spans="1:8" x14ac:dyDescent="0.25">
      <c r="A731" s="189"/>
      <c r="B731" s="190"/>
      <c r="C731" s="190"/>
      <c r="D731" s="191"/>
      <c r="E731" s="192"/>
      <c r="F731" s="193"/>
      <c r="G731" s="191"/>
      <c r="H731" s="194"/>
    </row>
    <row r="732" spans="1:8" x14ac:dyDescent="0.25">
      <c r="A732" s="189"/>
      <c r="B732" s="190"/>
      <c r="C732" s="190"/>
      <c r="D732" s="191"/>
      <c r="E732" s="192"/>
      <c r="F732" s="193"/>
      <c r="G732" s="191"/>
      <c r="H732" s="194"/>
    </row>
    <row r="733" spans="1:8" x14ac:dyDescent="0.25">
      <c r="A733" s="189"/>
      <c r="B733" s="190"/>
      <c r="C733" s="190"/>
      <c r="D733" s="191"/>
      <c r="E733" s="192"/>
      <c r="F733" s="193"/>
      <c r="G733" s="191"/>
      <c r="H733" s="194"/>
    </row>
    <row r="734" spans="1:8" x14ac:dyDescent="0.25">
      <c r="A734" s="189"/>
      <c r="B734" s="190"/>
      <c r="C734" s="190"/>
      <c r="D734" s="191"/>
      <c r="E734" s="192"/>
      <c r="F734" s="193"/>
      <c r="G734" s="191"/>
      <c r="H734" s="194"/>
    </row>
    <row r="735" spans="1:8" x14ac:dyDescent="0.25">
      <c r="A735" s="189"/>
      <c r="B735" s="190"/>
      <c r="C735" s="190"/>
      <c r="D735" s="191"/>
      <c r="E735" s="192"/>
      <c r="F735" s="193"/>
      <c r="G735" s="191"/>
      <c r="H735" s="194"/>
    </row>
    <row r="736" spans="1:8" x14ac:dyDescent="0.25">
      <c r="A736" s="189"/>
      <c r="B736" s="190"/>
      <c r="C736" s="190"/>
      <c r="D736" s="191"/>
      <c r="E736" s="192"/>
      <c r="F736" s="193"/>
      <c r="G736" s="191"/>
      <c r="H736" s="194"/>
    </row>
    <row r="737" spans="1:8" x14ac:dyDescent="0.25">
      <c r="A737" s="189"/>
      <c r="B737" s="190"/>
      <c r="C737" s="190"/>
      <c r="D737" s="191"/>
      <c r="E737" s="192"/>
      <c r="F737" s="193"/>
      <c r="G737" s="191"/>
      <c r="H737" s="194"/>
    </row>
    <row r="738" spans="1:8" x14ac:dyDescent="0.25">
      <c r="A738" s="189"/>
      <c r="B738" s="190"/>
      <c r="C738" s="190"/>
      <c r="D738" s="191"/>
      <c r="E738" s="192"/>
      <c r="F738" s="193"/>
      <c r="G738" s="191"/>
      <c r="H738" s="194"/>
    </row>
    <row r="739" spans="1:8" x14ac:dyDescent="0.25">
      <c r="A739" s="189"/>
      <c r="B739" s="190"/>
      <c r="C739" s="190"/>
      <c r="D739" s="191"/>
      <c r="E739" s="192"/>
      <c r="F739" s="193"/>
      <c r="G739" s="191"/>
      <c r="H739" s="194"/>
    </row>
    <row r="740" spans="1:8" x14ac:dyDescent="0.25">
      <c r="A740" s="189"/>
      <c r="B740" s="190"/>
      <c r="C740" s="190"/>
      <c r="D740" s="191"/>
      <c r="E740" s="192"/>
      <c r="F740" s="193"/>
      <c r="G740" s="191"/>
      <c r="H740" s="194"/>
    </row>
    <row r="741" spans="1:8" x14ac:dyDescent="0.25">
      <c r="A741" s="189"/>
      <c r="B741" s="190"/>
      <c r="C741" s="190"/>
      <c r="D741" s="191"/>
      <c r="E741" s="192"/>
      <c r="F741" s="193"/>
      <c r="G741" s="191"/>
      <c r="H741" s="194"/>
    </row>
    <row r="742" spans="1:8" x14ac:dyDescent="0.25">
      <c r="A742" s="189"/>
      <c r="B742" s="190"/>
      <c r="C742" s="190"/>
      <c r="D742" s="191"/>
      <c r="E742" s="192"/>
      <c r="F742" s="193"/>
      <c r="G742" s="191"/>
      <c r="H742" s="194"/>
    </row>
    <row r="743" spans="1:8" x14ac:dyDescent="0.25">
      <c r="A743" s="189"/>
      <c r="B743" s="190"/>
      <c r="C743" s="190"/>
      <c r="D743" s="191"/>
      <c r="E743" s="192"/>
      <c r="F743" s="193"/>
      <c r="G743" s="191"/>
      <c r="H743" s="194"/>
    </row>
    <row r="744" spans="1:8" x14ac:dyDescent="0.25">
      <c r="A744" s="189"/>
      <c r="B744" s="190"/>
      <c r="C744" s="190"/>
      <c r="D744" s="191"/>
      <c r="E744" s="192"/>
      <c r="F744" s="193"/>
      <c r="G744" s="191"/>
      <c r="H744" s="194"/>
    </row>
    <row r="745" spans="1:8" x14ac:dyDescent="0.25">
      <c r="A745" s="189"/>
      <c r="B745" s="190"/>
      <c r="C745" s="190"/>
      <c r="D745" s="191"/>
      <c r="E745" s="192"/>
      <c r="F745" s="193"/>
      <c r="G745" s="191"/>
      <c r="H745" s="194"/>
    </row>
    <row r="746" spans="1:8" x14ac:dyDescent="0.25">
      <c r="A746" s="189"/>
      <c r="B746" s="190"/>
      <c r="C746" s="190"/>
      <c r="D746" s="191"/>
      <c r="E746" s="192"/>
      <c r="F746" s="193"/>
      <c r="G746" s="191"/>
      <c r="H746" s="194"/>
    </row>
    <row r="747" spans="1:8" x14ac:dyDescent="0.25">
      <c r="A747" s="189"/>
      <c r="B747" s="190"/>
      <c r="C747" s="190"/>
      <c r="D747" s="191"/>
      <c r="E747" s="192"/>
      <c r="F747" s="193"/>
      <c r="G747" s="191"/>
      <c r="H747" s="194"/>
    </row>
    <row r="748" spans="1:8" x14ac:dyDescent="0.25">
      <c r="A748" s="189"/>
      <c r="B748" s="190"/>
      <c r="C748" s="190"/>
      <c r="D748" s="191"/>
      <c r="E748" s="192"/>
      <c r="F748" s="193"/>
      <c r="G748" s="191"/>
      <c r="H748" s="194"/>
    </row>
    <row r="749" spans="1:8" x14ac:dyDescent="0.25">
      <c r="A749" s="189"/>
      <c r="B749" s="190"/>
      <c r="C749" s="190"/>
      <c r="D749" s="191"/>
      <c r="E749" s="192"/>
      <c r="F749" s="193"/>
      <c r="G749" s="191"/>
      <c r="H749" s="194"/>
    </row>
    <row r="750" spans="1:8" x14ac:dyDescent="0.25">
      <c r="A750" s="189"/>
      <c r="B750" s="190"/>
      <c r="C750" s="190"/>
      <c r="D750" s="191"/>
      <c r="E750" s="192"/>
      <c r="F750" s="193"/>
      <c r="G750" s="191"/>
      <c r="H750" s="194"/>
    </row>
    <row r="751" spans="1:8" x14ac:dyDescent="0.25">
      <c r="A751" s="189"/>
      <c r="B751" s="190"/>
      <c r="C751" s="190"/>
      <c r="D751" s="191"/>
      <c r="E751" s="192"/>
      <c r="F751" s="193"/>
      <c r="G751" s="191"/>
      <c r="H751" s="194"/>
    </row>
    <row r="752" spans="1:8" x14ac:dyDescent="0.25">
      <c r="A752" s="189"/>
      <c r="B752" s="190"/>
      <c r="C752" s="190"/>
      <c r="D752" s="191"/>
      <c r="E752" s="192"/>
      <c r="F752" s="193"/>
      <c r="G752" s="191"/>
      <c r="H752" s="194"/>
    </row>
    <row r="753" spans="1:8" x14ac:dyDescent="0.25">
      <c r="A753" s="189"/>
      <c r="B753" s="190"/>
      <c r="C753" s="190"/>
      <c r="D753" s="191"/>
      <c r="E753" s="192"/>
      <c r="F753" s="193"/>
      <c r="G753" s="191"/>
      <c r="H753" s="194"/>
    </row>
    <row r="754" spans="1:8" x14ac:dyDescent="0.25">
      <c r="A754" s="189"/>
      <c r="B754" s="190"/>
      <c r="C754" s="190"/>
      <c r="D754" s="191"/>
      <c r="E754" s="192"/>
      <c r="F754" s="193"/>
      <c r="G754" s="191"/>
      <c r="H754" s="194"/>
    </row>
    <row r="755" spans="1:8" x14ac:dyDescent="0.25">
      <c r="A755" s="189"/>
      <c r="B755" s="190"/>
      <c r="C755" s="190"/>
      <c r="D755" s="191"/>
      <c r="E755" s="192"/>
      <c r="F755" s="193"/>
      <c r="G755" s="191"/>
      <c r="H755" s="194"/>
    </row>
    <row r="756" spans="1:8" x14ac:dyDescent="0.25">
      <c r="A756" s="189"/>
      <c r="B756" s="190"/>
      <c r="C756" s="190"/>
      <c r="D756" s="191"/>
      <c r="E756" s="192"/>
      <c r="F756" s="193"/>
      <c r="G756" s="191"/>
      <c r="H756" s="194"/>
    </row>
    <row r="757" spans="1:8" x14ac:dyDescent="0.25">
      <c r="A757" s="189"/>
      <c r="B757" s="190"/>
      <c r="C757" s="190"/>
      <c r="D757" s="191"/>
      <c r="E757" s="192"/>
      <c r="F757" s="193"/>
      <c r="G757" s="191"/>
      <c r="H757" s="194"/>
    </row>
    <row r="758" spans="1:8" x14ac:dyDescent="0.25">
      <c r="A758" s="189"/>
      <c r="B758" s="190"/>
      <c r="C758" s="190"/>
      <c r="D758" s="191"/>
      <c r="E758" s="192"/>
      <c r="F758" s="193"/>
      <c r="G758" s="191"/>
      <c r="H758" s="194"/>
    </row>
    <row r="759" spans="1:8" x14ac:dyDescent="0.25">
      <c r="A759" s="189"/>
      <c r="B759" s="190"/>
      <c r="C759" s="190"/>
      <c r="D759" s="191"/>
      <c r="E759" s="192"/>
      <c r="F759" s="193"/>
      <c r="G759" s="191"/>
      <c r="H759" s="194"/>
    </row>
    <row r="760" spans="1:8" x14ac:dyDescent="0.25">
      <c r="A760" s="189"/>
      <c r="B760" s="190"/>
      <c r="C760" s="190"/>
      <c r="D760" s="191"/>
      <c r="E760" s="192"/>
      <c r="F760" s="193"/>
      <c r="G760" s="191"/>
      <c r="H760" s="194"/>
    </row>
    <row r="761" spans="1:8" x14ac:dyDescent="0.25">
      <c r="A761" s="189"/>
      <c r="B761" s="190"/>
      <c r="C761" s="190"/>
      <c r="D761" s="191"/>
      <c r="E761" s="192"/>
      <c r="F761" s="193"/>
      <c r="G761" s="191"/>
      <c r="H761" s="194"/>
    </row>
    <row r="762" spans="1:8" x14ac:dyDescent="0.25">
      <c r="A762" s="189"/>
      <c r="B762" s="190"/>
      <c r="C762" s="190"/>
      <c r="D762" s="191"/>
      <c r="E762" s="192"/>
      <c r="F762" s="193"/>
      <c r="G762" s="191"/>
      <c r="H762" s="194"/>
    </row>
    <row r="763" spans="1:8" x14ac:dyDescent="0.25">
      <c r="A763" s="189"/>
      <c r="B763" s="190"/>
      <c r="C763" s="190"/>
      <c r="D763" s="191"/>
      <c r="E763" s="192"/>
      <c r="F763" s="193"/>
      <c r="G763" s="191"/>
      <c r="H763" s="194"/>
    </row>
    <row r="764" spans="1:8" x14ac:dyDescent="0.25">
      <c r="A764" s="189"/>
      <c r="B764" s="190"/>
      <c r="C764" s="190"/>
      <c r="D764" s="191"/>
      <c r="E764" s="192"/>
      <c r="F764" s="193"/>
      <c r="G764" s="191"/>
      <c r="H764" s="194"/>
    </row>
    <row r="765" spans="1:8" x14ac:dyDescent="0.25">
      <c r="A765" s="189"/>
      <c r="B765" s="190"/>
      <c r="C765" s="190"/>
      <c r="D765" s="191"/>
      <c r="E765" s="192"/>
      <c r="F765" s="193"/>
      <c r="G765" s="191"/>
      <c r="H765" s="194"/>
    </row>
    <row r="766" spans="1:8" x14ac:dyDescent="0.25">
      <c r="A766" s="189"/>
      <c r="B766" s="190"/>
      <c r="C766" s="190"/>
      <c r="D766" s="191"/>
      <c r="E766" s="192"/>
      <c r="F766" s="193"/>
      <c r="G766" s="191"/>
      <c r="H766" s="194"/>
    </row>
    <row r="767" spans="1:8" x14ac:dyDescent="0.25">
      <c r="A767" s="189"/>
      <c r="B767" s="190"/>
      <c r="C767" s="190"/>
      <c r="D767" s="191"/>
      <c r="E767" s="192"/>
      <c r="F767" s="193"/>
      <c r="G767" s="191"/>
      <c r="H767" s="194"/>
    </row>
    <row r="768" spans="1:8" x14ac:dyDescent="0.25">
      <c r="A768" s="189"/>
      <c r="B768" s="190"/>
      <c r="C768" s="190"/>
      <c r="D768" s="191"/>
      <c r="E768" s="192"/>
      <c r="F768" s="193"/>
      <c r="G768" s="191"/>
      <c r="H768" s="194"/>
    </row>
    <row r="769" spans="1:8" x14ac:dyDescent="0.25">
      <c r="A769" s="189"/>
      <c r="B769" s="190"/>
      <c r="C769" s="190"/>
      <c r="D769" s="191"/>
      <c r="E769" s="192"/>
      <c r="F769" s="193"/>
      <c r="G769" s="191"/>
      <c r="H769" s="194"/>
    </row>
    <row r="770" spans="1:8" x14ac:dyDescent="0.25">
      <c r="A770" s="189"/>
      <c r="B770" s="190"/>
      <c r="C770" s="190"/>
      <c r="D770" s="191"/>
      <c r="E770" s="192"/>
      <c r="F770" s="193"/>
      <c r="G770" s="191"/>
      <c r="H770" s="194"/>
    </row>
    <row r="771" spans="1:8" x14ac:dyDescent="0.25">
      <c r="A771" s="189"/>
      <c r="B771" s="190"/>
      <c r="C771" s="190"/>
      <c r="D771" s="191"/>
      <c r="E771" s="192"/>
      <c r="F771" s="193"/>
      <c r="G771" s="191"/>
      <c r="H771" s="194"/>
    </row>
    <row r="772" spans="1:8" x14ac:dyDescent="0.25">
      <c r="A772" s="189"/>
      <c r="B772" s="190"/>
      <c r="C772" s="190"/>
      <c r="D772" s="191"/>
      <c r="E772" s="192"/>
      <c r="F772" s="193"/>
      <c r="G772" s="191"/>
      <c r="H772" s="194"/>
    </row>
    <row r="773" spans="1:8" x14ac:dyDescent="0.25">
      <c r="A773" s="189"/>
      <c r="B773" s="190"/>
      <c r="C773" s="190"/>
      <c r="D773" s="191"/>
      <c r="E773" s="192"/>
      <c r="F773" s="193"/>
      <c r="G773" s="191"/>
      <c r="H773" s="194"/>
    </row>
    <row r="774" spans="1:8" x14ac:dyDescent="0.25">
      <c r="A774" s="189"/>
      <c r="B774" s="190"/>
      <c r="C774" s="190"/>
      <c r="D774" s="191"/>
      <c r="E774" s="192"/>
      <c r="F774" s="193"/>
      <c r="G774" s="191"/>
      <c r="H774" s="194"/>
    </row>
    <row r="775" spans="1:8" x14ac:dyDescent="0.25">
      <c r="A775" s="189"/>
      <c r="B775" s="190"/>
      <c r="C775" s="190"/>
      <c r="D775" s="191"/>
      <c r="E775" s="192"/>
      <c r="F775" s="193"/>
      <c r="G775" s="191"/>
      <c r="H775" s="194"/>
    </row>
    <row r="776" spans="1:8" x14ac:dyDescent="0.25">
      <c r="A776" s="189"/>
      <c r="B776" s="190"/>
      <c r="C776" s="190"/>
      <c r="D776" s="191"/>
      <c r="E776" s="192"/>
      <c r="F776" s="193"/>
      <c r="G776" s="191"/>
      <c r="H776" s="194"/>
    </row>
    <row r="777" spans="1:8" x14ac:dyDescent="0.25">
      <c r="A777" s="189"/>
      <c r="B777" s="190"/>
      <c r="C777" s="190"/>
      <c r="D777" s="191"/>
      <c r="E777" s="192"/>
      <c r="F777" s="193"/>
      <c r="G777" s="191"/>
      <c r="H777" s="194"/>
    </row>
    <row r="778" spans="1:8" x14ac:dyDescent="0.25">
      <c r="A778" s="189"/>
      <c r="B778" s="190"/>
      <c r="C778" s="190"/>
      <c r="D778" s="191"/>
      <c r="E778" s="192"/>
      <c r="F778" s="193"/>
      <c r="G778" s="191"/>
      <c r="H778" s="194"/>
    </row>
    <row r="779" spans="1:8" x14ac:dyDescent="0.25">
      <c r="A779" s="189"/>
      <c r="B779" s="190"/>
      <c r="C779" s="190"/>
      <c r="D779" s="191"/>
      <c r="E779" s="192"/>
      <c r="F779" s="193"/>
      <c r="G779" s="191"/>
      <c r="H779" s="194"/>
    </row>
    <row r="780" spans="1:8" x14ac:dyDescent="0.25">
      <c r="A780" s="189"/>
      <c r="B780" s="190"/>
      <c r="C780" s="190"/>
      <c r="D780" s="191"/>
      <c r="E780" s="192"/>
      <c r="F780" s="193"/>
      <c r="G780" s="191"/>
      <c r="H780" s="194"/>
    </row>
    <row r="781" spans="1:8" x14ac:dyDescent="0.25">
      <c r="A781" s="189"/>
      <c r="B781" s="190"/>
      <c r="C781" s="190"/>
      <c r="D781" s="191"/>
      <c r="E781" s="192"/>
      <c r="F781" s="193"/>
      <c r="G781" s="191"/>
      <c r="H781" s="194"/>
    </row>
    <row r="782" spans="1:8" x14ac:dyDescent="0.25">
      <c r="A782" s="189"/>
      <c r="B782" s="190"/>
      <c r="C782" s="190"/>
      <c r="D782" s="191"/>
      <c r="E782" s="192"/>
      <c r="F782" s="193"/>
      <c r="G782" s="191"/>
      <c r="H782" s="194"/>
    </row>
    <row r="783" spans="1:8" x14ac:dyDescent="0.25">
      <c r="A783" s="189"/>
      <c r="B783" s="190"/>
      <c r="C783" s="190"/>
      <c r="D783" s="191"/>
      <c r="E783" s="192"/>
      <c r="F783" s="193"/>
      <c r="G783" s="191"/>
      <c r="H783" s="194"/>
    </row>
    <row r="784" spans="1:8" x14ac:dyDescent="0.25">
      <c r="A784" s="189"/>
      <c r="B784" s="190"/>
      <c r="C784" s="190"/>
      <c r="D784" s="191"/>
      <c r="E784" s="192"/>
      <c r="F784" s="193"/>
      <c r="G784" s="191"/>
      <c r="H784" s="194"/>
    </row>
    <row r="785" spans="1:8" x14ac:dyDescent="0.25">
      <c r="A785" s="189"/>
      <c r="B785" s="190"/>
      <c r="C785" s="190"/>
      <c r="D785" s="191"/>
      <c r="E785" s="192"/>
      <c r="F785" s="193"/>
      <c r="G785" s="191"/>
      <c r="H785" s="194"/>
    </row>
  </sheetData>
  <mergeCells count="2">
    <mergeCell ref="A1:F1"/>
    <mergeCell ref="A2:F2"/>
  </mergeCells>
  <conditionalFormatting sqref="A488">
    <cfRule type="cellIs" dxfId="504" priority="9" operator="equal">
      <formula>"x"</formula>
    </cfRule>
  </conditionalFormatting>
  <conditionalFormatting sqref="D140:D141 D62:D63 D143:D145 D65:D100">
    <cfRule type="cellIs" dxfId="503" priority="8" operator="notEqual">
      <formula>#REF!</formula>
    </cfRule>
  </conditionalFormatting>
  <conditionalFormatting sqref="A488">
    <cfRule type="iconSet" priority="7">
      <iconSet iconSet="3Flags" showValue="0">
        <cfvo type="percent" val="0"/>
        <cfvo type="num" val="0"/>
        <cfvo type="num" val="1"/>
      </iconSet>
    </cfRule>
  </conditionalFormatting>
  <conditionalFormatting sqref="D154:D169">
    <cfRule type="cellIs" dxfId="502" priority="6" operator="notEqual">
      <formula>#REF!</formula>
    </cfRule>
  </conditionalFormatting>
  <conditionalFormatting sqref="H317 H337:H341">
    <cfRule type="cellIs" dxfId="501" priority="5" operator="notEqual">
      <formula>A317</formula>
    </cfRule>
  </conditionalFormatting>
  <conditionalFormatting sqref="D146:D147 D149:D150">
    <cfRule type="cellIs" dxfId="500" priority="4" operator="notEqual">
      <formula>#REF!</formula>
    </cfRule>
  </conditionalFormatting>
  <conditionalFormatting sqref="D148">
    <cfRule type="cellIs" dxfId="499" priority="2" operator="notEqual">
      <formula>#REF!</formula>
    </cfRule>
  </conditionalFormatting>
  <conditionalFormatting sqref="D142">
    <cfRule type="cellIs" dxfId="498" priority="1" operator="notEqual">
      <formula>#REF!</formula>
    </cfRule>
  </conditionalFormatting>
  <pageMargins left="0.7" right="0.7" top="0.78740157499999996" bottom="0.78740157499999996" header="0.3" footer="0.3"/>
  <pageSetup paperSize="9" scale="54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15"/>
  <sheetViews>
    <sheetView workbookViewId="0">
      <selection activeCell="I23" sqref="I23"/>
    </sheetView>
  </sheetViews>
  <sheetFormatPr defaultRowHeight="12.75" x14ac:dyDescent="0.2"/>
  <sheetData>
    <row r="2" spans="2:2" ht="13.5" thickBot="1" x14ac:dyDescent="0.25"/>
    <row r="3" spans="2:2" x14ac:dyDescent="0.2">
      <c r="B3" s="171">
        <v>4111</v>
      </c>
    </row>
    <row r="4" spans="2:2" x14ac:dyDescent="0.2">
      <c r="B4" s="172">
        <v>4113</v>
      </c>
    </row>
    <row r="5" spans="2:2" x14ac:dyDescent="0.2">
      <c r="B5" s="172">
        <v>4116</v>
      </c>
    </row>
    <row r="6" spans="2:2" x14ac:dyDescent="0.2">
      <c r="B6" s="172">
        <v>4119</v>
      </c>
    </row>
    <row r="7" spans="2:2" x14ac:dyDescent="0.2">
      <c r="B7" s="172">
        <v>4122</v>
      </c>
    </row>
    <row r="8" spans="2:2" x14ac:dyDescent="0.2">
      <c r="B8" s="172">
        <v>4123</v>
      </c>
    </row>
    <row r="9" spans="2:2" x14ac:dyDescent="0.2">
      <c r="B9" s="172">
        <v>4151</v>
      </c>
    </row>
    <row r="10" spans="2:2" x14ac:dyDescent="0.2">
      <c r="B10" s="172">
        <v>4152</v>
      </c>
    </row>
    <row r="11" spans="2:2" x14ac:dyDescent="0.2">
      <c r="B11" s="172">
        <v>4213</v>
      </c>
    </row>
    <row r="12" spans="2:2" x14ac:dyDescent="0.2">
      <c r="B12" s="172">
        <v>4216</v>
      </c>
    </row>
    <row r="13" spans="2:2" x14ac:dyDescent="0.2">
      <c r="B13" s="172">
        <v>4222</v>
      </c>
    </row>
    <row r="14" spans="2:2" x14ac:dyDescent="0.2">
      <c r="B14" s="172">
        <v>4223</v>
      </c>
    </row>
    <row r="15" spans="2:2" ht="13.5" thickBot="1" x14ac:dyDescent="0.25">
      <c r="B15" s="173">
        <v>4232</v>
      </c>
    </row>
  </sheetData>
  <pageMargins left="0.7" right="0.7" top="0.78740157499999996" bottom="0.78740157499999996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C16"/>
  <sheetViews>
    <sheetView workbookViewId="0">
      <selection activeCell="I23" sqref="I23"/>
    </sheetView>
  </sheetViews>
  <sheetFormatPr defaultRowHeight="12.75" x14ac:dyDescent="0.2"/>
  <sheetData>
    <row r="3" spans="2:3" x14ac:dyDescent="0.2">
      <c r="B3">
        <v>11</v>
      </c>
      <c r="C3" t="s">
        <v>204</v>
      </c>
    </row>
    <row r="4" spans="2:3" x14ac:dyDescent="0.2">
      <c r="B4">
        <v>13</v>
      </c>
      <c r="C4" t="s">
        <v>205</v>
      </c>
    </row>
    <row r="5" spans="2:3" x14ac:dyDescent="0.2">
      <c r="B5">
        <v>14</v>
      </c>
      <c r="C5" t="s">
        <v>206</v>
      </c>
    </row>
    <row r="6" spans="2:3" x14ac:dyDescent="0.2">
      <c r="B6">
        <v>15</v>
      </c>
      <c r="C6" t="s">
        <v>207</v>
      </c>
    </row>
    <row r="7" spans="2:3" x14ac:dyDescent="0.2">
      <c r="B7">
        <v>17</v>
      </c>
      <c r="C7" t="s">
        <v>208</v>
      </c>
    </row>
    <row r="8" spans="2:3" x14ac:dyDescent="0.2">
      <c r="B8">
        <v>29</v>
      </c>
      <c r="C8" t="s">
        <v>209</v>
      </c>
    </row>
    <row r="9" spans="2:3" x14ac:dyDescent="0.2">
      <c r="B9">
        <v>33</v>
      </c>
      <c r="C9" t="s">
        <v>210</v>
      </c>
    </row>
    <row r="10" spans="2:3" x14ac:dyDescent="0.2">
      <c r="B10">
        <v>34</v>
      </c>
      <c r="C10" t="s">
        <v>211</v>
      </c>
    </row>
    <row r="11" spans="2:3" x14ac:dyDescent="0.2">
      <c r="B11">
        <v>35</v>
      </c>
      <c r="C11" t="s">
        <v>212</v>
      </c>
    </row>
    <row r="12" spans="2:3" x14ac:dyDescent="0.2">
      <c r="B12">
        <v>90</v>
      </c>
      <c r="C12" t="s">
        <v>214</v>
      </c>
    </row>
    <row r="13" spans="2:3" x14ac:dyDescent="0.2">
      <c r="B13">
        <v>92</v>
      </c>
      <c r="C13" t="s">
        <v>213</v>
      </c>
    </row>
    <row r="14" spans="2:3" x14ac:dyDescent="0.2">
      <c r="B14">
        <v>86</v>
      </c>
      <c r="C14" t="s">
        <v>215</v>
      </c>
    </row>
    <row r="15" spans="2:3" x14ac:dyDescent="0.2">
      <c r="C15" t="s">
        <v>216</v>
      </c>
    </row>
    <row r="16" spans="2:3" x14ac:dyDescent="0.2">
      <c r="B16">
        <v>22</v>
      </c>
      <c r="C16" t="s">
        <v>217</v>
      </c>
    </row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0"/>
  <sheetViews>
    <sheetView topLeftCell="A81" zoomScaleNormal="100" workbookViewId="0">
      <selection activeCell="I23" sqref="I23"/>
    </sheetView>
  </sheetViews>
  <sheetFormatPr defaultColWidth="9.140625" defaultRowHeight="15.75" x14ac:dyDescent="0.25"/>
  <cols>
    <col min="1" max="1" width="11.28515625" style="104" customWidth="1"/>
    <col min="2" max="2" width="86.5703125" style="42" customWidth="1"/>
    <col min="3" max="3" width="17.5703125" style="42" customWidth="1"/>
    <col min="4" max="4" width="17.7109375" style="45" customWidth="1"/>
    <col min="5" max="5" width="13.5703125" style="105" customWidth="1"/>
    <col min="6" max="6" width="13.28515625" style="105" customWidth="1"/>
    <col min="7" max="7" width="22" style="106" customWidth="1"/>
    <col min="8" max="8" width="24.5703125" style="42" customWidth="1"/>
    <col min="9" max="9" width="25" style="42" bestFit="1" customWidth="1"/>
    <col min="10" max="10" width="9.85546875" style="42" bestFit="1" customWidth="1"/>
    <col min="11" max="11" width="11" style="42" bestFit="1" customWidth="1"/>
    <col min="12" max="16384" width="9.140625" style="42"/>
  </cols>
  <sheetData>
    <row r="1" spans="1:10" s="2" customFormat="1" ht="25.5" x14ac:dyDescent="0.35">
      <c r="A1" s="686" t="s">
        <v>0</v>
      </c>
      <c r="B1" s="686"/>
      <c r="C1" s="686"/>
      <c r="D1" s="686"/>
      <c r="E1" s="686"/>
      <c r="F1" s="686"/>
      <c r="G1" s="1"/>
    </row>
    <row r="2" spans="1:10" s="2" customFormat="1" ht="25.5" x14ac:dyDescent="0.35">
      <c r="A2" s="686" t="s">
        <v>125</v>
      </c>
      <c r="B2" s="686"/>
      <c r="C2" s="686"/>
      <c r="D2" s="686"/>
      <c r="E2" s="686"/>
      <c r="F2" s="686"/>
      <c r="G2" s="1"/>
    </row>
    <row r="3" spans="1:10" s="2" customFormat="1" ht="23.25" thickBot="1" x14ac:dyDescent="0.35">
      <c r="A3" s="195"/>
      <c r="B3" s="195"/>
      <c r="C3" s="195"/>
      <c r="D3" s="121"/>
      <c r="E3" s="195"/>
      <c r="F3" s="1"/>
      <c r="G3" s="1"/>
    </row>
    <row r="4" spans="1:10" s="2" customFormat="1" x14ac:dyDescent="0.25">
      <c r="A4" s="687" t="s">
        <v>141</v>
      </c>
      <c r="B4" s="4"/>
      <c r="C4" s="4"/>
      <c r="D4" s="117"/>
      <c r="E4" s="6"/>
      <c r="F4" s="6"/>
      <c r="G4" s="7"/>
    </row>
    <row r="5" spans="1:10" s="2" customFormat="1" ht="16.5" thickBot="1" x14ac:dyDescent="0.3">
      <c r="A5" s="688"/>
      <c r="B5" s="9" t="s">
        <v>2</v>
      </c>
      <c r="C5" s="9" t="s">
        <v>3</v>
      </c>
      <c r="D5" s="118" t="s">
        <v>4</v>
      </c>
      <c r="E5" s="11" t="s">
        <v>5</v>
      </c>
      <c r="F5" s="11" t="s">
        <v>6</v>
      </c>
      <c r="G5" s="1"/>
    </row>
    <row r="6" spans="1:10" s="2" customFormat="1" x14ac:dyDescent="0.25">
      <c r="A6" s="25"/>
      <c r="B6" s="13" t="s">
        <v>8</v>
      </c>
      <c r="C6" s="26">
        <f>+SUM(C7:C10)</f>
        <v>5902.2090000000007</v>
      </c>
      <c r="D6" s="27">
        <f>+SUM(D7:D10)</f>
        <v>1356950</v>
      </c>
      <c r="E6" s="28"/>
      <c r="F6" s="29"/>
    </row>
    <row r="7" spans="1:10" s="2" customFormat="1" x14ac:dyDescent="0.25">
      <c r="A7" s="25"/>
      <c r="B7" s="19" t="s">
        <v>9</v>
      </c>
      <c r="C7" s="21">
        <v>111.04</v>
      </c>
      <c r="D7" s="21"/>
      <c r="E7" s="22">
        <v>92241</v>
      </c>
      <c r="F7" s="29" t="s">
        <v>10</v>
      </c>
    </row>
    <row r="8" spans="1:10" s="2" customFormat="1" x14ac:dyDescent="0.25">
      <c r="A8" s="25"/>
      <c r="B8" s="19" t="s">
        <v>11</v>
      </c>
      <c r="C8" s="21">
        <v>2001.1780000000001</v>
      </c>
      <c r="D8" s="21">
        <f>108171+109620+15221</f>
        <v>233012</v>
      </c>
      <c r="E8" s="22">
        <v>92241</v>
      </c>
      <c r="F8" s="29" t="s">
        <v>10</v>
      </c>
    </row>
    <row r="9" spans="1:10" s="2" customFormat="1" x14ac:dyDescent="0.25">
      <c r="A9" s="25"/>
      <c r="B9" s="19" t="s">
        <v>12</v>
      </c>
      <c r="C9" s="21">
        <v>1575.905</v>
      </c>
      <c r="D9" s="21">
        <v>345411</v>
      </c>
      <c r="E9" s="22">
        <v>92241</v>
      </c>
      <c r="F9" s="29" t="s">
        <v>10</v>
      </c>
    </row>
    <row r="10" spans="1:10" s="2" customFormat="1" x14ac:dyDescent="0.25">
      <c r="A10" s="25"/>
      <c r="B10" s="19" t="s">
        <v>13</v>
      </c>
      <c r="C10" s="21">
        <v>2214.0859999999998</v>
      </c>
      <c r="D10" s="21">
        <v>778527</v>
      </c>
      <c r="E10" s="22">
        <v>92241</v>
      </c>
      <c r="F10" s="29" t="s">
        <v>10</v>
      </c>
    </row>
    <row r="11" spans="1:10" s="2" customFormat="1" x14ac:dyDescent="0.25">
      <c r="A11" s="12"/>
      <c r="B11" s="19"/>
      <c r="C11" s="20"/>
      <c r="D11" s="21"/>
      <c r="E11" s="22"/>
      <c r="F11" s="29"/>
    </row>
    <row r="12" spans="1:10" s="2" customFormat="1" x14ac:dyDescent="0.25">
      <c r="A12" s="12"/>
      <c r="B12" s="13" t="s">
        <v>15</v>
      </c>
      <c r="C12" s="30">
        <f>+C13</f>
        <v>4.5358200000000002</v>
      </c>
      <c r="D12" s="30">
        <f>+D13</f>
        <v>4535.82</v>
      </c>
      <c r="E12" s="22"/>
      <c r="F12" s="29"/>
    </row>
    <row r="13" spans="1:10" s="2" customFormat="1" x14ac:dyDescent="0.25">
      <c r="A13" s="12"/>
      <c r="B13" s="19" t="s">
        <v>16</v>
      </c>
      <c r="C13" s="20">
        <v>4.5358200000000002</v>
      </c>
      <c r="D13" s="21">
        <v>4535.82</v>
      </c>
      <c r="E13" s="22">
        <v>89450</v>
      </c>
      <c r="F13" s="29">
        <v>4113</v>
      </c>
    </row>
    <row r="14" spans="1:10" s="2" customFormat="1" x14ac:dyDescent="0.25">
      <c r="A14" s="12"/>
      <c r="B14" s="32"/>
      <c r="C14" s="20"/>
      <c r="D14" s="163"/>
      <c r="E14" s="161"/>
      <c r="F14" s="22"/>
    </row>
    <row r="15" spans="1:10" s="18" customFormat="1" x14ac:dyDescent="0.25">
      <c r="A15" s="12"/>
      <c r="B15" s="13" t="s">
        <v>17</v>
      </c>
      <c r="C15" s="13">
        <f>SUM(C16:C30)</f>
        <v>10132.982</v>
      </c>
      <c r="D15" s="31">
        <f>SUM(D16:D30)</f>
        <v>7678437</v>
      </c>
      <c r="E15" s="33"/>
      <c r="F15" s="16"/>
      <c r="G15" s="2"/>
      <c r="H15" s="2"/>
      <c r="I15" s="2"/>
      <c r="J15" s="2"/>
    </row>
    <row r="16" spans="1:10" s="2" customFormat="1" x14ac:dyDescent="0.25">
      <c r="A16" s="25">
        <v>42053</v>
      </c>
      <c r="B16" s="19" t="s">
        <v>37</v>
      </c>
      <c r="C16" s="37">
        <v>3744</v>
      </c>
      <c r="D16" s="164">
        <v>3744000</v>
      </c>
      <c r="E16" s="34">
        <v>13010</v>
      </c>
      <c r="F16" s="29">
        <v>4116</v>
      </c>
    </row>
    <row r="17" spans="1:11" s="18" customFormat="1" x14ac:dyDescent="0.25">
      <c r="A17" s="12"/>
      <c r="B17" s="19" t="s">
        <v>97</v>
      </c>
      <c r="C17" s="21"/>
      <c r="D17" s="21">
        <f>102369+33000</f>
        <v>135369</v>
      </c>
      <c r="E17" s="34">
        <v>13101</v>
      </c>
      <c r="F17" s="29">
        <v>4116</v>
      </c>
      <c r="G17" s="2"/>
      <c r="H17" s="2"/>
      <c r="I17" s="2"/>
      <c r="J17" s="2"/>
      <c r="K17" s="2"/>
    </row>
    <row r="18" spans="1:11" s="2" customFormat="1" x14ac:dyDescent="0.25">
      <c r="A18" s="25"/>
      <c r="B18" s="19" t="s">
        <v>65</v>
      </c>
      <c r="C18" s="20">
        <v>42</v>
      </c>
      <c r="D18" s="21">
        <f>40896+16866</f>
        <v>57762</v>
      </c>
      <c r="E18" s="34">
        <v>13101</v>
      </c>
      <c r="F18" s="29" t="s">
        <v>18</v>
      </c>
    </row>
    <row r="19" spans="1:11" s="2" customFormat="1" x14ac:dyDescent="0.25">
      <c r="A19" s="25"/>
      <c r="B19" s="107" t="s">
        <v>98</v>
      </c>
      <c r="C19" s="21">
        <v>196.982</v>
      </c>
      <c r="D19" s="21">
        <f>130982+66000</f>
        <v>196982</v>
      </c>
      <c r="E19" s="35">
        <v>13101</v>
      </c>
      <c r="F19" s="36">
        <v>4116</v>
      </c>
    </row>
    <row r="20" spans="1:11" s="2" customFormat="1" x14ac:dyDescent="0.25">
      <c r="A20" s="25"/>
      <c r="B20" s="107" t="s">
        <v>99</v>
      </c>
      <c r="C20" s="21">
        <v>22</v>
      </c>
      <c r="D20" s="21">
        <v>22000</v>
      </c>
      <c r="E20" s="35">
        <v>13101</v>
      </c>
      <c r="F20" s="36">
        <v>4116</v>
      </c>
    </row>
    <row r="21" spans="1:11" s="18" customFormat="1" x14ac:dyDescent="0.25">
      <c r="A21" s="12"/>
      <c r="B21" s="107" t="s">
        <v>23</v>
      </c>
      <c r="C21" s="21"/>
      <c r="D21" s="21">
        <f>38094+8250</f>
        <v>46344</v>
      </c>
      <c r="E21" s="108">
        <v>13101</v>
      </c>
      <c r="F21" s="29">
        <v>4116</v>
      </c>
      <c r="G21" s="2"/>
      <c r="H21" s="2"/>
      <c r="I21" s="2"/>
      <c r="J21" s="2"/>
      <c r="K21" s="2"/>
    </row>
    <row r="22" spans="1:11" s="18" customFormat="1" x14ac:dyDescent="0.25">
      <c r="A22" s="12"/>
      <c r="B22" s="19" t="s">
        <v>20</v>
      </c>
      <c r="C22" s="21">
        <v>290</v>
      </c>
      <c r="D22" s="21">
        <f>58288+28935</f>
        <v>87223</v>
      </c>
      <c r="E22" s="34">
        <v>13234</v>
      </c>
      <c r="F22" s="29">
        <v>4116</v>
      </c>
      <c r="G22" s="2"/>
      <c r="H22" s="2"/>
      <c r="I22" s="2"/>
      <c r="J22" s="2"/>
      <c r="K22" s="2"/>
    </row>
    <row r="23" spans="1:11" s="18" customFormat="1" x14ac:dyDescent="0.25">
      <c r="A23" s="12"/>
      <c r="B23" s="19" t="s">
        <v>22</v>
      </c>
      <c r="C23" s="21"/>
      <c r="D23" s="21">
        <f>44000+22000</f>
        <v>66000</v>
      </c>
      <c r="E23" s="34">
        <v>13234</v>
      </c>
      <c r="F23" s="29">
        <v>4116</v>
      </c>
      <c r="G23" s="2"/>
      <c r="H23" s="2"/>
      <c r="I23" s="2"/>
      <c r="J23" s="2"/>
      <c r="K23" s="2"/>
    </row>
    <row r="24" spans="1:11" s="18" customFormat="1" x14ac:dyDescent="0.25">
      <c r="A24" s="12"/>
      <c r="B24" s="107" t="s">
        <v>67</v>
      </c>
      <c r="C24" s="21">
        <v>155</v>
      </c>
      <c r="D24" s="21">
        <f>86069+44000</f>
        <v>130069</v>
      </c>
      <c r="E24" s="108">
        <v>13234</v>
      </c>
      <c r="F24" s="29">
        <v>4116</v>
      </c>
      <c r="G24" s="2"/>
      <c r="H24" s="2"/>
      <c r="I24" s="2"/>
      <c r="J24" s="2"/>
      <c r="K24" s="2"/>
    </row>
    <row r="25" spans="1:11" s="18" customFormat="1" x14ac:dyDescent="0.25">
      <c r="A25" s="12"/>
      <c r="B25" s="107" t="s">
        <v>25</v>
      </c>
      <c r="C25" s="21"/>
      <c r="D25" s="21">
        <v>218760</v>
      </c>
      <c r="E25" s="34">
        <v>13234</v>
      </c>
      <c r="F25" s="29">
        <v>4116</v>
      </c>
      <c r="G25" s="2"/>
      <c r="H25" s="2"/>
      <c r="I25" s="2"/>
      <c r="J25" s="2"/>
      <c r="K25" s="2"/>
    </row>
    <row r="26" spans="1:11" s="18" customFormat="1" x14ac:dyDescent="0.25">
      <c r="A26" s="12"/>
      <c r="B26" s="107" t="s">
        <v>26</v>
      </c>
      <c r="C26" s="21"/>
      <c r="D26" s="21">
        <f>66000+33000</f>
        <v>99000</v>
      </c>
      <c r="E26" s="34">
        <v>13234</v>
      </c>
      <c r="F26" s="29">
        <v>4116</v>
      </c>
      <c r="G26" s="2"/>
      <c r="H26" s="2"/>
      <c r="I26" s="2"/>
      <c r="J26" s="2"/>
      <c r="K26" s="2"/>
    </row>
    <row r="27" spans="1:11" s="2" customFormat="1" x14ac:dyDescent="0.25">
      <c r="A27" s="25"/>
      <c r="B27" s="107" t="s">
        <v>28</v>
      </c>
      <c r="C27" s="21">
        <v>5376</v>
      </c>
      <c r="D27" s="21">
        <f>528297+254271</f>
        <v>782568</v>
      </c>
      <c r="E27" s="35">
        <v>13234</v>
      </c>
      <c r="F27" s="29">
        <v>4116</v>
      </c>
    </row>
    <row r="28" spans="1:11" s="18" customFormat="1" x14ac:dyDescent="0.25">
      <c r="A28" s="12"/>
      <c r="B28" s="107" t="s">
        <v>24</v>
      </c>
      <c r="C28" s="21"/>
      <c r="D28" s="21">
        <f>1387835+661461</f>
        <v>2049296</v>
      </c>
      <c r="E28" s="34">
        <v>13234</v>
      </c>
      <c r="F28" s="29">
        <v>4116</v>
      </c>
      <c r="G28" s="2"/>
      <c r="H28" s="2"/>
      <c r="I28" s="2"/>
      <c r="J28" s="2"/>
      <c r="K28" s="2"/>
    </row>
    <row r="29" spans="1:11" s="2" customFormat="1" x14ac:dyDescent="0.25">
      <c r="A29" s="25"/>
      <c r="B29" s="107" t="s">
        <v>66</v>
      </c>
      <c r="C29" s="21">
        <v>55</v>
      </c>
      <c r="D29" s="21">
        <f>22000+11000</f>
        <v>33000</v>
      </c>
      <c r="E29" s="35">
        <v>13234</v>
      </c>
      <c r="F29" s="36">
        <v>4116</v>
      </c>
    </row>
    <row r="30" spans="1:11" s="2" customFormat="1" x14ac:dyDescent="0.25">
      <c r="A30" s="25"/>
      <c r="B30" s="107" t="s">
        <v>31</v>
      </c>
      <c r="C30" s="21">
        <v>252</v>
      </c>
      <c r="D30" s="21">
        <v>10064</v>
      </c>
      <c r="E30" s="35">
        <v>13234</v>
      </c>
      <c r="F30" s="36">
        <v>4116</v>
      </c>
    </row>
    <row r="31" spans="1:11" s="2" customFormat="1" x14ac:dyDescent="0.25">
      <c r="A31" s="25"/>
      <c r="B31" s="23"/>
      <c r="C31" s="37"/>
      <c r="D31" s="21"/>
      <c r="E31" s="35"/>
      <c r="F31" s="36"/>
    </row>
    <row r="32" spans="1:11" s="2" customFormat="1" x14ac:dyDescent="0.25">
      <c r="A32" s="25"/>
      <c r="B32" s="38" t="s">
        <v>116</v>
      </c>
      <c r="C32" s="39">
        <f>+SUM(C33:C36)</f>
        <v>0</v>
      </c>
      <c r="D32" s="39">
        <f>+SUM(D33:D36)</f>
        <v>36300</v>
      </c>
      <c r="E32" s="29"/>
      <c r="F32" s="36"/>
    </row>
    <row r="33" spans="1:8" s="2" customFormat="1" x14ac:dyDescent="0.25">
      <c r="A33" s="25">
        <v>42066</v>
      </c>
      <c r="B33" s="107" t="s">
        <v>115</v>
      </c>
      <c r="C33" s="20">
        <v>0</v>
      </c>
      <c r="D33" s="21">
        <v>36300</v>
      </c>
      <c r="E33" s="41">
        <v>27003</v>
      </c>
      <c r="F33" s="36">
        <v>4116</v>
      </c>
    </row>
    <row r="34" spans="1:8" s="2" customFormat="1" hidden="1" x14ac:dyDescent="0.25">
      <c r="A34" s="49"/>
      <c r="B34" s="107"/>
      <c r="C34" s="20"/>
      <c r="D34" s="21"/>
      <c r="E34" s="36"/>
      <c r="F34" s="36">
        <v>4116</v>
      </c>
    </row>
    <row r="35" spans="1:8" s="2" customFormat="1" hidden="1" x14ac:dyDescent="0.25">
      <c r="A35" s="49"/>
      <c r="B35" s="107"/>
      <c r="C35" s="20"/>
      <c r="D35" s="21"/>
      <c r="E35" s="36"/>
      <c r="F35" s="36">
        <v>4116</v>
      </c>
    </row>
    <row r="36" spans="1:8" s="2" customFormat="1" x14ac:dyDescent="0.25">
      <c r="A36" s="49"/>
      <c r="B36" s="107"/>
      <c r="C36" s="20"/>
      <c r="D36" s="21"/>
      <c r="E36" s="36"/>
      <c r="F36" s="36">
        <v>4116</v>
      </c>
    </row>
    <row r="37" spans="1:8" s="2" customFormat="1" x14ac:dyDescent="0.25">
      <c r="A37" s="25"/>
      <c r="B37" s="38" t="s">
        <v>33</v>
      </c>
      <c r="C37" s="39">
        <f>+SUM(C38:C39)</f>
        <v>0</v>
      </c>
      <c r="D37" s="39">
        <f>+SUM(D38:D39)</f>
        <v>80000</v>
      </c>
      <c r="E37" s="29"/>
      <c r="F37" s="36"/>
    </row>
    <row r="38" spans="1:8" s="2" customFormat="1" x14ac:dyDescent="0.25">
      <c r="A38" s="25">
        <v>42086</v>
      </c>
      <c r="B38" s="107" t="s">
        <v>122</v>
      </c>
      <c r="C38" s="20">
        <v>0</v>
      </c>
      <c r="D38" s="21">
        <v>80000</v>
      </c>
      <c r="E38" s="29">
        <v>34070</v>
      </c>
      <c r="F38" s="29">
        <v>4116</v>
      </c>
    </row>
    <row r="39" spans="1:8" x14ac:dyDescent="0.25">
      <c r="A39" s="50"/>
      <c r="B39" s="107"/>
      <c r="C39" s="115"/>
      <c r="D39" s="21"/>
      <c r="E39" s="51"/>
      <c r="F39" s="51"/>
      <c r="G39" s="2"/>
      <c r="H39" s="2"/>
    </row>
    <row r="40" spans="1:8" s="2" customFormat="1" x14ac:dyDescent="0.25">
      <c r="A40" s="25"/>
      <c r="B40" s="38" t="s">
        <v>34</v>
      </c>
      <c r="C40" s="39">
        <f>SUM(C41:C43)</f>
        <v>972.54641000000004</v>
      </c>
      <c r="D40" s="40">
        <f>SUM(D41:D43)</f>
        <v>1164546.4100000001</v>
      </c>
      <c r="E40" s="29"/>
      <c r="F40" s="36"/>
    </row>
    <row r="41" spans="1:8" s="2" customFormat="1" x14ac:dyDescent="0.25">
      <c r="A41" s="25">
        <v>42054</v>
      </c>
      <c r="B41" s="107" t="s">
        <v>68</v>
      </c>
      <c r="C41" s="52">
        <v>972.54641000000004</v>
      </c>
      <c r="D41" s="53">
        <v>972546.41</v>
      </c>
      <c r="E41" s="29">
        <v>33019</v>
      </c>
      <c r="F41" s="36" t="s">
        <v>18</v>
      </c>
    </row>
    <row r="42" spans="1:8" s="2" customFormat="1" x14ac:dyDescent="0.25">
      <c r="A42" s="25">
        <v>42081</v>
      </c>
      <c r="B42" s="107" t="s">
        <v>117</v>
      </c>
      <c r="C42" s="52">
        <v>0</v>
      </c>
      <c r="D42" s="55">
        <v>192000</v>
      </c>
      <c r="E42" s="29">
        <v>33339</v>
      </c>
      <c r="F42" s="36">
        <v>4116</v>
      </c>
    </row>
    <row r="43" spans="1:8" s="2" customFormat="1" x14ac:dyDescent="0.25">
      <c r="A43" s="25"/>
      <c r="B43" s="54"/>
      <c r="C43" s="47"/>
      <c r="D43" s="55"/>
      <c r="E43" s="28"/>
      <c r="F43" s="36"/>
    </row>
    <row r="44" spans="1:8" s="2" customFormat="1" x14ac:dyDescent="0.25">
      <c r="A44" s="25"/>
      <c r="B44" s="13" t="s">
        <v>35</v>
      </c>
      <c r="C44" s="30">
        <f>+SUM(C45:C47)</f>
        <v>2908.0978700000001</v>
      </c>
      <c r="D44" s="31">
        <f>+SUM(D45:D47)</f>
        <v>2908097.87</v>
      </c>
      <c r="E44" s="28"/>
      <c r="F44" s="29"/>
    </row>
    <row r="45" spans="1:8" s="2" customFormat="1" x14ac:dyDescent="0.25">
      <c r="A45" s="25">
        <v>42040</v>
      </c>
      <c r="B45" s="107" t="s">
        <v>60</v>
      </c>
      <c r="C45" s="52">
        <v>2686.6678700000002</v>
      </c>
      <c r="D45" s="53">
        <v>2686667.87</v>
      </c>
      <c r="E45" s="28">
        <v>17003</v>
      </c>
      <c r="F45" s="29" t="s">
        <v>18</v>
      </c>
    </row>
    <row r="46" spans="1:8" s="2" customFormat="1" x14ac:dyDescent="0.25">
      <c r="A46" s="25">
        <v>42059</v>
      </c>
      <c r="B46" s="107" t="s">
        <v>105</v>
      </c>
      <c r="C46" s="52">
        <v>188.21549999999999</v>
      </c>
      <c r="D46" s="53">
        <v>188215.5</v>
      </c>
      <c r="E46" s="28">
        <v>17003</v>
      </c>
      <c r="F46" s="29">
        <v>4116</v>
      </c>
    </row>
    <row r="47" spans="1:8" s="2" customFormat="1" x14ac:dyDescent="0.25">
      <c r="A47" s="25">
        <v>42059</v>
      </c>
      <c r="B47" s="107" t="s">
        <v>105</v>
      </c>
      <c r="C47" s="52">
        <v>33.214500000000001</v>
      </c>
      <c r="D47" s="53">
        <v>33214.5</v>
      </c>
      <c r="E47" s="28">
        <v>17002</v>
      </c>
      <c r="F47" s="29">
        <v>4116</v>
      </c>
    </row>
    <row r="48" spans="1:8" x14ac:dyDescent="0.25">
      <c r="A48" s="50"/>
      <c r="B48" s="58"/>
      <c r="C48" s="46"/>
      <c r="D48" s="56"/>
      <c r="E48" s="60"/>
      <c r="F48" s="51"/>
      <c r="G48" s="2"/>
      <c r="H48" s="2"/>
    </row>
    <row r="49" spans="1:8" s="2" customFormat="1" x14ac:dyDescent="0.25">
      <c r="A49" s="25"/>
      <c r="B49" s="13" t="s">
        <v>38</v>
      </c>
      <c r="C49" s="30">
        <f>+C50</f>
        <v>600</v>
      </c>
      <c r="D49" s="31">
        <f>+D50</f>
        <v>600000</v>
      </c>
      <c r="E49" s="28"/>
      <c r="F49" s="29"/>
    </row>
    <row r="50" spans="1:8" s="2" customFormat="1" x14ac:dyDescent="0.25">
      <c r="A50" s="25">
        <v>42051</v>
      </c>
      <c r="B50" s="19" t="s">
        <v>39</v>
      </c>
      <c r="C50" s="46">
        <v>600</v>
      </c>
      <c r="D50" s="47">
        <v>600000</v>
      </c>
      <c r="E50" s="28">
        <v>22005</v>
      </c>
      <c r="F50" s="29" t="s">
        <v>18</v>
      </c>
    </row>
    <row r="51" spans="1:8" x14ac:dyDescent="0.25">
      <c r="A51" s="50"/>
      <c r="B51" s="61"/>
      <c r="C51" s="46"/>
      <c r="D51" s="56"/>
      <c r="E51" s="60"/>
      <c r="F51" s="51"/>
      <c r="G51" s="2"/>
      <c r="H51" s="2"/>
    </row>
    <row r="52" spans="1:8" s="2" customFormat="1" x14ac:dyDescent="0.25">
      <c r="A52" s="25"/>
      <c r="B52" s="13" t="s">
        <v>40</v>
      </c>
      <c r="C52" s="30">
        <f>SUM(C53:C57)</f>
        <v>7.48</v>
      </c>
      <c r="D52" s="31">
        <f>SUM(D53:D57)</f>
        <v>281328</v>
      </c>
      <c r="E52" s="28"/>
      <c r="F52" s="29"/>
    </row>
    <row r="53" spans="1:8" s="2" customFormat="1" x14ac:dyDescent="0.25">
      <c r="A53" s="25">
        <v>42081</v>
      </c>
      <c r="B53" s="24" t="s">
        <v>118</v>
      </c>
      <c r="C53" s="46">
        <v>0</v>
      </c>
      <c r="D53" s="47">
        <v>134988</v>
      </c>
      <c r="E53" s="28">
        <v>14023</v>
      </c>
      <c r="F53" s="29">
        <v>4116</v>
      </c>
    </row>
    <row r="54" spans="1:8" s="2" customFormat="1" x14ac:dyDescent="0.25">
      <c r="A54" s="25">
        <v>42082</v>
      </c>
      <c r="B54" s="24" t="s">
        <v>119</v>
      </c>
      <c r="C54" s="46">
        <v>0</v>
      </c>
      <c r="D54" s="47">
        <v>72000</v>
      </c>
      <c r="E54" s="28">
        <v>14336</v>
      </c>
      <c r="F54" s="29">
        <v>4116</v>
      </c>
    </row>
    <row r="55" spans="1:8" s="2" customFormat="1" x14ac:dyDescent="0.25">
      <c r="A55" s="25">
        <v>42087</v>
      </c>
      <c r="B55" s="24" t="s">
        <v>118</v>
      </c>
      <c r="C55" s="46">
        <v>0</v>
      </c>
      <c r="D55" s="47">
        <v>800</v>
      </c>
      <c r="E55" s="28">
        <v>14023</v>
      </c>
      <c r="F55" s="29">
        <v>4116</v>
      </c>
    </row>
    <row r="56" spans="1:8" s="2" customFormat="1" x14ac:dyDescent="0.25">
      <c r="A56" s="25">
        <v>42090</v>
      </c>
      <c r="B56" s="24" t="s">
        <v>118</v>
      </c>
      <c r="C56" s="46">
        <v>0</v>
      </c>
      <c r="D56" s="47">
        <v>66060</v>
      </c>
      <c r="E56" s="28">
        <v>14023</v>
      </c>
      <c r="F56" s="29">
        <v>4116</v>
      </c>
    </row>
    <row r="57" spans="1:8" s="2" customFormat="1" x14ac:dyDescent="0.25">
      <c r="A57" s="25"/>
      <c r="B57" s="24" t="s">
        <v>113</v>
      </c>
      <c r="C57" s="46">
        <v>7.48</v>
      </c>
      <c r="D57" s="47">
        <v>7480</v>
      </c>
      <c r="E57" s="28">
        <v>14137</v>
      </c>
      <c r="F57" s="29">
        <v>4116</v>
      </c>
    </row>
    <row r="58" spans="1:8" x14ac:dyDescent="0.25">
      <c r="A58" s="25"/>
      <c r="B58" s="44"/>
      <c r="C58" s="46"/>
      <c r="D58" s="47"/>
      <c r="E58" s="60"/>
      <c r="F58" s="48"/>
      <c r="G58" s="2"/>
      <c r="H58" s="2"/>
    </row>
    <row r="59" spans="1:8" s="2" customFormat="1" x14ac:dyDescent="0.25">
      <c r="A59" s="25"/>
      <c r="B59" s="13" t="s">
        <v>48</v>
      </c>
      <c r="C59" s="27">
        <f>SUM(C60:C61)</f>
        <v>1020.3823300000001</v>
      </c>
      <c r="D59" s="27">
        <f>SUM(D60:D61)</f>
        <v>1020382.33</v>
      </c>
      <c r="E59" s="28"/>
      <c r="F59" s="22"/>
    </row>
    <row r="60" spans="1:8" s="2" customFormat="1" x14ac:dyDescent="0.25">
      <c r="A60" s="25">
        <v>42046</v>
      </c>
      <c r="B60" s="24" t="s">
        <v>104</v>
      </c>
      <c r="C60" s="53">
        <v>345.49686000000003</v>
      </c>
      <c r="D60" s="55">
        <v>345496.86</v>
      </c>
      <c r="E60" s="28">
        <v>33030</v>
      </c>
      <c r="F60" s="48" t="s">
        <v>49</v>
      </c>
    </row>
    <row r="61" spans="1:8" s="2" customFormat="1" x14ac:dyDescent="0.25">
      <c r="A61" s="25"/>
      <c r="B61" s="24" t="s">
        <v>69</v>
      </c>
      <c r="C61" s="52">
        <v>674.88547000000005</v>
      </c>
      <c r="D61" s="55">
        <v>674885.47</v>
      </c>
      <c r="E61" s="22">
        <v>33030</v>
      </c>
      <c r="F61" s="48">
        <v>4122</v>
      </c>
    </row>
    <row r="62" spans="1:8" s="2" customFormat="1" x14ac:dyDescent="0.25">
      <c r="A62" s="25"/>
      <c r="B62" s="23"/>
      <c r="C62" s="46"/>
      <c r="D62" s="47"/>
      <c r="E62" s="28"/>
      <c r="F62" s="48"/>
    </row>
    <row r="63" spans="1:8" s="2" customFormat="1" x14ac:dyDescent="0.25">
      <c r="A63" s="25"/>
      <c r="B63" s="69" t="s">
        <v>52</v>
      </c>
      <c r="C63" s="30">
        <f>+SUM(C64:C64)</f>
        <v>0</v>
      </c>
      <c r="D63" s="31">
        <f>+SUM(D64:D64)</f>
        <v>581714.24</v>
      </c>
      <c r="E63" s="28"/>
      <c r="F63" s="48"/>
    </row>
    <row r="64" spans="1:8" s="45" customFormat="1" x14ac:dyDescent="0.25">
      <c r="A64" s="43">
        <v>42075</v>
      </c>
      <c r="B64" s="24" t="s">
        <v>124</v>
      </c>
      <c r="C64" s="53">
        <v>0</v>
      </c>
      <c r="D64" s="55">
        <v>581714.24</v>
      </c>
      <c r="E64" s="67"/>
      <c r="F64" s="68">
        <v>4152</v>
      </c>
      <c r="G64" s="2"/>
      <c r="H64" s="2"/>
    </row>
    <row r="65" spans="1:8" x14ac:dyDescent="0.25">
      <c r="A65" s="50"/>
      <c r="B65" s="24"/>
      <c r="C65" s="59"/>
      <c r="D65" s="55"/>
      <c r="E65" s="60"/>
      <c r="F65" s="63"/>
      <c r="G65" s="2"/>
      <c r="H65" s="2"/>
    </row>
    <row r="66" spans="1:8" s="2" customFormat="1" x14ac:dyDescent="0.25">
      <c r="A66" s="25"/>
      <c r="B66" s="70" t="s">
        <v>53</v>
      </c>
      <c r="C66" s="26">
        <f>+C63+C59+C52+C49+C44+C40+C37+C32+C15+C12+C6</f>
        <v>21548.23343</v>
      </c>
      <c r="D66" s="26">
        <f>+D63+D59+D52+D49+D44+D40+D37+D32+D15+D12+D6</f>
        <v>15712291.67</v>
      </c>
      <c r="E66" s="71"/>
      <c r="F66" s="22"/>
    </row>
    <row r="67" spans="1:8" s="2" customFormat="1" ht="16.5" thickBot="1" x14ac:dyDescent="0.3">
      <c r="A67" s="72"/>
      <c r="B67" s="73"/>
      <c r="C67" s="74"/>
      <c r="D67" s="75"/>
      <c r="E67" s="76"/>
      <c r="F67" s="77"/>
    </row>
    <row r="68" spans="1:8" s="2" customFormat="1" ht="9" customHeight="1" x14ac:dyDescent="0.25">
      <c r="A68" s="78"/>
      <c r="B68" s="7"/>
      <c r="C68" s="7"/>
      <c r="D68" s="79"/>
      <c r="E68" s="80"/>
      <c r="F68" s="80"/>
    </row>
    <row r="69" spans="1:8" s="2" customFormat="1" ht="8.25" customHeight="1" thickBot="1" x14ac:dyDescent="0.3">
      <c r="A69" s="78"/>
      <c r="B69" s="7"/>
      <c r="C69" s="7"/>
      <c r="D69" s="79"/>
      <c r="E69" s="80"/>
      <c r="F69" s="80"/>
    </row>
    <row r="70" spans="1:8" s="2" customFormat="1" x14ac:dyDescent="0.25">
      <c r="A70" s="687" t="s">
        <v>141</v>
      </c>
      <c r="B70" s="4"/>
      <c r="C70" s="4"/>
      <c r="D70" s="5"/>
      <c r="E70" s="81"/>
      <c r="F70" s="81"/>
    </row>
    <row r="71" spans="1:8" s="2" customFormat="1" ht="16.5" thickBot="1" x14ac:dyDescent="0.3">
      <c r="A71" s="688"/>
      <c r="B71" s="9" t="s">
        <v>54</v>
      </c>
      <c r="C71" s="9" t="s">
        <v>3</v>
      </c>
      <c r="D71" s="10" t="s">
        <v>4</v>
      </c>
      <c r="E71" s="82" t="s">
        <v>5</v>
      </c>
      <c r="F71" s="82" t="s">
        <v>6</v>
      </c>
    </row>
    <row r="72" spans="1:8" s="2" customFormat="1" x14ac:dyDescent="0.25">
      <c r="A72" s="25"/>
      <c r="B72" s="13" t="s">
        <v>14</v>
      </c>
      <c r="C72" s="39">
        <f>+SUM(C73:C75)</f>
        <v>533.58971999999994</v>
      </c>
      <c r="D72" s="40">
        <f>+SUM(D73:D75)</f>
        <v>534564.72</v>
      </c>
      <c r="E72" s="48"/>
      <c r="F72" s="48"/>
    </row>
    <row r="73" spans="1:8" s="2" customFormat="1" x14ac:dyDescent="0.25">
      <c r="A73" s="25">
        <v>42069</v>
      </c>
      <c r="B73" s="44" t="s">
        <v>114</v>
      </c>
      <c r="C73" s="53">
        <v>141.55572000000001</v>
      </c>
      <c r="D73" s="20">
        <v>141555.72</v>
      </c>
      <c r="E73" s="48">
        <v>90877</v>
      </c>
      <c r="F73" s="48">
        <v>4213</v>
      </c>
    </row>
    <row r="74" spans="1:8" s="2" customFormat="1" x14ac:dyDescent="0.25">
      <c r="A74" s="25"/>
      <c r="B74" s="44" t="s">
        <v>121</v>
      </c>
      <c r="C74" s="20">
        <v>0</v>
      </c>
      <c r="D74" s="21">
        <v>975</v>
      </c>
      <c r="E74" s="48">
        <v>90877</v>
      </c>
      <c r="F74" s="48">
        <v>4213</v>
      </c>
    </row>
    <row r="75" spans="1:8" s="2" customFormat="1" x14ac:dyDescent="0.25">
      <c r="A75" s="25"/>
      <c r="B75" s="44" t="s">
        <v>110</v>
      </c>
      <c r="C75" s="20">
        <v>392.03399999999999</v>
      </c>
      <c r="D75" s="21">
        <v>392034</v>
      </c>
      <c r="E75" s="48">
        <v>90909</v>
      </c>
      <c r="F75" s="48">
        <v>4213</v>
      </c>
    </row>
    <row r="76" spans="1:8" s="2" customFormat="1" x14ac:dyDescent="0.25">
      <c r="A76" s="25"/>
      <c r="B76" s="23"/>
      <c r="C76" s="20"/>
      <c r="D76" s="40"/>
      <c r="E76" s="48"/>
      <c r="F76" s="48"/>
    </row>
    <row r="77" spans="1:8" s="2" customFormat="1" x14ac:dyDescent="0.25">
      <c r="A77" s="25"/>
      <c r="B77" s="13" t="s">
        <v>45</v>
      </c>
      <c r="C77" s="39">
        <f>+SUM(C78:C78)</f>
        <v>0</v>
      </c>
      <c r="D77" s="40">
        <f>+SUM(D78:D78)</f>
        <v>16575</v>
      </c>
      <c r="E77" s="48"/>
      <c r="F77" s="48"/>
    </row>
    <row r="78" spans="1:8" s="2" customFormat="1" x14ac:dyDescent="0.25">
      <c r="A78" s="25"/>
      <c r="B78" s="44" t="s">
        <v>121</v>
      </c>
      <c r="C78" s="20">
        <v>0</v>
      </c>
      <c r="D78" s="21">
        <v>16575</v>
      </c>
      <c r="E78" s="48">
        <v>15835</v>
      </c>
      <c r="F78" s="48">
        <v>4216</v>
      </c>
    </row>
    <row r="79" spans="1:8" s="2" customFormat="1" x14ac:dyDescent="0.25">
      <c r="A79" s="25"/>
      <c r="B79" s="23"/>
      <c r="C79" s="20"/>
      <c r="D79" s="21"/>
      <c r="E79" s="48"/>
      <c r="F79" s="48"/>
    </row>
    <row r="80" spans="1:8" s="2" customFormat="1" x14ac:dyDescent="0.25">
      <c r="A80" s="25"/>
      <c r="B80" s="38" t="s">
        <v>91</v>
      </c>
      <c r="C80" s="40">
        <f>+C82+C81+C83</f>
        <v>5171.2852200000007</v>
      </c>
      <c r="D80" s="40">
        <f>+D82+D81+D83</f>
        <v>5171285.2200000007</v>
      </c>
      <c r="E80" s="48"/>
      <c r="F80" s="48"/>
    </row>
    <row r="81" spans="1:8" s="2" customFormat="1" x14ac:dyDescent="0.25">
      <c r="A81" s="25">
        <v>42034</v>
      </c>
      <c r="B81" s="24" t="s">
        <v>103</v>
      </c>
      <c r="C81" s="20">
        <v>4395.5924400000004</v>
      </c>
      <c r="D81" s="21">
        <v>4395592.4400000004</v>
      </c>
      <c r="E81" s="48">
        <v>17871</v>
      </c>
      <c r="F81" s="48">
        <v>4216</v>
      </c>
    </row>
    <row r="82" spans="1:8" x14ac:dyDescent="0.25">
      <c r="A82" s="25">
        <v>42034</v>
      </c>
      <c r="B82" s="24" t="s">
        <v>103</v>
      </c>
      <c r="C82" s="20">
        <v>775.69277999999997</v>
      </c>
      <c r="D82" s="21">
        <v>775692.78</v>
      </c>
      <c r="E82" s="48">
        <v>17870</v>
      </c>
      <c r="F82" s="48">
        <v>4216</v>
      </c>
      <c r="G82" s="2"/>
      <c r="H82" s="2"/>
    </row>
    <row r="83" spans="1:8" x14ac:dyDescent="0.25">
      <c r="A83" s="25"/>
      <c r="B83" s="24"/>
      <c r="C83" s="20"/>
      <c r="D83" s="21"/>
      <c r="E83" s="48"/>
      <c r="F83" s="48">
        <v>4216</v>
      </c>
      <c r="G83" s="2"/>
      <c r="H83" s="2"/>
    </row>
    <row r="84" spans="1:8" s="2" customFormat="1" x14ac:dyDescent="0.25">
      <c r="A84" s="25"/>
      <c r="B84" s="30" t="s">
        <v>50</v>
      </c>
      <c r="C84" s="30">
        <f>+SUM(C85:C87)</f>
        <v>26736.119480000001</v>
      </c>
      <c r="D84" s="31">
        <f>+SUM(D85:D87)</f>
        <v>44243685.079999998</v>
      </c>
      <c r="E84" s="48"/>
      <c r="F84" s="48"/>
    </row>
    <row r="85" spans="1:8" s="2" customFormat="1" x14ac:dyDescent="0.25">
      <c r="A85" s="25">
        <v>42073</v>
      </c>
      <c r="B85" s="24" t="s">
        <v>112</v>
      </c>
      <c r="C85" s="20">
        <v>24568.326000000001</v>
      </c>
      <c r="D85" s="21">
        <v>24568326</v>
      </c>
      <c r="E85" s="48">
        <v>86505</v>
      </c>
      <c r="F85" s="48">
        <v>4223</v>
      </c>
    </row>
    <row r="86" spans="1:8" s="2" customFormat="1" x14ac:dyDescent="0.25">
      <c r="A86" s="25">
        <v>42073</v>
      </c>
      <c r="B86" s="24" t="s">
        <v>112</v>
      </c>
      <c r="C86" s="20">
        <v>2167.7934799999998</v>
      </c>
      <c r="D86" s="21">
        <v>2167793.48</v>
      </c>
      <c r="E86" s="48">
        <v>86501</v>
      </c>
      <c r="F86" s="48">
        <v>4223</v>
      </c>
    </row>
    <row r="87" spans="1:8" s="2" customFormat="1" x14ac:dyDescent="0.25">
      <c r="A87" s="25">
        <v>42087</v>
      </c>
      <c r="B87" s="23" t="s">
        <v>123</v>
      </c>
      <c r="C87" s="46">
        <v>0</v>
      </c>
      <c r="D87" s="47">
        <v>17507565.600000001</v>
      </c>
      <c r="E87" s="22">
        <v>86505</v>
      </c>
      <c r="F87" s="48">
        <v>4223</v>
      </c>
    </row>
    <row r="88" spans="1:8" s="2" customFormat="1" x14ac:dyDescent="0.25">
      <c r="A88" s="25"/>
      <c r="B88" s="24"/>
      <c r="C88" s="46"/>
      <c r="D88" s="86"/>
      <c r="E88" s="48"/>
      <c r="F88" s="48"/>
      <c r="G88" s="1"/>
    </row>
    <row r="89" spans="1:8" s="2" customFormat="1" x14ac:dyDescent="0.25">
      <c r="A89" s="25"/>
      <c r="B89" s="70" t="s">
        <v>55</v>
      </c>
      <c r="C89" s="26">
        <f>+C84+C80+C77+C72</f>
        <v>32440.994420000003</v>
      </c>
      <c r="D89" s="26">
        <f>+D84+D80+D77+D72</f>
        <v>49966110.019999996</v>
      </c>
      <c r="E89" s="71"/>
      <c r="F89" s="28"/>
      <c r="G89" s="1"/>
    </row>
    <row r="90" spans="1:8" s="2" customFormat="1" ht="16.5" thickBot="1" x14ac:dyDescent="0.3">
      <c r="A90" s="72"/>
      <c r="B90" s="73"/>
      <c r="C90" s="74"/>
      <c r="D90" s="75"/>
      <c r="E90" s="76"/>
      <c r="F90" s="76"/>
      <c r="G90" s="1"/>
    </row>
    <row r="91" spans="1:8" s="2" customFormat="1" ht="6.75" customHeight="1" x14ac:dyDescent="0.25">
      <c r="A91" s="87"/>
      <c r="D91" s="45"/>
      <c r="E91" s="88"/>
      <c r="F91" s="88"/>
      <c r="G91" s="1"/>
    </row>
    <row r="92" spans="1:8" s="2" customFormat="1" ht="8.25" customHeight="1" thickBot="1" x14ac:dyDescent="0.3">
      <c r="A92" s="89"/>
      <c r="B92" s="90"/>
      <c r="C92" s="90"/>
      <c r="D92" s="91"/>
      <c r="E92" s="92"/>
      <c r="F92" s="92"/>
      <c r="G92" s="1"/>
    </row>
    <row r="93" spans="1:8" s="2" customFormat="1" x14ac:dyDescent="0.25">
      <c r="A93" s="93"/>
      <c r="B93" s="94"/>
      <c r="C93" s="94"/>
      <c r="D93" s="5"/>
      <c r="E93" s="95"/>
      <c r="F93" s="165"/>
      <c r="G93" s="88"/>
      <c r="H93" s="1"/>
    </row>
    <row r="94" spans="1:8" s="2" customFormat="1" ht="16.5" thickBot="1" x14ac:dyDescent="0.3">
      <c r="A94" s="93"/>
      <c r="B94" s="9" t="s">
        <v>56</v>
      </c>
      <c r="C94" s="9" t="s">
        <v>3</v>
      </c>
      <c r="D94" s="10" t="s">
        <v>4</v>
      </c>
      <c r="E94" s="95"/>
      <c r="F94" s="165"/>
      <c r="G94" s="88"/>
      <c r="H94" s="1"/>
    </row>
    <row r="95" spans="1:8" s="2" customFormat="1" ht="9.75" customHeight="1" x14ac:dyDescent="0.25">
      <c r="A95" s="93"/>
      <c r="B95" s="96"/>
      <c r="C95" s="96"/>
      <c r="D95" s="97"/>
      <c r="E95" s="95"/>
      <c r="F95" s="165"/>
      <c r="G95" s="88"/>
      <c r="H95" s="1"/>
    </row>
    <row r="96" spans="1:8" s="2" customFormat="1" x14ac:dyDescent="0.25">
      <c r="A96" s="98"/>
      <c r="B96" s="99" t="s">
        <v>57</v>
      </c>
      <c r="C96" s="99">
        <f>+C66</f>
        <v>21548.23343</v>
      </c>
      <c r="D96" s="56">
        <f>+D66</f>
        <v>15712291.67</v>
      </c>
      <c r="E96" s="100"/>
      <c r="F96" s="80"/>
      <c r="G96" s="88"/>
      <c r="H96" s="1"/>
    </row>
    <row r="97" spans="1:9" s="2" customFormat="1" x14ac:dyDescent="0.25">
      <c r="A97" s="98"/>
      <c r="B97" s="99" t="s">
        <v>58</v>
      </c>
      <c r="C97" s="99">
        <f>+C89</f>
        <v>32440.994420000003</v>
      </c>
      <c r="D97" s="122">
        <f>+D89</f>
        <v>49966110.019999996</v>
      </c>
      <c r="E97" s="101"/>
      <c r="F97" s="92"/>
      <c r="G97" s="88"/>
      <c r="H97" s="1"/>
    </row>
    <row r="98" spans="1:9" s="2" customFormat="1" ht="6.75" customHeight="1" x14ac:dyDescent="0.25">
      <c r="A98" s="98"/>
      <c r="B98" s="99"/>
      <c r="C98" s="99"/>
      <c r="D98" s="56"/>
      <c r="E98" s="101"/>
      <c r="F98" s="92"/>
      <c r="G98" s="88"/>
      <c r="H98" s="1"/>
    </row>
    <row r="99" spans="1:9" s="2" customFormat="1" x14ac:dyDescent="0.25">
      <c r="A99" s="98"/>
      <c r="B99" s="102" t="s">
        <v>59</v>
      </c>
      <c r="C99" s="102">
        <f>+C96+C97</f>
        <v>53989.227850000003</v>
      </c>
      <c r="D99" s="27">
        <f>SUM(D96:D97)</f>
        <v>65678401.689999998</v>
      </c>
      <c r="E99" s="101"/>
      <c r="F99" s="92"/>
      <c r="H99" s="1"/>
    </row>
    <row r="100" spans="1:9" s="2" customFormat="1" ht="11.25" customHeight="1" thickBot="1" x14ac:dyDescent="0.3">
      <c r="A100" s="98"/>
      <c r="B100" s="103"/>
      <c r="C100" s="103"/>
      <c r="D100" s="75"/>
      <c r="E100" s="100"/>
      <c r="F100" s="80"/>
      <c r="H100" s="1"/>
      <c r="I100" s="109"/>
    </row>
    <row r="101" spans="1:9" s="2" customFormat="1" x14ac:dyDescent="0.25">
      <c r="A101" s="87"/>
      <c r="D101" s="45"/>
      <c r="E101" s="1"/>
      <c r="G101" s="1"/>
      <c r="H101" s="1"/>
      <c r="I101" s="180"/>
    </row>
    <row r="102" spans="1:9" x14ac:dyDescent="0.25">
      <c r="B102" s="130"/>
      <c r="C102" s="131"/>
      <c r="D102" s="154"/>
      <c r="E102" s="104"/>
      <c r="F102" s="104"/>
      <c r="G102" s="1"/>
      <c r="H102" s="1"/>
      <c r="I102" s="45"/>
    </row>
    <row r="103" spans="1:9" x14ac:dyDescent="0.25">
      <c r="B103" s="187"/>
      <c r="C103" s="187"/>
      <c r="D103" s="187"/>
      <c r="E103" s="188"/>
      <c r="F103" s="188"/>
      <c r="G103" s="188"/>
      <c r="H103" s="187"/>
    </row>
    <row r="104" spans="1:9" x14ac:dyDescent="0.25">
      <c r="B104" s="187"/>
      <c r="D104" s="187"/>
      <c r="E104" s="188"/>
      <c r="F104" s="188"/>
      <c r="G104" s="187"/>
      <c r="H104" s="187"/>
    </row>
    <row r="105" spans="1:9" x14ac:dyDescent="0.25">
      <c r="B105" s="187"/>
      <c r="D105" s="187"/>
      <c r="E105" s="188"/>
      <c r="F105" s="188"/>
      <c r="G105" s="188"/>
    </row>
    <row r="106" spans="1:9" x14ac:dyDescent="0.25">
      <c r="B106" s="187"/>
      <c r="C106" s="187"/>
      <c r="D106" s="187"/>
      <c r="E106" s="188"/>
      <c r="F106" s="188"/>
      <c r="G106" s="188"/>
    </row>
    <row r="107" spans="1:9" x14ac:dyDescent="0.25">
      <c r="B107" s="187"/>
      <c r="C107" s="187"/>
      <c r="D107" s="187"/>
      <c r="E107" s="188"/>
      <c r="F107" s="188"/>
      <c r="G107" s="188"/>
      <c r="H107" s="187"/>
    </row>
    <row r="108" spans="1:9" x14ac:dyDescent="0.25">
      <c r="B108" s="187"/>
      <c r="C108" s="187"/>
      <c r="D108" s="187"/>
      <c r="E108" s="188"/>
      <c r="F108" s="188"/>
      <c r="G108" s="187"/>
      <c r="H108" s="187"/>
    </row>
    <row r="109" spans="1:9" x14ac:dyDescent="0.25">
      <c r="B109" s="187"/>
      <c r="C109" s="187"/>
      <c r="D109" s="187"/>
      <c r="E109" s="188"/>
      <c r="F109" s="188"/>
      <c r="G109" s="188"/>
      <c r="H109" s="187"/>
    </row>
    <row r="110" spans="1:9" x14ac:dyDescent="0.25">
      <c r="B110" s="187"/>
      <c r="C110" s="187"/>
      <c r="D110" s="187"/>
      <c r="E110" s="188"/>
      <c r="F110" s="188"/>
      <c r="G110" s="188"/>
      <c r="H110" s="187"/>
    </row>
    <row r="111" spans="1:9" x14ac:dyDescent="0.25">
      <c r="B111" s="187"/>
      <c r="C111" s="187"/>
      <c r="D111" s="187"/>
      <c r="E111" s="188"/>
      <c r="F111" s="188"/>
      <c r="G111" s="188"/>
      <c r="H111" s="187"/>
    </row>
    <row r="112" spans="1:9" x14ac:dyDescent="0.25">
      <c r="B112" s="187"/>
      <c r="C112" s="187"/>
      <c r="D112" s="187"/>
      <c r="E112" s="188"/>
      <c r="F112" s="188"/>
      <c r="G112" s="188"/>
      <c r="H112" s="187"/>
    </row>
    <row r="113" spans="2:8" x14ac:dyDescent="0.25">
      <c r="B113" s="187"/>
      <c r="C113" s="187"/>
      <c r="D113" s="187"/>
      <c r="E113" s="188"/>
      <c r="F113" s="188"/>
      <c r="G113" s="188"/>
      <c r="H113" s="187"/>
    </row>
    <row r="114" spans="2:8" x14ac:dyDescent="0.25">
      <c r="B114" s="187"/>
      <c r="C114" s="187"/>
      <c r="D114" s="187"/>
      <c r="E114" s="187"/>
      <c r="F114" s="187"/>
      <c r="G114" s="188"/>
      <c r="H114" s="187"/>
    </row>
    <row r="115" spans="2:8" x14ac:dyDescent="0.25">
      <c r="B115" s="187"/>
      <c r="C115" s="187"/>
      <c r="D115" s="187"/>
      <c r="E115" s="188"/>
      <c r="F115" s="188"/>
      <c r="G115" s="188"/>
      <c r="H115" s="187"/>
    </row>
    <row r="116" spans="2:8" x14ac:dyDescent="0.25">
      <c r="B116" s="187"/>
      <c r="C116" s="187"/>
      <c r="D116" s="187"/>
      <c r="E116" s="188"/>
      <c r="F116" s="188"/>
      <c r="G116" s="188"/>
      <c r="H116" s="187"/>
    </row>
    <row r="117" spans="2:8" x14ac:dyDescent="0.25">
      <c r="B117" s="187"/>
      <c r="C117" s="187"/>
      <c r="D117" s="187"/>
      <c r="E117" s="188"/>
      <c r="F117" s="188"/>
      <c r="G117" s="188"/>
      <c r="H117" s="187"/>
    </row>
    <row r="118" spans="2:8" x14ac:dyDescent="0.25">
      <c r="B118" s="187"/>
      <c r="C118" s="187"/>
      <c r="D118" s="187"/>
      <c r="E118" s="187"/>
      <c r="F118" s="187"/>
      <c r="G118" s="187"/>
      <c r="H118" s="187"/>
    </row>
    <row r="119" spans="2:8" x14ac:dyDescent="0.25">
      <c r="B119" s="187"/>
      <c r="C119" s="187"/>
      <c r="D119" s="187"/>
      <c r="E119" s="188"/>
      <c r="F119" s="188"/>
      <c r="G119" s="187"/>
      <c r="H119" s="187"/>
    </row>
    <row r="120" spans="2:8" x14ac:dyDescent="0.25">
      <c r="B120" s="187"/>
      <c r="C120" s="187"/>
      <c r="D120" s="187"/>
      <c r="E120" s="188"/>
      <c r="F120" s="188"/>
      <c r="G120" s="188"/>
      <c r="H120" s="187"/>
    </row>
    <row r="121" spans="2:8" x14ac:dyDescent="0.25">
      <c r="B121" s="187"/>
      <c r="C121" s="187"/>
      <c r="D121" s="187"/>
      <c r="E121" s="188"/>
      <c r="F121" s="188"/>
      <c r="G121" s="188"/>
      <c r="H121" s="187"/>
    </row>
    <row r="122" spans="2:8" x14ac:dyDescent="0.25">
      <c r="B122" s="187"/>
      <c r="C122" s="187"/>
      <c r="D122" s="187"/>
      <c r="E122" s="187"/>
      <c r="F122" s="187"/>
      <c r="G122" s="188"/>
      <c r="H122" s="187"/>
    </row>
    <row r="123" spans="2:8" x14ac:dyDescent="0.25">
      <c r="B123" s="187"/>
      <c r="C123" s="187"/>
      <c r="D123" s="187"/>
      <c r="E123" s="187"/>
      <c r="F123" s="187"/>
      <c r="G123" s="188"/>
      <c r="H123" s="187"/>
    </row>
    <row r="124" spans="2:8" x14ac:dyDescent="0.25">
      <c r="B124" s="187"/>
      <c r="C124" s="187"/>
      <c r="D124" s="187"/>
      <c r="E124" s="188"/>
      <c r="F124" s="188"/>
      <c r="G124" s="188"/>
      <c r="H124" s="187"/>
    </row>
    <row r="125" spans="2:8" x14ac:dyDescent="0.25">
      <c r="B125" s="187"/>
      <c r="C125" s="187"/>
      <c r="D125" s="187"/>
      <c r="E125" s="187"/>
      <c r="F125" s="187"/>
      <c r="G125" s="188"/>
      <c r="H125" s="187"/>
    </row>
    <row r="126" spans="2:8" x14ac:dyDescent="0.25">
      <c r="B126" s="187"/>
      <c r="C126" s="187"/>
      <c r="D126" s="187"/>
      <c r="E126" s="187"/>
      <c r="F126" s="187"/>
      <c r="G126" s="187"/>
      <c r="H126" s="187"/>
    </row>
    <row r="127" spans="2:8" x14ac:dyDescent="0.25">
      <c r="B127" s="187"/>
      <c r="C127" s="187"/>
      <c r="D127" s="187"/>
      <c r="E127" s="187"/>
      <c r="F127" s="187"/>
      <c r="G127" s="187"/>
      <c r="H127" s="187"/>
    </row>
    <row r="128" spans="2:8" x14ac:dyDescent="0.25">
      <c r="B128" s="187"/>
      <c r="C128" s="187"/>
      <c r="D128" s="187"/>
      <c r="E128" s="187"/>
      <c r="F128" s="187"/>
      <c r="G128" s="188"/>
      <c r="H128" s="187"/>
    </row>
    <row r="129" spans="2:8" x14ac:dyDescent="0.25">
      <c r="B129" s="187"/>
      <c r="C129" s="187"/>
      <c r="D129" s="187"/>
      <c r="E129" s="187"/>
      <c r="F129" s="187"/>
      <c r="G129" s="187"/>
      <c r="H129" s="187"/>
    </row>
    <row r="130" spans="2:8" x14ac:dyDescent="0.25">
      <c r="B130" s="187"/>
      <c r="C130" s="187"/>
      <c r="D130" s="187"/>
      <c r="E130" s="187"/>
      <c r="F130" s="187"/>
      <c r="G130" s="187"/>
      <c r="H130" s="187"/>
    </row>
    <row r="167" spans="1:8" x14ac:dyDescent="0.25">
      <c r="A167" s="189"/>
      <c r="B167" s="190"/>
      <c r="C167" s="190"/>
      <c r="D167" s="191"/>
      <c r="E167" s="192"/>
      <c r="F167" s="193"/>
      <c r="G167" s="191"/>
      <c r="H167" s="194"/>
    </row>
    <row r="168" spans="1:8" x14ac:dyDescent="0.25">
      <c r="A168" s="189"/>
      <c r="B168" s="190"/>
      <c r="C168" s="190"/>
      <c r="D168" s="191"/>
      <c r="E168" s="192"/>
      <c r="F168" s="193"/>
      <c r="G168" s="191"/>
      <c r="H168" s="194"/>
    </row>
    <row r="169" spans="1:8" x14ac:dyDescent="0.25">
      <c r="A169" s="189"/>
      <c r="B169" s="190"/>
      <c r="C169" s="190"/>
      <c r="D169" s="191"/>
      <c r="E169" s="192"/>
      <c r="F169" s="193"/>
      <c r="G169" s="191"/>
      <c r="H169" s="194"/>
    </row>
    <row r="170" spans="1:8" x14ac:dyDescent="0.25">
      <c r="A170" s="189"/>
      <c r="B170" s="190"/>
      <c r="C170" s="190"/>
      <c r="D170" s="191"/>
      <c r="E170" s="192"/>
      <c r="F170" s="193"/>
      <c r="G170" s="191"/>
      <c r="H170" s="194"/>
    </row>
    <row r="171" spans="1:8" x14ac:dyDescent="0.25">
      <c r="A171" s="189"/>
      <c r="B171" s="190"/>
      <c r="C171" s="190"/>
      <c r="D171" s="191"/>
      <c r="E171" s="192"/>
      <c r="F171" s="193"/>
      <c r="G171" s="191"/>
      <c r="H171" s="194"/>
    </row>
    <row r="172" spans="1:8" x14ac:dyDescent="0.25">
      <c r="A172" s="189"/>
      <c r="B172" s="190"/>
      <c r="C172" s="190"/>
      <c r="D172" s="191"/>
      <c r="E172" s="192"/>
      <c r="F172" s="193"/>
      <c r="G172" s="191"/>
      <c r="H172" s="194"/>
    </row>
    <row r="173" spans="1:8" x14ac:dyDescent="0.25">
      <c r="A173" s="189"/>
      <c r="B173" s="190"/>
      <c r="C173" s="190"/>
      <c r="D173" s="191"/>
      <c r="E173" s="192"/>
      <c r="F173" s="193"/>
      <c r="G173" s="191"/>
      <c r="H173" s="194"/>
    </row>
    <row r="174" spans="1:8" x14ac:dyDescent="0.25">
      <c r="A174" s="189"/>
      <c r="B174" s="190"/>
      <c r="C174" s="190"/>
      <c r="D174" s="191"/>
      <c r="E174" s="192"/>
      <c r="F174" s="193"/>
      <c r="G174" s="191"/>
      <c r="H174" s="194"/>
    </row>
    <row r="175" spans="1:8" x14ac:dyDescent="0.25">
      <c r="A175" s="189"/>
      <c r="B175" s="190"/>
      <c r="C175" s="190"/>
      <c r="D175" s="191"/>
      <c r="E175" s="192"/>
      <c r="F175" s="193"/>
      <c r="G175" s="191"/>
      <c r="H175" s="194"/>
    </row>
    <row r="176" spans="1:8" x14ac:dyDescent="0.25">
      <c r="A176" s="189"/>
      <c r="B176" s="190"/>
      <c r="C176" s="190"/>
      <c r="D176" s="191"/>
      <c r="E176" s="192"/>
      <c r="F176" s="193"/>
      <c r="G176" s="191"/>
      <c r="H176" s="194"/>
    </row>
    <row r="177" spans="1:8" x14ac:dyDescent="0.25">
      <c r="A177" s="189"/>
      <c r="B177" s="190"/>
      <c r="C177" s="190"/>
      <c r="D177" s="191"/>
      <c r="E177" s="192"/>
      <c r="F177" s="193"/>
      <c r="G177" s="191"/>
      <c r="H177" s="194"/>
    </row>
    <row r="178" spans="1:8" x14ac:dyDescent="0.25">
      <c r="A178" s="189"/>
      <c r="B178" s="190"/>
      <c r="C178" s="190"/>
      <c r="D178" s="191"/>
      <c r="E178" s="192"/>
      <c r="F178" s="193"/>
      <c r="G178" s="191"/>
      <c r="H178" s="194"/>
    </row>
    <row r="179" spans="1:8" x14ac:dyDescent="0.25">
      <c r="A179" s="189"/>
      <c r="B179" s="190"/>
      <c r="C179" s="190"/>
      <c r="D179" s="191"/>
      <c r="E179" s="192"/>
      <c r="F179" s="193"/>
      <c r="G179" s="191"/>
      <c r="H179" s="194"/>
    </row>
    <row r="180" spans="1:8" x14ac:dyDescent="0.25">
      <c r="A180" s="189"/>
      <c r="B180" s="190"/>
      <c r="C180" s="190"/>
      <c r="D180" s="191"/>
      <c r="E180" s="192"/>
      <c r="F180" s="193"/>
      <c r="G180" s="191"/>
      <c r="H180" s="194"/>
    </row>
    <row r="181" spans="1:8" x14ac:dyDescent="0.25">
      <c r="A181" s="189"/>
      <c r="B181" s="190"/>
      <c r="C181" s="190"/>
      <c r="D181" s="191"/>
      <c r="E181" s="192"/>
      <c r="F181" s="193"/>
      <c r="G181" s="191"/>
      <c r="H181" s="194"/>
    </row>
    <row r="182" spans="1:8" x14ac:dyDescent="0.25">
      <c r="A182" s="189"/>
      <c r="B182" s="190"/>
      <c r="C182" s="190"/>
      <c r="D182" s="191"/>
      <c r="E182" s="192"/>
      <c r="F182" s="193"/>
      <c r="G182" s="191"/>
      <c r="H182" s="194"/>
    </row>
    <row r="183" spans="1:8" x14ac:dyDescent="0.25">
      <c r="A183" s="189"/>
      <c r="B183" s="190"/>
      <c r="C183" s="190"/>
      <c r="D183" s="191"/>
      <c r="E183" s="192"/>
      <c r="F183" s="193"/>
      <c r="G183" s="191"/>
      <c r="H183" s="194"/>
    </row>
    <row r="184" spans="1:8" x14ac:dyDescent="0.25">
      <c r="A184" s="189"/>
      <c r="B184" s="190"/>
      <c r="C184" s="190"/>
      <c r="D184" s="191"/>
      <c r="E184" s="192"/>
      <c r="F184" s="193"/>
      <c r="G184" s="191"/>
      <c r="H184" s="194"/>
    </row>
    <row r="185" spans="1:8" x14ac:dyDescent="0.25">
      <c r="A185" s="189"/>
      <c r="B185" s="190"/>
      <c r="C185" s="190"/>
      <c r="D185" s="191"/>
      <c r="E185" s="192"/>
      <c r="F185" s="193"/>
      <c r="G185" s="191"/>
      <c r="H185" s="194"/>
    </row>
    <row r="186" spans="1:8" x14ac:dyDescent="0.25">
      <c r="A186" s="189"/>
      <c r="B186" s="190"/>
      <c r="C186" s="190"/>
      <c r="D186" s="191"/>
      <c r="E186" s="192"/>
      <c r="F186" s="193"/>
      <c r="G186" s="191"/>
      <c r="H186" s="194"/>
    </row>
    <row r="187" spans="1:8" x14ac:dyDescent="0.25">
      <c r="A187" s="189"/>
      <c r="B187" s="190"/>
      <c r="C187" s="190"/>
      <c r="D187" s="191"/>
      <c r="E187" s="192"/>
      <c r="F187" s="193"/>
      <c r="G187" s="191"/>
      <c r="H187" s="194"/>
    </row>
    <row r="188" spans="1:8" x14ac:dyDescent="0.25">
      <c r="A188" s="189"/>
      <c r="B188" s="190"/>
      <c r="C188" s="190"/>
      <c r="D188" s="191"/>
      <c r="E188" s="192"/>
      <c r="F188" s="193"/>
      <c r="G188" s="191"/>
      <c r="H188" s="194"/>
    </row>
    <row r="189" spans="1:8" x14ac:dyDescent="0.25">
      <c r="A189" s="189"/>
      <c r="B189" s="190"/>
      <c r="C189" s="190"/>
      <c r="D189" s="191"/>
      <c r="E189" s="192"/>
      <c r="F189" s="193"/>
      <c r="G189" s="191"/>
      <c r="H189" s="194"/>
    </row>
    <row r="190" spans="1:8" x14ac:dyDescent="0.25">
      <c r="A190" s="189"/>
      <c r="B190" s="190"/>
      <c r="C190" s="190"/>
      <c r="D190" s="191"/>
      <c r="E190" s="192"/>
      <c r="F190" s="193"/>
      <c r="G190" s="191"/>
      <c r="H190" s="194"/>
    </row>
    <row r="191" spans="1:8" x14ac:dyDescent="0.25">
      <c r="A191" s="189"/>
      <c r="B191" s="190"/>
      <c r="C191" s="190"/>
      <c r="D191" s="191"/>
      <c r="E191" s="192"/>
      <c r="F191" s="193"/>
      <c r="G191" s="191"/>
      <c r="H191" s="194"/>
    </row>
    <row r="192" spans="1:8" x14ac:dyDescent="0.25">
      <c r="A192" s="189"/>
      <c r="B192" s="190"/>
      <c r="C192" s="190"/>
      <c r="D192" s="191"/>
      <c r="E192" s="192"/>
      <c r="F192" s="193"/>
      <c r="G192" s="191"/>
      <c r="H192" s="194"/>
    </row>
    <row r="193" spans="1:8" x14ac:dyDescent="0.25">
      <c r="A193" s="189"/>
      <c r="B193" s="190"/>
      <c r="C193" s="190"/>
      <c r="D193" s="191"/>
      <c r="E193" s="192"/>
      <c r="F193" s="193"/>
      <c r="G193" s="191"/>
      <c r="H193" s="194"/>
    </row>
    <row r="194" spans="1:8" x14ac:dyDescent="0.25">
      <c r="A194" s="189"/>
      <c r="B194" s="190"/>
      <c r="C194" s="190"/>
      <c r="D194" s="191"/>
      <c r="E194" s="192"/>
      <c r="F194" s="193"/>
      <c r="G194" s="191"/>
      <c r="H194" s="194"/>
    </row>
    <row r="195" spans="1:8" x14ac:dyDescent="0.25">
      <c r="A195" s="189"/>
      <c r="B195" s="190"/>
      <c r="C195" s="190"/>
      <c r="D195" s="191"/>
      <c r="E195" s="192"/>
      <c r="F195" s="193"/>
      <c r="G195" s="191"/>
      <c r="H195" s="194"/>
    </row>
    <row r="196" spans="1:8" x14ac:dyDescent="0.25">
      <c r="A196" s="189"/>
      <c r="B196" s="190"/>
      <c r="C196" s="190"/>
      <c r="D196" s="191"/>
      <c r="E196" s="192"/>
      <c r="F196" s="193"/>
      <c r="G196" s="191"/>
      <c r="H196" s="194"/>
    </row>
    <row r="197" spans="1:8" x14ac:dyDescent="0.25">
      <c r="A197" s="189"/>
      <c r="B197" s="190"/>
      <c r="C197" s="190"/>
      <c r="D197" s="191"/>
      <c r="E197" s="192"/>
      <c r="F197" s="193"/>
      <c r="G197" s="191"/>
      <c r="H197" s="194"/>
    </row>
    <row r="198" spans="1:8" x14ac:dyDescent="0.25">
      <c r="A198" s="189"/>
      <c r="B198" s="190"/>
      <c r="C198" s="190"/>
      <c r="D198" s="191"/>
      <c r="E198" s="192"/>
      <c r="F198" s="193"/>
      <c r="G198" s="191"/>
      <c r="H198" s="194"/>
    </row>
    <row r="199" spans="1:8" x14ac:dyDescent="0.25">
      <c r="A199" s="189"/>
      <c r="B199" s="190"/>
      <c r="C199" s="190"/>
      <c r="D199" s="191"/>
      <c r="E199" s="192"/>
      <c r="F199" s="193"/>
      <c r="G199" s="191"/>
      <c r="H199" s="194"/>
    </row>
    <row r="200" spans="1:8" x14ac:dyDescent="0.25">
      <c r="A200" s="189"/>
      <c r="B200" s="190"/>
      <c r="C200" s="190"/>
      <c r="D200" s="191"/>
      <c r="E200" s="192"/>
      <c r="F200" s="193"/>
      <c r="G200" s="191"/>
      <c r="H200" s="194"/>
    </row>
    <row r="201" spans="1:8" x14ac:dyDescent="0.25">
      <c r="A201" s="189"/>
      <c r="B201" s="190"/>
      <c r="C201" s="190"/>
      <c r="D201" s="191"/>
      <c r="E201" s="192"/>
      <c r="F201" s="193"/>
      <c r="G201" s="191"/>
      <c r="H201" s="194"/>
    </row>
    <row r="202" spans="1:8" x14ac:dyDescent="0.25">
      <c r="A202" s="189"/>
      <c r="B202" s="190"/>
      <c r="C202" s="190"/>
      <c r="D202" s="191"/>
      <c r="E202" s="192"/>
      <c r="F202" s="193"/>
      <c r="G202" s="191"/>
      <c r="H202" s="194"/>
    </row>
    <row r="203" spans="1:8" x14ac:dyDescent="0.25">
      <c r="A203" s="189"/>
      <c r="B203" s="190"/>
      <c r="C203" s="190"/>
      <c r="D203" s="191"/>
      <c r="E203" s="192"/>
      <c r="F203" s="193"/>
      <c r="G203" s="191"/>
      <c r="H203" s="194"/>
    </row>
    <row r="204" spans="1:8" x14ac:dyDescent="0.25">
      <c r="A204" s="189"/>
      <c r="B204" s="190"/>
      <c r="C204" s="190"/>
      <c r="D204" s="191"/>
      <c r="E204" s="192"/>
      <c r="F204" s="193"/>
      <c r="G204" s="191"/>
      <c r="H204" s="194"/>
    </row>
    <row r="205" spans="1:8" x14ac:dyDescent="0.25">
      <c r="A205" s="189"/>
      <c r="B205" s="190"/>
      <c r="C205" s="190"/>
      <c r="D205" s="191"/>
      <c r="E205" s="192"/>
      <c r="F205" s="193"/>
      <c r="G205" s="191"/>
      <c r="H205" s="194"/>
    </row>
    <row r="206" spans="1:8" x14ac:dyDescent="0.25">
      <c r="A206" s="189"/>
      <c r="B206" s="190"/>
      <c r="C206" s="190"/>
      <c r="D206" s="191"/>
      <c r="E206" s="192"/>
      <c r="F206" s="193"/>
      <c r="G206" s="191"/>
      <c r="H206" s="194"/>
    </row>
    <row r="207" spans="1:8" x14ac:dyDescent="0.25">
      <c r="A207" s="189"/>
      <c r="B207" s="190"/>
      <c r="C207" s="190"/>
      <c r="D207" s="191"/>
      <c r="E207" s="192"/>
      <c r="F207" s="193"/>
      <c r="G207" s="191"/>
      <c r="H207" s="194"/>
    </row>
    <row r="208" spans="1:8" x14ac:dyDescent="0.25">
      <c r="A208" s="189"/>
      <c r="B208" s="190"/>
      <c r="C208" s="190"/>
      <c r="D208" s="191"/>
      <c r="E208" s="192"/>
      <c r="F208" s="193"/>
      <c r="G208" s="191"/>
      <c r="H208" s="194"/>
    </row>
    <row r="209" spans="1:8" x14ac:dyDescent="0.25">
      <c r="A209" s="189"/>
      <c r="B209" s="190"/>
      <c r="C209" s="190"/>
      <c r="D209" s="191"/>
      <c r="E209" s="192"/>
      <c r="F209" s="193"/>
      <c r="G209" s="191"/>
      <c r="H209" s="194"/>
    </row>
    <row r="210" spans="1:8" x14ac:dyDescent="0.25">
      <c r="A210" s="189"/>
      <c r="B210" s="190"/>
      <c r="C210" s="190"/>
      <c r="D210" s="191"/>
      <c r="E210" s="192"/>
      <c r="F210" s="193"/>
      <c r="G210" s="191"/>
      <c r="H210" s="194"/>
    </row>
    <row r="211" spans="1:8" x14ac:dyDescent="0.25">
      <c r="A211" s="189"/>
      <c r="B211" s="190"/>
      <c r="C211" s="190"/>
      <c r="D211" s="191"/>
      <c r="E211" s="192"/>
      <c r="F211" s="193"/>
      <c r="G211" s="191"/>
      <c r="H211" s="194"/>
    </row>
    <row r="212" spans="1:8" x14ac:dyDescent="0.25">
      <c r="A212" s="189"/>
      <c r="B212" s="190"/>
      <c r="C212" s="190"/>
      <c r="D212" s="191"/>
      <c r="E212" s="192"/>
      <c r="F212" s="193"/>
      <c r="G212" s="191"/>
      <c r="H212" s="194"/>
    </row>
    <row r="213" spans="1:8" x14ac:dyDescent="0.25">
      <c r="A213" s="189"/>
      <c r="B213" s="190"/>
      <c r="C213" s="190"/>
      <c r="D213" s="191"/>
      <c r="E213" s="192"/>
      <c r="F213" s="193"/>
      <c r="G213" s="191"/>
      <c r="H213" s="194"/>
    </row>
    <row r="214" spans="1:8" x14ac:dyDescent="0.25">
      <c r="A214" s="189"/>
      <c r="B214" s="190"/>
      <c r="C214" s="190"/>
      <c r="D214" s="191"/>
      <c r="E214" s="192"/>
      <c r="F214" s="193"/>
      <c r="G214" s="191"/>
      <c r="H214" s="194"/>
    </row>
    <row r="215" spans="1:8" x14ac:dyDescent="0.25">
      <c r="A215" s="189"/>
      <c r="B215" s="190"/>
      <c r="C215" s="190"/>
      <c r="D215" s="191"/>
      <c r="E215" s="192"/>
      <c r="F215" s="193"/>
      <c r="G215" s="191"/>
      <c r="H215" s="194"/>
    </row>
    <row r="216" spans="1:8" x14ac:dyDescent="0.25">
      <c r="A216" s="189"/>
      <c r="B216" s="190"/>
      <c r="C216" s="190"/>
      <c r="D216" s="191"/>
      <c r="E216" s="192"/>
      <c r="F216" s="193"/>
      <c r="G216" s="191"/>
      <c r="H216" s="194"/>
    </row>
    <row r="217" spans="1:8" x14ac:dyDescent="0.25">
      <c r="A217" s="189"/>
      <c r="B217" s="190"/>
      <c r="C217" s="190"/>
      <c r="D217" s="191"/>
      <c r="E217" s="192"/>
      <c r="F217" s="193"/>
      <c r="G217" s="191"/>
      <c r="H217" s="194"/>
    </row>
    <row r="218" spans="1:8" x14ac:dyDescent="0.25">
      <c r="A218" s="189"/>
      <c r="B218" s="190"/>
      <c r="C218" s="190"/>
      <c r="D218" s="191"/>
      <c r="E218" s="192"/>
      <c r="F218" s="193"/>
      <c r="G218" s="191"/>
      <c r="H218" s="194"/>
    </row>
    <row r="219" spans="1:8" x14ac:dyDescent="0.25">
      <c r="A219" s="189"/>
      <c r="B219" s="190"/>
      <c r="C219" s="190"/>
      <c r="D219" s="191"/>
      <c r="E219" s="192"/>
      <c r="F219" s="193"/>
      <c r="G219" s="191"/>
      <c r="H219" s="194"/>
    </row>
    <row r="220" spans="1:8" x14ac:dyDescent="0.25">
      <c r="A220" s="189"/>
      <c r="B220" s="190"/>
      <c r="C220" s="190"/>
      <c r="D220" s="191"/>
      <c r="E220" s="192"/>
      <c r="F220" s="193"/>
      <c r="G220" s="191"/>
      <c r="H220" s="194"/>
    </row>
    <row r="221" spans="1:8" x14ac:dyDescent="0.25">
      <c r="A221" s="189"/>
      <c r="B221" s="190"/>
      <c r="C221" s="190"/>
      <c r="D221" s="191"/>
      <c r="E221" s="192"/>
      <c r="F221" s="193"/>
      <c r="G221" s="191"/>
      <c r="H221" s="194"/>
    </row>
    <row r="222" spans="1:8" x14ac:dyDescent="0.25">
      <c r="A222" s="189"/>
      <c r="B222" s="190"/>
      <c r="C222" s="190"/>
      <c r="D222" s="191"/>
      <c r="E222" s="192"/>
      <c r="F222" s="193"/>
      <c r="G222" s="191"/>
      <c r="H222" s="194"/>
    </row>
    <row r="223" spans="1:8" x14ac:dyDescent="0.25">
      <c r="A223" s="189"/>
      <c r="B223" s="190"/>
      <c r="C223" s="190"/>
      <c r="D223" s="191"/>
      <c r="E223" s="192"/>
      <c r="F223" s="193"/>
      <c r="G223" s="191"/>
      <c r="H223" s="194"/>
    </row>
    <row r="224" spans="1:8" x14ac:dyDescent="0.25">
      <c r="A224" s="189"/>
      <c r="B224" s="190"/>
      <c r="C224" s="190"/>
      <c r="D224" s="191"/>
      <c r="E224" s="192"/>
      <c r="F224" s="193"/>
      <c r="G224" s="191"/>
      <c r="H224" s="194"/>
    </row>
    <row r="225" spans="1:8" x14ac:dyDescent="0.25">
      <c r="A225" s="189"/>
      <c r="B225" s="190"/>
      <c r="C225" s="190"/>
      <c r="D225" s="191"/>
      <c r="E225" s="192"/>
      <c r="F225" s="193"/>
      <c r="G225" s="191"/>
      <c r="H225" s="194"/>
    </row>
    <row r="226" spans="1:8" x14ac:dyDescent="0.25">
      <c r="A226" s="189"/>
      <c r="B226" s="190"/>
      <c r="C226" s="190"/>
      <c r="D226" s="191"/>
      <c r="E226" s="192"/>
      <c r="F226" s="193"/>
      <c r="G226" s="191"/>
      <c r="H226" s="194"/>
    </row>
    <row r="227" spans="1:8" x14ac:dyDescent="0.25">
      <c r="A227" s="189"/>
      <c r="B227" s="190"/>
      <c r="C227" s="190"/>
      <c r="D227" s="191"/>
      <c r="E227" s="192"/>
      <c r="F227" s="193"/>
      <c r="G227" s="191"/>
      <c r="H227" s="194"/>
    </row>
    <row r="228" spans="1:8" x14ac:dyDescent="0.25">
      <c r="A228" s="189"/>
      <c r="B228" s="190"/>
      <c r="C228" s="190"/>
      <c r="D228" s="191"/>
      <c r="E228" s="192"/>
      <c r="F228" s="193"/>
      <c r="G228" s="191"/>
      <c r="H228" s="194"/>
    </row>
    <row r="229" spans="1:8" x14ac:dyDescent="0.25">
      <c r="A229" s="189"/>
      <c r="B229" s="190"/>
      <c r="C229" s="190"/>
      <c r="D229" s="191"/>
      <c r="E229" s="192"/>
      <c r="F229" s="193"/>
      <c r="G229" s="191"/>
      <c r="H229" s="194"/>
    </row>
    <row r="230" spans="1:8" x14ac:dyDescent="0.25">
      <c r="A230" s="189"/>
      <c r="B230" s="190"/>
      <c r="C230" s="190"/>
      <c r="D230" s="191"/>
      <c r="E230" s="192"/>
      <c r="F230" s="193"/>
      <c r="G230" s="191"/>
      <c r="H230" s="194"/>
    </row>
    <row r="231" spans="1:8" x14ac:dyDescent="0.25">
      <c r="A231" s="189"/>
      <c r="B231" s="190"/>
      <c r="C231" s="190"/>
      <c r="D231" s="191"/>
      <c r="E231" s="192"/>
      <c r="F231" s="193"/>
      <c r="G231" s="191"/>
      <c r="H231" s="194"/>
    </row>
    <row r="232" spans="1:8" x14ac:dyDescent="0.25">
      <c r="A232" s="189"/>
      <c r="B232" s="190"/>
      <c r="C232" s="190"/>
      <c r="D232" s="191"/>
      <c r="E232" s="192"/>
      <c r="F232" s="193"/>
      <c r="G232" s="191"/>
      <c r="H232" s="194"/>
    </row>
    <row r="233" spans="1:8" x14ac:dyDescent="0.25">
      <c r="A233" s="189"/>
      <c r="B233" s="190"/>
      <c r="C233" s="190"/>
      <c r="D233" s="191"/>
      <c r="E233" s="192"/>
      <c r="F233" s="193"/>
      <c r="G233" s="191"/>
      <c r="H233" s="194"/>
    </row>
    <row r="234" spans="1:8" x14ac:dyDescent="0.25">
      <c r="A234" s="189"/>
      <c r="B234" s="190"/>
      <c r="C234" s="190"/>
      <c r="D234" s="191"/>
      <c r="E234" s="192"/>
      <c r="F234" s="193"/>
      <c r="G234" s="191"/>
      <c r="H234" s="194"/>
    </row>
    <row r="235" spans="1:8" x14ac:dyDescent="0.25">
      <c r="A235" s="189"/>
      <c r="B235" s="190"/>
      <c r="C235" s="190"/>
      <c r="D235" s="191"/>
      <c r="E235" s="192"/>
      <c r="F235" s="193"/>
      <c r="G235" s="191"/>
      <c r="H235" s="194"/>
    </row>
    <row r="236" spans="1:8" x14ac:dyDescent="0.25">
      <c r="A236" s="189"/>
      <c r="B236" s="190"/>
      <c r="C236" s="190"/>
      <c r="D236" s="191"/>
      <c r="E236" s="192"/>
      <c r="F236" s="193"/>
      <c r="G236" s="191"/>
      <c r="H236" s="194"/>
    </row>
    <row r="237" spans="1:8" x14ac:dyDescent="0.25">
      <c r="A237" s="189"/>
      <c r="B237" s="190"/>
      <c r="C237" s="190"/>
      <c r="D237" s="191"/>
      <c r="E237" s="192"/>
      <c r="F237" s="193"/>
      <c r="G237" s="191"/>
      <c r="H237" s="194"/>
    </row>
    <row r="238" spans="1:8" x14ac:dyDescent="0.25">
      <c r="A238" s="189"/>
      <c r="B238" s="190"/>
      <c r="C238" s="190"/>
      <c r="D238" s="191"/>
      <c r="E238" s="192"/>
      <c r="F238" s="193"/>
      <c r="G238" s="191"/>
      <c r="H238" s="194"/>
    </row>
    <row r="239" spans="1:8" x14ac:dyDescent="0.25">
      <c r="A239" s="189"/>
      <c r="B239" s="190"/>
      <c r="C239" s="190"/>
      <c r="D239" s="191"/>
      <c r="E239" s="192"/>
      <c r="F239" s="193"/>
      <c r="G239" s="191"/>
      <c r="H239" s="194"/>
    </row>
    <row r="240" spans="1:8" x14ac:dyDescent="0.25">
      <c r="A240" s="189"/>
      <c r="B240" s="190"/>
      <c r="C240" s="190"/>
      <c r="D240" s="191"/>
      <c r="E240" s="192"/>
      <c r="F240" s="193"/>
      <c r="G240" s="191"/>
      <c r="H240" s="194"/>
    </row>
    <row r="241" spans="1:8" x14ac:dyDescent="0.25">
      <c r="A241" s="189"/>
      <c r="B241" s="190"/>
      <c r="C241" s="190"/>
      <c r="D241" s="191"/>
      <c r="E241" s="192"/>
      <c r="F241" s="193"/>
      <c r="G241" s="191"/>
      <c r="H241" s="194"/>
    </row>
    <row r="242" spans="1:8" x14ac:dyDescent="0.25">
      <c r="A242" s="189"/>
      <c r="B242" s="190"/>
      <c r="C242" s="190"/>
      <c r="D242" s="191"/>
      <c r="E242" s="192"/>
      <c r="F242" s="193"/>
      <c r="G242" s="191"/>
      <c r="H242" s="194"/>
    </row>
    <row r="243" spans="1:8" x14ac:dyDescent="0.25">
      <c r="A243" s="189"/>
      <c r="B243" s="190"/>
      <c r="C243" s="190"/>
      <c r="D243" s="191"/>
      <c r="E243" s="192"/>
      <c r="F243" s="193"/>
      <c r="G243" s="191"/>
      <c r="H243" s="194"/>
    </row>
    <row r="244" spans="1:8" x14ac:dyDescent="0.25">
      <c r="A244" s="189"/>
      <c r="B244" s="190"/>
      <c r="C244" s="190"/>
      <c r="D244" s="191"/>
      <c r="E244" s="192"/>
      <c r="F244" s="193"/>
      <c r="G244" s="191"/>
      <c r="H244" s="194"/>
    </row>
    <row r="245" spans="1:8" x14ac:dyDescent="0.25">
      <c r="A245" s="189"/>
      <c r="B245" s="190"/>
      <c r="C245" s="190"/>
      <c r="D245" s="191"/>
      <c r="E245" s="192"/>
      <c r="F245" s="193"/>
      <c r="G245" s="191"/>
      <c r="H245" s="194"/>
    </row>
    <row r="246" spans="1:8" x14ac:dyDescent="0.25">
      <c r="A246" s="189"/>
      <c r="B246" s="190"/>
      <c r="C246" s="190"/>
      <c r="D246" s="191"/>
      <c r="E246" s="192"/>
      <c r="F246" s="193"/>
      <c r="G246" s="191"/>
      <c r="H246" s="194"/>
    </row>
    <row r="247" spans="1:8" x14ac:dyDescent="0.25">
      <c r="A247" s="189"/>
      <c r="B247" s="190"/>
      <c r="C247" s="190"/>
      <c r="D247" s="191"/>
      <c r="E247" s="192"/>
      <c r="F247" s="193"/>
      <c r="G247" s="191"/>
      <c r="H247" s="194"/>
    </row>
    <row r="248" spans="1:8" x14ac:dyDescent="0.25">
      <c r="A248" s="189"/>
      <c r="B248" s="190"/>
      <c r="C248" s="190"/>
      <c r="D248" s="191"/>
      <c r="E248" s="192"/>
      <c r="F248" s="193"/>
      <c r="G248" s="191"/>
      <c r="H248" s="194"/>
    </row>
    <row r="249" spans="1:8" x14ac:dyDescent="0.25">
      <c r="A249" s="189"/>
      <c r="B249" s="190"/>
      <c r="C249" s="190"/>
      <c r="D249" s="191"/>
      <c r="E249" s="192"/>
      <c r="F249" s="193"/>
      <c r="G249" s="191"/>
      <c r="H249" s="194"/>
    </row>
    <row r="250" spans="1:8" x14ac:dyDescent="0.25">
      <c r="A250" s="189"/>
      <c r="B250" s="190"/>
      <c r="C250" s="190"/>
      <c r="D250" s="191"/>
      <c r="E250" s="192"/>
      <c r="F250" s="193"/>
      <c r="G250" s="191"/>
      <c r="H250" s="194"/>
    </row>
    <row r="251" spans="1:8" x14ac:dyDescent="0.25">
      <c r="A251" s="189"/>
      <c r="B251" s="190"/>
      <c r="C251" s="190"/>
      <c r="D251" s="191"/>
      <c r="E251" s="192"/>
      <c r="F251" s="193"/>
      <c r="G251" s="191"/>
      <c r="H251" s="194"/>
    </row>
    <row r="252" spans="1:8" x14ac:dyDescent="0.25">
      <c r="A252" s="189"/>
      <c r="B252" s="190"/>
      <c r="C252" s="190"/>
      <c r="D252" s="191"/>
      <c r="E252" s="192"/>
      <c r="F252" s="193"/>
      <c r="G252" s="191"/>
      <c r="H252" s="194"/>
    </row>
    <row r="253" spans="1:8" x14ac:dyDescent="0.25">
      <c r="A253" s="189"/>
      <c r="B253" s="190"/>
      <c r="C253" s="190"/>
      <c r="D253" s="191"/>
      <c r="E253" s="192"/>
      <c r="F253" s="193"/>
      <c r="G253" s="191"/>
      <c r="H253" s="194"/>
    </row>
    <row r="254" spans="1:8" x14ac:dyDescent="0.25">
      <c r="A254" s="189"/>
      <c r="B254" s="190"/>
      <c r="C254" s="190"/>
      <c r="D254" s="191"/>
      <c r="E254" s="192"/>
      <c r="F254" s="193"/>
      <c r="G254" s="191"/>
      <c r="H254" s="194"/>
    </row>
    <row r="255" spans="1:8" x14ac:dyDescent="0.25">
      <c r="A255" s="189"/>
      <c r="B255" s="190"/>
      <c r="C255" s="190"/>
      <c r="D255" s="191"/>
      <c r="E255" s="192"/>
      <c r="F255" s="193"/>
      <c r="G255" s="191"/>
      <c r="H255" s="194"/>
    </row>
    <row r="256" spans="1:8" x14ac:dyDescent="0.25">
      <c r="A256" s="189"/>
      <c r="B256" s="190"/>
      <c r="C256" s="190"/>
      <c r="D256" s="191"/>
      <c r="E256" s="192"/>
      <c r="F256" s="193"/>
      <c r="G256" s="191"/>
      <c r="H256" s="194"/>
    </row>
    <row r="257" spans="1:8" x14ac:dyDescent="0.25">
      <c r="A257" s="189"/>
      <c r="B257" s="190"/>
      <c r="C257" s="190"/>
      <c r="D257" s="191"/>
      <c r="E257" s="192"/>
      <c r="F257" s="193"/>
      <c r="G257" s="191"/>
      <c r="H257" s="194"/>
    </row>
    <row r="258" spans="1:8" x14ac:dyDescent="0.25">
      <c r="A258" s="189"/>
      <c r="B258" s="190"/>
      <c r="C258" s="190"/>
      <c r="D258" s="191"/>
      <c r="E258" s="192"/>
      <c r="F258" s="193"/>
      <c r="G258" s="191"/>
      <c r="H258" s="194"/>
    </row>
    <row r="259" spans="1:8" x14ac:dyDescent="0.25">
      <c r="A259" s="189"/>
      <c r="B259" s="190"/>
      <c r="C259" s="190"/>
      <c r="D259" s="191"/>
      <c r="E259" s="192"/>
      <c r="F259" s="193"/>
      <c r="G259" s="191"/>
      <c r="H259" s="194"/>
    </row>
    <row r="260" spans="1:8" x14ac:dyDescent="0.25">
      <c r="A260" s="189"/>
      <c r="B260" s="190"/>
      <c r="C260" s="190"/>
      <c r="D260" s="191"/>
      <c r="E260" s="192"/>
      <c r="F260" s="193"/>
      <c r="G260" s="191"/>
      <c r="H260" s="194"/>
    </row>
    <row r="261" spans="1:8" x14ac:dyDescent="0.25">
      <c r="A261" s="189"/>
      <c r="B261" s="190"/>
      <c r="C261" s="190"/>
      <c r="D261" s="191"/>
      <c r="E261" s="192"/>
      <c r="F261" s="193"/>
      <c r="G261" s="191"/>
      <c r="H261" s="194"/>
    </row>
    <row r="262" spans="1:8" x14ac:dyDescent="0.25">
      <c r="A262" s="189"/>
      <c r="B262" s="190"/>
      <c r="C262" s="190"/>
      <c r="D262" s="191"/>
      <c r="E262" s="192"/>
      <c r="F262" s="193"/>
      <c r="G262" s="191"/>
      <c r="H262" s="194"/>
    </row>
    <row r="263" spans="1:8" x14ac:dyDescent="0.25">
      <c r="A263" s="189"/>
      <c r="B263" s="190"/>
      <c r="C263" s="190"/>
      <c r="D263" s="191"/>
      <c r="E263" s="192"/>
      <c r="F263" s="193"/>
      <c r="G263" s="191"/>
      <c r="H263" s="194"/>
    </row>
    <row r="264" spans="1:8" x14ac:dyDescent="0.25">
      <c r="A264" s="189"/>
      <c r="B264" s="190"/>
      <c r="C264" s="190"/>
      <c r="D264" s="191"/>
      <c r="E264" s="192"/>
      <c r="F264" s="193"/>
      <c r="G264" s="191"/>
      <c r="H264" s="194"/>
    </row>
    <row r="265" spans="1:8" x14ac:dyDescent="0.25">
      <c r="A265" s="189"/>
      <c r="B265" s="190"/>
      <c r="C265" s="190"/>
      <c r="D265" s="191"/>
      <c r="E265" s="192"/>
      <c r="F265" s="193"/>
      <c r="G265" s="191"/>
      <c r="H265" s="194"/>
    </row>
    <row r="266" spans="1:8" x14ac:dyDescent="0.25">
      <c r="A266" s="189"/>
      <c r="B266" s="190"/>
      <c r="C266" s="190"/>
      <c r="D266" s="191"/>
      <c r="E266" s="192"/>
      <c r="F266" s="193"/>
      <c r="G266" s="191"/>
      <c r="H266" s="194"/>
    </row>
    <row r="267" spans="1:8" x14ac:dyDescent="0.25">
      <c r="A267" s="189"/>
      <c r="B267" s="190"/>
      <c r="C267" s="190"/>
      <c r="D267" s="191"/>
      <c r="E267" s="192"/>
      <c r="F267" s="193"/>
      <c r="G267" s="191"/>
      <c r="H267" s="194"/>
    </row>
    <row r="268" spans="1:8" x14ac:dyDescent="0.25">
      <c r="A268" s="189"/>
      <c r="B268" s="190"/>
      <c r="C268" s="190"/>
      <c r="D268" s="191"/>
      <c r="E268" s="192"/>
      <c r="F268" s="193"/>
      <c r="G268" s="191"/>
      <c r="H268" s="194"/>
    </row>
    <row r="269" spans="1:8" x14ac:dyDescent="0.25">
      <c r="A269" s="189"/>
      <c r="B269" s="190"/>
      <c r="C269" s="190"/>
      <c r="D269" s="191"/>
      <c r="E269" s="192"/>
      <c r="F269" s="193"/>
      <c r="G269" s="191"/>
      <c r="H269" s="194"/>
    </row>
    <row r="270" spans="1:8" x14ac:dyDescent="0.25">
      <c r="A270" s="189"/>
      <c r="B270" s="190"/>
      <c r="C270" s="190"/>
      <c r="D270" s="191"/>
      <c r="E270" s="192"/>
      <c r="F270" s="193"/>
      <c r="G270" s="191"/>
      <c r="H270" s="194"/>
    </row>
    <row r="271" spans="1:8" x14ac:dyDescent="0.25">
      <c r="A271" s="189"/>
      <c r="B271" s="190"/>
      <c r="C271" s="190"/>
      <c r="D271" s="191"/>
      <c r="E271" s="192"/>
      <c r="F271" s="193"/>
      <c r="G271" s="191"/>
      <c r="H271" s="194"/>
    </row>
    <row r="272" spans="1:8" x14ac:dyDescent="0.25">
      <c r="A272" s="189"/>
      <c r="B272" s="190"/>
      <c r="C272" s="190"/>
      <c r="D272" s="191"/>
      <c r="E272" s="192"/>
      <c r="F272" s="193"/>
      <c r="G272" s="191"/>
      <c r="H272" s="194"/>
    </row>
    <row r="273" spans="1:8" x14ac:dyDescent="0.25">
      <c r="A273" s="189"/>
      <c r="B273" s="190"/>
      <c r="C273" s="190"/>
      <c r="D273" s="191"/>
      <c r="E273" s="192"/>
      <c r="F273" s="193"/>
      <c r="G273" s="191"/>
      <c r="H273" s="194"/>
    </row>
    <row r="274" spans="1:8" x14ac:dyDescent="0.25">
      <c r="A274" s="189"/>
      <c r="B274" s="190"/>
      <c r="C274" s="190"/>
      <c r="D274" s="191"/>
      <c r="E274" s="192"/>
      <c r="F274" s="193"/>
      <c r="G274" s="191"/>
      <c r="H274" s="194"/>
    </row>
    <row r="275" spans="1:8" x14ac:dyDescent="0.25">
      <c r="A275" s="189"/>
      <c r="B275" s="190"/>
      <c r="C275" s="190"/>
      <c r="D275" s="191"/>
      <c r="E275" s="192"/>
      <c r="F275" s="193"/>
      <c r="G275" s="191"/>
      <c r="H275" s="194"/>
    </row>
    <row r="276" spans="1:8" x14ac:dyDescent="0.25">
      <c r="A276" s="189"/>
      <c r="B276" s="190"/>
      <c r="C276" s="190"/>
      <c r="D276" s="191"/>
      <c r="E276" s="192"/>
      <c r="F276" s="193"/>
      <c r="G276" s="191"/>
      <c r="H276" s="194"/>
    </row>
    <row r="277" spans="1:8" x14ac:dyDescent="0.25">
      <c r="A277" s="189"/>
      <c r="B277" s="190"/>
      <c r="C277" s="190"/>
      <c r="D277" s="191"/>
      <c r="E277" s="192"/>
      <c r="F277" s="193"/>
      <c r="G277" s="191"/>
      <c r="H277" s="194"/>
    </row>
    <row r="278" spans="1:8" x14ac:dyDescent="0.25">
      <c r="A278" s="189"/>
      <c r="B278" s="190"/>
      <c r="C278" s="190"/>
      <c r="D278" s="191"/>
      <c r="E278" s="192"/>
      <c r="F278" s="193"/>
      <c r="G278" s="191"/>
      <c r="H278" s="194"/>
    </row>
    <row r="279" spans="1:8" x14ac:dyDescent="0.25">
      <c r="A279" s="189"/>
      <c r="B279" s="190"/>
      <c r="C279" s="190"/>
      <c r="D279" s="191"/>
      <c r="E279" s="192"/>
      <c r="F279" s="193"/>
      <c r="G279" s="191"/>
      <c r="H279" s="194"/>
    </row>
    <row r="280" spans="1:8" x14ac:dyDescent="0.25">
      <c r="A280" s="189"/>
      <c r="B280" s="190"/>
      <c r="C280" s="190"/>
      <c r="D280" s="191"/>
      <c r="E280" s="192"/>
      <c r="F280" s="193"/>
      <c r="G280" s="191"/>
      <c r="H280" s="194"/>
    </row>
    <row r="281" spans="1:8" x14ac:dyDescent="0.25">
      <c r="A281" s="189"/>
      <c r="B281" s="190"/>
      <c r="C281" s="190"/>
      <c r="D281" s="191"/>
      <c r="E281" s="192"/>
      <c r="F281" s="193"/>
      <c r="G281" s="191"/>
      <c r="H281" s="194"/>
    </row>
    <row r="282" spans="1:8" x14ac:dyDescent="0.25">
      <c r="A282" s="189"/>
      <c r="B282" s="190"/>
      <c r="C282" s="190"/>
      <c r="D282" s="191"/>
      <c r="E282" s="192"/>
      <c r="F282" s="193"/>
      <c r="G282" s="191"/>
      <c r="H282" s="194"/>
    </row>
    <row r="283" spans="1:8" x14ac:dyDescent="0.25">
      <c r="A283" s="189"/>
      <c r="B283" s="190"/>
      <c r="C283" s="190"/>
      <c r="D283" s="191"/>
      <c r="E283" s="192"/>
      <c r="F283" s="193"/>
      <c r="G283" s="191"/>
      <c r="H283" s="194"/>
    </row>
    <row r="284" spans="1:8" x14ac:dyDescent="0.25">
      <c r="A284" s="189"/>
      <c r="B284" s="190"/>
      <c r="C284" s="190"/>
      <c r="D284" s="191"/>
      <c r="E284" s="192"/>
      <c r="F284" s="193"/>
      <c r="G284" s="191"/>
      <c r="H284" s="194"/>
    </row>
    <row r="285" spans="1:8" x14ac:dyDescent="0.25">
      <c r="A285" s="189"/>
      <c r="B285" s="190"/>
      <c r="C285" s="190"/>
      <c r="D285" s="191"/>
      <c r="E285" s="192"/>
      <c r="F285" s="193"/>
      <c r="G285" s="191"/>
      <c r="H285" s="194"/>
    </row>
    <row r="286" spans="1:8" x14ac:dyDescent="0.25">
      <c r="A286" s="189"/>
      <c r="B286" s="190"/>
      <c r="C286" s="190"/>
      <c r="D286" s="191"/>
      <c r="E286" s="192"/>
      <c r="F286" s="193"/>
      <c r="G286" s="191"/>
      <c r="H286" s="194"/>
    </row>
    <row r="287" spans="1:8" x14ac:dyDescent="0.25">
      <c r="A287" s="189"/>
      <c r="B287" s="190"/>
      <c r="C287" s="190"/>
      <c r="D287" s="191"/>
      <c r="E287" s="192"/>
      <c r="F287" s="193"/>
      <c r="G287" s="191"/>
      <c r="H287" s="194"/>
    </row>
    <row r="288" spans="1:8" x14ac:dyDescent="0.25">
      <c r="A288" s="189"/>
      <c r="B288" s="190"/>
      <c r="C288" s="190"/>
      <c r="D288" s="191"/>
      <c r="E288" s="192"/>
      <c r="F288" s="193"/>
      <c r="G288" s="191"/>
      <c r="H288" s="194"/>
    </row>
    <row r="289" spans="1:8" x14ac:dyDescent="0.25">
      <c r="A289" s="189"/>
      <c r="B289" s="190"/>
      <c r="C289" s="190"/>
      <c r="D289" s="191"/>
      <c r="E289" s="192"/>
      <c r="F289" s="193"/>
      <c r="G289" s="191"/>
      <c r="H289" s="194"/>
    </row>
    <row r="290" spans="1:8" x14ac:dyDescent="0.25">
      <c r="A290" s="189"/>
      <c r="B290" s="190"/>
      <c r="C290" s="190"/>
      <c r="D290" s="191"/>
      <c r="E290" s="192"/>
      <c r="F290" s="193"/>
      <c r="G290" s="191"/>
      <c r="H290" s="194"/>
    </row>
    <row r="291" spans="1:8" x14ac:dyDescent="0.25">
      <c r="A291" s="189"/>
      <c r="B291" s="190"/>
      <c r="C291" s="190"/>
      <c r="D291" s="191"/>
      <c r="E291" s="192"/>
      <c r="F291" s="193"/>
      <c r="G291" s="191"/>
      <c r="H291" s="194"/>
    </row>
    <row r="292" spans="1:8" x14ac:dyDescent="0.25">
      <c r="A292" s="189"/>
      <c r="B292" s="190"/>
      <c r="C292" s="190"/>
      <c r="D292" s="191"/>
      <c r="E292" s="192"/>
      <c r="F292" s="193"/>
      <c r="G292" s="191"/>
      <c r="H292" s="194"/>
    </row>
    <row r="293" spans="1:8" x14ac:dyDescent="0.25">
      <c r="A293" s="189"/>
      <c r="B293" s="190"/>
      <c r="C293" s="190"/>
      <c r="D293" s="191"/>
      <c r="E293" s="192"/>
      <c r="F293" s="193"/>
      <c r="G293" s="191"/>
      <c r="H293" s="194"/>
    </row>
    <row r="294" spans="1:8" x14ac:dyDescent="0.25">
      <c r="A294" s="189"/>
      <c r="B294" s="190"/>
      <c r="C294" s="190"/>
      <c r="D294" s="191"/>
      <c r="E294" s="192"/>
      <c r="F294" s="193"/>
      <c r="G294" s="191"/>
      <c r="H294" s="194"/>
    </row>
    <row r="295" spans="1:8" x14ac:dyDescent="0.25">
      <c r="A295" s="189"/>
      <c r="B295" s="190"/>
      <c r="C295" s="190"/>
      <c r="D295" s="191"/>
      <c r="E295" s="192"/>
      <c r="F295" s="193"/>
      <c r="G295" s="191"/>
      <c r="H295" s="194"/>
    </row>
    <row r="296" spans="1:8" x14ac:dyDescent="0.25">
      <c r="A296" s="189"/>
      <c r="B296" s="190"/>
      <c r="C296" s="190"/>
      <c r="D296" s="191"/>
      <c r="E296" s="192"/>
      <c r="F296" s="193"/>
      <c r="G296" s="191"/>
      <c r="H296" s="194"/>
    </row>
    <row r="297" spans="1:8" x14ac:dyDescent="0.25">
      <c r="A297" s="189"/>
      <c r="B297" s="190"/>
      <c r="C297" s="190"/>
      <c r="D297" s="191"/>
      <c r="E297" s="192"/>
      <c r="F297" s="193"/>
      <c r="G297" s="191"/>
      <c r="H297" s="194"/>
    </row>
    <row r="298" spans="1:8" x14ac:dyDescent="0.25">
      <c r="A298" s="189"/>
      <c r="B298" s="190"/>
      <c r="C298" s="190"/>
      <c r="D298" s="191"/>
      <c r="E298" s="192"/>
      <c r="F298" s="193"/>
      <c r="G298" s="191"/>
      <c r="H298" s="194"/>
    </row>
    <row r="299" spans="1:8" x14ac:dyDescent="0.25">
      <c r="A299" s="189"/>
      <c r="B299" s="190"/>
      <c r="C299" s="190"/>
      <c r="D299" s="191"/>
      <c r="E299" s="192"/>
      <c r="F299" s="193"/>
      <c r="G299" s="191"/>
      <c r="H299" s="194"/>
    </row>
    <row r="300" spans="1:8" x14ac:dyDescent="0.25">
      <c r="A300" s="189"/>
      <c r="B300" s="190"/>
      <c r="C300" s="190"/>
      <c r="D300" s="191"/>
      <c r="E300" s="192"/>
      <c r="F300" s="193"/>
      <c r="G300" s="191"/>
      <c r="H300" s="194"/>
    </row>
    <row r="301" spans="1:8" x14ac:dyDescent="0.25">
      <c r="A301" s="189"/>
      <c r="B301" s="190"/>
      <c r="C301" s="190"/>
      <c r="D301" s="191"/>
      <c r="E301" s="192"/>
      <c r="F301" s="193"/>
      <c r="G301" s="191"/>
      <c r="H301" s="194"/>
    </row>
    <row r="302" spans="1:8" x14ac:dyDescent="0.25">
      <c r="A302" s="189"/>
      <c r="B302" s="190"/>
      <c r="C302" s="190"/>
      <c r="D302" s="191"/>
      <c r="E302" s="192"/>
      <c r="F302" s="193"/>
      <c r="G302" s="191"/>
      <c r="H302" s="194"/>
    </row>
    <row r="303" spans="1:8" x14ac:dyDescent="0.25">
      <c r="A303" s="189"/>
      <c r="B303" s="190"/>
      <c r="C303" s="190"/>
      <c r="D303" s="191"/>
      <c r="E303" s="192"/>
      <c r="F303" s="193"/>
      <c r="G303" s="191"/>
      <c r="H303" s="194"/>
    </row>
    <row r="304" spans="1:8" x14ac:dyDescent="0.25">
      <c r="A304" s="189"/>
      <c r="B304" s="190"/>
      <c r="C304" s="190"/>
      <c r="D304" s="191"/>
      <c r="E304" s="192"/>
      <c r="F304" s="193"/>
      <c r="G304" s="191"/>
      <c r="H304" s="194"/>
    </row>
    <row r="305" spans="1:8" x14ac:dyDescent="0.25">
      <c r="A305" s="189"/>
      <c r="B305" s="190"/>
      <c r="C305" s="190"/>
      <c r="D305" s="191"/>
      <c r="E305" s="192"/>
      <c r="F305" s="193"/>
      <c r="G305" s="191"/>
      <c r="H305" s="194"/>
    </row>
    <row r="306" spans="1:8" x14ac:dyDescent="0.25">
      <c r="A306" s="189"/>
      <c r="B306" s="190"/>
      <c r="C306" s="190"/>
      <c r="D306" s="191"/>
      <c r="E306" s="192"/>
      <c r="F306" s="193"/>
      <c r="G306" s="191"/>
      <c r="H306" s="194"/>
    </row>
    <row r="307" spans="1:8" x14ac:dyDescent="0.25">
      <c r="A307" s="189"/>
      <c r="B307" s="190"/>
      <c r="C307" s="190"/>
      <c r="D307" s="191"/>
      <c r="E307" s="192"/>
      <c r="F307" s="193"/>
      <c r="G307" s="191"/>
      <c r="H307" s="194"/>
    </row>
    <row r="308" spans="1:8" x14ac:dyDescent="0.25">
      <c r="A308" s="189"/>
      <c r="B308" s="190"/>
      <c r="C308" s="190"/>
      <c r="D308" s="191"/>
      <c r="E308" s="192"/>
      <c r="F308" s="193"/>
      <c r="G308" s="191"/>
      <c r="H308" s="194"/>
    </row>
    <row r="309" spans="1:8" x14ac:dyDescent="0.25">
      <c r="A309" s="189"/>
      <c r="B309" s="190"/>
      <c r="C309" s="190"/>
      <c r="D309" s="191"/>
      <c r="E309" s="192"/>
      <c r="F309" s="193"/>
      <c r="G309" s="191"/>
      <c r="H309" s="194"/>
    </row>
    <row r="310" spans="1:8" x14ac:dyDescent="0.25">
      <c r="A310" s="189"/>
      <c r="B310" s="190"/>
      <c r="C310" s="190"/>
      <c r="D310" s="191"/>
      <c r="E310" s="192"/>
      <c r="F310" s="193"/>
      <c r="G310" s="191"/>
      <c r="H310" s="194"/>
    </row>
    <row r="311" spans="1:8" x14ac:dyDescent="0.25">
      <c r="A311" s="189"/>
      <c r="B311" s="190"/>
      <c r="C311" s="190"/>
      <c r="D311" s="191"/>
      <c r="E311" s="192"/>
      <c r="F311" s="193"/>
      <c r="G311" s="191"/>
      <c r="H311" s="194"/>
    </row>
    <row r="312" spans="1:8" x14ac:dyDescent="0.25">
      <c r="A312" s="189"/>
      <c r="B312" s="190"/>
      <c r="C312" s="190"/>
      <c r="D312" s="191"/>
      <c r="E312" s="192"/>
      <c r="F312" s="193"/>
      <c r="G312" s="191"/>
      <c r="H312" s="194"/>
    </row>
    <row r="313" spans="1:8" x14ac:dyDescent="0.25">
      <c r="A313" s="189"/>
      <c r="B313" s="190"/>
      <c r="C313" s="190"/>
      <c r="D313" s="191"/>
      <c r="E313" s="192"/>
      <c r="F313" s="193"/>
      <c r="G313" s="191"/>
      <c r="H313" s="194"/>
    </row>
    <row r="314" spans="1:8" x14ac:dyDescent="0.25">
      <c r="A314" s="189"/>
      <c r="B314" s="190"/>
      <c r="C314" s="190"/>
      <c r="D314" s="191"/>
      <c r="E314" s="192"/>
      <c r="F314" s="193"/>
      <c r="G314" s="191"/>
      <c r="H314" s="194"/>
    </row>
    <row r="315" spans="1:8" x14ac:dyDescent="0.25">
      <c r="A315" s="189"/>
      <c r="B315" s="190"/>
      <c r="C315" s="190"/>
      <c r="D315" s="191"/>
      <c r="E315" s="192"/>
      <c r="F315" s="193"/>
      <c r="G315" s="191"/>
      <c r="H315" s="194"/>
    </row>
    <row r="316" spans="1:8" x14ac:dyDescent="0.25">
      <c r="A316" s="189"/>
      <c r="B316" s="190"/>
      <c r="C316" s="190"/>
      <c r="D316" s="191"/>
      <c r="E316" s="192"/>
      <c r="F316" s="193"/>
      <c r="G316" s="191"/>
      <c r="H316" s="194"/>
    </row>
    <row r="317" spans="1:8" x14ac:dyDescent="0.25">
      <c r="A317" s="189"/>
      <c r="B317" s="190"/>
      <c r="C317" s="190"/>
      <c r="D317" s="191"/>
      <c r="E317" s="192"/>
      <c r="F317" s="193"/>
      <c r="G317" s="191"/>
      <c r="H317" s="194"/>
    </row>
    <row r="318" spans="1:8" x14ac:dyDescent="0.25">
      <c r="A318" s="189"/>
      <c r="B318" s="190"/>
      <c r="C318" s="190"/>
      <c r="D318" s="191"/>
      <c r="E318" s="192"/>
      <c r="F318" s="193"/>
      <c r="G318" s="191"/>
      <c r="H318" s="194"/>
    </row>
    <row r="319" spans="1:8" x14ac:dyDescent="0.25">
      <c r="A319" s="189"/>
      <c r="B319" s="190"/>
      <c r="C319" s="190"/>
      <c r="D319" s="191"/>
      <c r="E319" s="192"/>
      <c r="F319" s="193"/>
      <c r="G319" s="191"/>
      <c r="H319" s="194"/>
    </row>
    <row r="320" spans="1:8" x14ac:dyDescent="0.25">
      <c r="A320" s="189"/>
      <c r="B320" s="190"/>
      <c r="C320" s="190"/>
      <c r="D320" s="191"/>
      <c r="E320" s="192"/>
      <c r="F320" s="193"/>
      <c r="G320" s="191"/>
      <c r="H320" s="194"/>
    </row>
    <row r="321" spans="1:8" x14ac:dyDescent="0.25">
      <c r="A321" s="189"/>
      <c r="B321" s="190"/>
      <c r="C321" s="190"/>
      <c r="D321" s="191"/>
      <c r="E321" s="192"/>
      <c r="F321" s="193"/>
      <c r="G321" s="191"/>
      <c r="H321" s="194"/>
    </row>
    <row r="322" spans="1:8" x14ac:dyDescent="0.25">
      <c r="A322" s="189"/>
      <c r="B322" s="190"/>
      <c r="C322" s="190"/>
      <c r="D322" s="191"/>
      <c r="E322" s="192"/>
      <c r="F322" s="193"/>
      <c r="G322" s="191"/>
      <c r="H322" s="194"/>
    </row>
    <row r="323" spans="1:8" x14ac:dyDescent="0.25">
      <c r="A323" s="189"/>
      <c r="B323" s="190"/>
      <c r="C323" s="190"/>
      <c r="D323" s="191"/>
      <c r="E323" s="192"/>
      <c r="F323" s="193"/>
      <c r="G323" s="191"/>
      <c r="H323" s="194"/>
    </row>
    <row r="324" spans="1:8" x14ac:dyDescent="0.25">
      <c r="A324" s="189"/>
      <c r="B324" s="190"/>
      <c r="C324" s="190"/>
      <c r="D324" s="191"/>
      <c r="E324" s="192"/>
      <c r="F324" s="193"/>
      <c r="G324" s="191"/>
      <c r="H324" s="194"/>
    </row>
    <row r="325" spans="1:8" x14ac:dyDescent="0.25">
      <c r="A325" s="189"/>
      <c r="B325" s="190"/>
      <c r="C325" s="190"/>
      <c r="D325" s="191"/>
      <c r="E325" s="192"/>
      <c r="F325" s="193"/>
      <c r="G325" s="191"/>
      <c r="H325" s="194"/>
    </row>
    <row r="326" spans="1:8" x14ac:dyDescent="0.25">
      <c r="A326" s="189"/>
      <c r="B326" s="190"/>
      <c r="C326" s="190"/>
      <c r="D326" s="191"/>
      <c r="E326" s="192"/>
      <c r="F326" s="193"/>
      <c r="G326" s="191"/>
      <c r="H326" s="194"/>
    </row>
    <row r="327" spans="1:8" x14ac:dyDescent="0.25">
      <c r="A327" s="189"/>
      <c r="B327" s="190"/>
      <c r="C327" s="190"/>
      <c r="D327" s="191"/>
      <c r="E327" s="192"/>
      <c r="F327" s="193"/>
      <c r="G327" s="191"/>
      <c r="H327" s="194"/>
    </row>
    <row r="328" spans="1:8" x14ac:dyDescent="0.25">
      <c r="A328" s="189"/>
      <c r="B328" s="190"/>
      <c r="C328" s="190"/>
      <c r="D328" s="191"/>
      <c r="E328" s="192"/>
      <c r="F328" s="193"/>
      <c r="G328" s="191"/>
      <c r="H328" s="194"/>
    </row>
    <row r="329" spans="1:8" x14ac:dyDescent="0.25">
      <c r="A329" s="189"/>
      <c r="B329" s="190"/>
      <c r="C329" s="190"/>
      <c r="D329" s="191"/>
      <c r="E329" s="192"/>
      <c r="F329" s="193"/>
      <c r="G329" s="191"/>
      <c r="H329" s="194"/>
    </row>
    <row r="330" spans="1:8" x14ac:dyDescent="0.25">
      <c r="A330" s="189"/>
      <c r="B330" s="190"/>
      <c r="C330" s="190"/>
      <c r="D330" s="191"/>
      <c r="E330" s="192"/>
      <c r="F330" s="193"/>
      <c r="G330" s="191"/>
      <c r="H330" s="194"/>
    </row>
    <row r="331" spans="1:8" x14ac:dyDescent="0.25">
      <c r="A331" s="189"/>
      <c r="B331" s="190"/>
      <c r="C331" s="190"/>
      <c r="D331" s="191"/>
      <c r="E331" s="192"/>
      <c r="F331" s="193"/>
      <c r="G331" s="191"/>
      <c r="H331" s="194"/>
    </row>
    <row r="332" spans="1:8" x14ac:dyDescent="0.25">
      <c r="A332" s="189"/>
      <c r="B332" s="190"/>
      <c r="C332" s="190"/>
      <c r="D332" s="191"/>
      <c r="E332" s="192"/>
      <c r="F332" s="193"/>
      <c r="G332" s="191"/>
      <c r="H332" s="194"/>
    </row>
    <row r="333" spans="1:8" x14ac:dyDescent="0.25">
      <c r="A333" s="189"/>
      <c r="B333" s="190"/>
      <c r="C333" s="190"/>
      <c r="D333" s="191"/>
      <c r="E333" s="192"/>
      <c r="F333" s="193"/>
      <c r="G333" s="191"/>
      <c r="H333" s="194"/>
    </row>
    <row r="334" spans="1:8" x14ac:dyDescent="0.25">
      <c r="A334" s="189"/>
      <c r="B334" s="190"/>
      <c r="C334" s="190"/>
      <c r="D334" s="191"/>
      <c r="E334" s="192"/>
      <c r="F334" s="193"/>
      <c r="G334" s="191"/>
      <c r="H334" s="194"/>
    </row>
    <row r="335" spans="1:8" x14ac:dyDescent="0.25">
      <c r="A335" s="189"/>
      <c r="B335" s="190"/>
      <c r="C335" s="190"/>
      <c r="D335" s="191"/>
      <c r="E335" s="192"/>
      <c r="F335" s="193"/>
      <c r="G335" s="191"/>
      <c r="H335" s="194"/>
    </row>
    <row r="336" spans="1:8" x14ac:dyDescent="0.25">
      <c r="A336" s="189"/>
      <c r="B336" s="190"/>
      <c r="C336" s="190"/>
      <c r="D336" s="191"/>
      <c r="E336" s="192"/>
      <c r="F336" s="193"/>
      <c r="G336" s="191"/>
      <c r="H336" s="194"/>
    </row>
    <row r="337" spans="1:8" x14ac:dyDescent="0.25">
      <c r="A337" s="189"/>
      <c r="B337" s="190"/>
      <c r="C337" s="190"/>
      <c r="D337" s="191"/>
      <c r="E337" s="192"/>
      <c r="F337" s="193"/>
      <c r="G337" s="191"/>
      <c r="H337" s="194"/>
    </row>
    <row r="338" spans="1:8" x14ac:dyDescent="0.25">
      <c r="A338" s="189"/>
      <c r="B338" s="190"/>
      <c r="C338" s="190"/>
      <c r="D338" s="191"/>
      <c r="E338" s="192"/>
      <c r="F338" s="193"/>
      <c r="G338" s="191"/>
      <c r="H338" s="194"/>
    </row>
    <row r="339" spans="1:8" x14ac:dyDescent="0.25">
      <c r="A339" s="189"/>
      <c r="B339" s="190"/>
      <c r="C339" s="190"/>
      <c r="D339" s="191"/>
      <c r="E339" s="192"/>
      <c r="F339" s="193"/>
      <c r="G339" s="191"/>
      <c r="H339" s="194"/>
    </row>
    <row r="340" spans="1:8" x14ac:dyDescent="0.25">
      <c r="A340" s="189"/>
      <c r="B340" s="190"/>
      <c r="C340" s="190"/>
      <c r="D340" s="191"/>
      <c r="E340" s="192"/>
      <c r="F340" s="193"/>
      <c r="G340" s="191"/>
      <c r="H340" s="194"/>
    </row>
    <row r="341" spans="1:8" x14ac:dyDescent="0.25">
      <c r="A341" s="189"/>
      <c r="B341" s="190"/>
      <c r="C341" s="190"/>
      <c r="D341" s="191"/>
      <c r="E341" s="192"/>
      <c r="F341" s="193"/>
      <c r="G341" s="191"/>
      <c r="H341" s="194"/>
    </row>
    <row r="342" spans="1:8" x14ac:dyDescent="0.25">
      <c r="A342" s="189"/>
      <c r="B342" s="190"/>
      <c r="C342" s="190"/>
      <c r="D342" s="191"/>
      <c r="E342" s="192"/>
      <c r="F342" s="193"/>
      <c r="G342" s="191"/>
      <c r="H342" s="194"/>
    </row>
    <row r="343" spans="1:8" x14ac:dyDescent="0.25">
      <c r="A343" s="189"/>
      <c r="B343" s="190"/>
      <c r="C343" s="190"/>
      <c r="D343" s="191"/>
      <c r="E343" s="192"/>
      <c r="F343" s="193"/>
      <c r="G343" s="191"/>
      <c r="H343" s="194"/>
    </row>
    <row r="344" spans="1:8" x14ac:dyDescent="0.25">
      <c r="A344" s="189"/>
      <c r="B344" s="190"/>
      <c r="C344" s="190"/>
      <c r="D344" s="191"/>
      <c r="E344" s="192"/>
      <c r="F344" s="193"/>
      <c r="G344" s="191"/>
      <c r="H344" s="194"/>
    </row>
    <row r="345" spans="1:8" x14ac:dyDescent="0.25">
      <c r="A345" s="189"/>
      <c r="B345" s="190"/>
      <c r="C345" s="190"/>
      <c r="D345" s="191"/>
      <c r="E345" s="192"/>
      <c r="F345" s="193"/>
      <c r="G345" s="191"/>
      <c r="H345" s="194"/>
    </row>
    <row r="346" spans="1:8" x14ac:dyDescent="0.25">
      <c r="A346" s="189"/>
      <c r="B346" s="190"/>
      <c r="C346" s="190"/>
      <c r="D346" s="191"/>
      <c r="E346" s="192"/>
      <c r="F346" s="193"/>
      <c r="G346" s="191"/>
      <c r="H346" s="194"/>
    </row>
    <row r="347" spans="1:8" x14ac:dyDescent="0.25">
      <c r="A347" s="189"/>
      <c r="B347" s="190"/>
      <c r="C347" s="190"/>
      <c r="D347" s="191"/>
      <c r="E347" s="192"/>
      <c r="F347" s="193"/>
      <c r="G347" s="191"/>
      <c r="H347" s="194"/>
    </row>
    <row r="348" spans="1:8" x14ac:dyDescent="0.25">
      <c r="A348" s="189"/>
      <c r="B348" s="190"/>
      <c r="C348" s="190"/>
      <c r="D348" s="191"/>
      <c r="E348" s="192"/>
      <c r="F348" s="193"/>
      <c r="G348" s="191"/>
      <c r="H348" s="194"/>
    </row>
    <row r="349" spans="1:8" x14ac:dyDescent="0.25">
      <c r="A349" s="189"/>
      <c r="B349" s="190"/>
      <c r="C349" s="190"/>
      <c r="D349" s="191"/>
      <c r="E349" s="192"/>
      <c r="F349" s="193"/>
      <c r="G349" s="191"/>
      <c r="H349" s="194"/>
    </row>
    <row r="350" spans="1:8" x14ac:dyDescent="0.25">
      <c r="A350" s="189"/>
      <c r="B350" s="190"/>
      <c r="C350" s="190"/>
      <c r="D350" s="191"/>
      <c r="E350" s="192"/>
      <c r="F350" s="193"/>
      <c r="G350" s="191"/>
      <c r="H350" s="194"/>
    </row>
    <row r="351" spans="1:8" x14ac:dyDescent="0.25">
      <c r="A351" s="189"/>
      <c r="B351" s="190"/>
      <c r="C351" s="190"/>
      <c r="D351" s="191"/>
      <c r="E351" s="192"/>
      <c r="F351" s="193"/>
      <c r="G351" s="191"/>
      <c r="H351" s="194"/>
    </row>
    <row r="352" spans="1:8" x14ac:dyDescent="0.25">
      <c r="A352" s="189"/>
      <c r="B352" s="190"/>
      <c r="C352" s="190"/>
      <c r="D352" s="191"/>
      <c r="E352" s="192"/>
      <c r="F352" s="193"/>
      <c r="G352" s="191"/>
      <c r="H352" s="194"/>
    </row>
    <row r="353" spans="1:8" x14ac:dyDescent="0.25">
      <c r="A353" s="189"/>
      <c r="B353" s="190"/>
      <c r="C353" s="190"/>
      <c r="D353" s="191"/>
      <c r="E353" s="192"/>
      <c r="F353" s="193"/>
      <c r="G353" s="191"/>
      <c r="H353" s="194"/>
    </row>
    <row r="354" spans="1:8" x14ac:dyDescent="0.25">
      <c r="A354" s="189"/>
      <c r="B354" s="190"/>
      <c r="C354" s="190"/>
      <c r="D354" s="191"/>
      <c r="E354" s="192"/>
      <c r="F354" s="193"/>
      <c r="G354" s="191"/>
      <c r="H354" s="194"/>
    </row>
    <row r="355" spans="1:8" x14ac:dyDescent="0.25">
      <c r="A355" s="189"/>
      <c r="B355" s="190"/>
      <c r="C355" s="190"/>
      <c r="D355" s="191"/>
      <c r="E355" s="192"/>
      <c r="F355" s="193"/>
      <c r="G355" s="191"/>
      <c r="H355" s="194"/>
    </row>
    <row r="356" spans="1:8" x14ac:dyDescent="0.25">
      <c r="A356" s="189"/>
      <c r="B356" s="190"/>
      <c r="C356" s="190"/>
      <c r="D356" s="191"/>
      <c r="E356" s="192"/>
      <c r="F356" s="193"/>
      <c r="G356" s="191"/>
      <c r="H356" s="194"/>
    </row>
    <row r="357" spans="1:8" x14ac:dyDescent="0.25">
      <c r="A357" s="189"/>
      <c r="B357" s="190"/>
      <c r="C357" s="190"/>
      <c r="D357" s="191"/>
      <c r="E357" s="192"/>
      <c r="F357" s="193"/>
      <c r="G357" s="191"/>
      <c r="H357" s="194"/>
    </row>
    <row r="358" spans="1:8" x14ac:dyDescent="0.25">
      <c r="A358" s="189"/>
      <c r="B358" s="190"/>
      <c r="C358" s="190"/>
      <c r="D358" s="191"/>
      <c r="E358" s="192"/>
      <c r="F358" s="193"/>
      <c r="G358" s="191"/>
      <c r="H358" s="194"/>
    </row>
    <row r="359" spans="1:8" x14ac:dyDescent="0.25">
      <c r="A359" s="189"/>
      <c r="B359" s="190"/>
      <c r="C359" s="190"/>
      <c r="D359" s="191"/>
      <c r="E359" s="192"/>
      <c r="F359" s="193"/>
      <c r="G359" s="191"/>
      <c r="H359" s="194"/>
    </row>
    <row r="360" spans="1:8" x14ac:dyDescent="0.25">
      <c r="A360" s="189"/>
      <c r="B360" s="190"/>
      <c r="C360" s="190"/>
      <c r="D360" s="191"/>
      <c r="E360" s="192"/>
      <c r="F360" s="193"/>
      <c r="G360" s="191"/>
      <c r="H360" s="194"/>
    </row>
    <row r="361" spans="1:8" x14ac:dyDescent="0.25">
      <c r="A361" s="189"/>
      <c r="B361" s="190"/>
      <c r="C361" s="190"/>
      <c r="D361" s="191"/>
      <c r="E361" s="192"/>
      <c r="F361" s="193"/>
      <c r="G361" s="191"/>
      <c r="H361" s="194"/>
    </row>
    <row r="362" spans="1:8" x14ac:dyDescent="0.25">
      <c r="A362" s="189"/>
      <c r="B362" s="190"/>
      <c r="C362" s="190"/>
      <c r="D362" s="191"/>
      <c r="E362" s="192"/>
      <c r="F362" s="193"/>
      <c r="G362" s="191"/>
      <c r="H362" s="194"/>
    </row>
    <row r="363" spans="1:8" x14ac:dyDescent="0.25">
      <c r="A363" s="189"/>
      <c r="B363" s="190"/>
      <c r="C363" s="190"/>
      <c r="D363" s="191"/>
      <c r="E363" s="192"/>
      <c r="F363" s="193"/>
      <c r="G363" s="191"/>
      <c r="H363" s="194"/>
    </row>
    <row r="364" spans="1:8" x14ac:dyDescent="0.25">
      <c r="A364" s="189"/>
      <c r="B364" s="190"/>
      <c r="C364" s="190"/>
      <c r="D364" s="191"/>
      <c r="E364" s="192"/>
      <c r="F364" s="193"/>
      <c r="G364" s="191"/>
      <c r="H364" s="194"/>
    </row>
    <row r="365" spans="1:8" x14ac:dyDescent="0.25">
      <c r="A365" s="189"/>
      <c r="B365" s="190"/>
      <c r="C365" s="190"/>
      <c r="D365" s="191"/>
      <c r="E365" s="192"/>
      <c r="F365" s="193"/>
      <c r="G365" s="191"/>
      <c r="H365" s="194"/>
    </row>
    <row r="366" spans="1:8" x14ac:dyDescent="0.25">
      <c r="A366" s="189"/>
      <c r="B366" s="190"/>
      <c r="C366" s="190"/>
      <c r="D366" s="191"/>
      <c r="E366" s="192"/>
      <c r="F366" s="193"/>
      <c r="G366" s="191"/>
      <c r="H366" s="194"/>
    </row>
    <row r="367" spans="1:8" x14ac:dyDescent="0.25">
      <c r="A367" s="189"/>
      <c r="B367" s="190"/>
      <c r="C367" s="190"/>
      <c r="D367" s="191"/>
      <c r="E367" s="192"/>
      <c r="F367" s="193"/>
      <c r="G367" s="191"/>
      <c r="H367" s="194"/>
    </row>
    <row r="368" spans="1:8" x14ac:dyDescent="0.25">
      <c r="A368" s="189"/>
      <c r="B368" s="190"/>
      <c r="C368" s="190"/>
      <c r="D368" s="191"/>
      <c r="E368" s="192"/>
      <c r="F368" s="193"/>
      <c r="G368" s="191"/>
      <c r="H368" s="194"/>
    </row>
    <row r="369" spans="1:8" x14ac:dyDescent="0.25">
      <c r="A369" s="189"/>
      <c r="B369" s="190"/>
      <c r="C369" s="190"/>
      <c r="D369" s="191"/>
      <c r="E369" s="192"/>
      <c r="F369" s="193"/>
      <c r="G369" s="191"/>
      <c r="H369" s="194"/>
    </row>
    <row r="370" spans="1:8" x14ac:dyDescent="0.25">
      <c r="A370" s="189"/>
      <c r="B370" s="190"/>
      <c r="C370" s="190"/>
      <c r="D370" s="191"/>
      <c r="E370" s="192"/>
      <c r="F370" s="193"/>
      <c r="G370" s="191"/>
      <c r="H370" s="194"/>
    </row>
    <row r="371" spans="1:8" x14ac:dyDescent="0.25">
      <c r="A371" s="189"/>
      <c r="B371" s="190"/>
      <c r="C371" s="190"/>
      <c r="D371" s="191"/>
      <c r="E371" s="192"/>
      <c r="F371" s="193"/>
      <c r="G371" s="191"/>
      <c r="H371" s="194"/>
    </row>
    <row r="372" spans="1:8" x14ac:dyDescent="0.25">
      <c r="A372" s="189"/>
      <c r="B372" s="190"/>
      <c r="C372" s="190"/>
      <c r="D372" s="191"/>
      <c r="E372" s="192"/>
      <c r="F372" s="193"/>
      <c r="G372" s="191"/>
      <c r="H372" s="194"/>
    </row>
    <row r="373" spans="1:8" x14ac:dyDescent="0.25">
      <c r="A373" s="189"/>
      <c r="B373" s="190"/>
      <c r="C373" s="190"/>
      <c r="D373" s="191"/>
      <c r="E373" s="192"/>
      <c r="F373" s="193"/>
      <c r="G373" s="191"/>
      <c r="H373" s="194"/>
    </row>
    <row r="374" spans="1:8" x14ac:dyDescent="0.25">
      <c r="A374" s="189"/>
      <c r="B374" s="190"/>
      <c r="C374" s="190"/>
      <c r="D374" s="191"/>
      <c r="E374" s="192"/>
      <c r="F374" s="193"/>
      <c r="G374" s="191"/>
      <c r="H374" s="194"/>
    </row>
    <row r="375" spans="1:8" x14ac:dyDescent="0.25">
      <c r="A375" s="189"/>
      <c r="B375" s="190"/>
      <c r="C375" s="190"/>
      <c r="D375" s="191"/>
      <c r="E375" s="192"/>
      <c r="F375" s="193"/>
      <c r="G375" s="191"/>
      <c r="H375" s="194"/>
    </row>
    <row r="376" spans="1:8" x14ac:dyDescent="0.25">
      <c r="A376" s="189"/>
      <c r="B376" s="190"/>
      <c r="C376" s="190"/>
      <c r="D376" s="191"/>
      <c r="E376" s="192"/>
      <c r="F376" s="193"/>
      <c r="G376" s="191"/>
      <c r="H376" s="194"/>
    </row>
    <row r="377" spans="1:8" x14ac:dyDescent="0.25">
      <c r="A377" s="189"/>
      <c r="B377" s="190"/>
      <c r="C377" s="190"/>
      <c r="D377" s="191"/>
      <c r="E377" s="192"/>
      <c r="F377" s="193"/>
      <c r="G377" s="191"/>
      <c r="H377" s="194"/>
    </row>
    <row r="378" spans="1:8" x14ac:dyDescent="0.25">
      <c r="A378" s="189"/>
      <c r="B378" s="190"/>
      <c r="C378" s="190"/>
      <c r="D378" s="191"/>
      <c r="E378" s="192"/>
      <c r="F378" s="193"/>
      <c r="G378" s="191"/>
      <c r="H378" s="194"/>
    </row>
    <row r="379" spans="1:8" x14ac:dyDescent="0.25">
      <c r="A379" s="189"/>
      <c r="B379" s="190"/>
      <c r="C379" s="190"/>
      <c r="D379" s="191"/>
      <c r="E379" s="192"/>
      <c r="F379" s="193"/>
      <c r="G379" s="191"/>
      <c r="H379" s="194"/>
    </row>
    <row r="380" spans="1:8" x14ac:dyDescent="0.25">
      <c r="A380" s="189"/>
      <c r="B380" s="190"/>
      <c r="C380" s="190"/>
      <c r="D380" s="191"/>
      <c r="E380" s="192"/>
      <c r="F380" s="193"/>
      <c r="G380" s="191"/>
      <c r="H380" s="194"/>
    </row>
  </sheetData>
  <mergeCells count="4">
    <mergeCell ref="A1:F1"/>
    <mergeCell ref="A2:F2"/>
    <mergeCell ref="A4:A5"/>
    <mergeCell ref="A70:A71"/>
  </mergeCells>
  <conditionalFormatting sqref="D54:D55 D35:D36 D38:D39">
    <cfRule type="cellIs" dxfId="497" priority="7" operator="notEqual">
      <formula>#REF!</formula>
    </cfRule>
  </conditionalFormatting>
  <conditionalFormatting sqref="H66:H70">
    <cfRule type="cellIs" dxfId="496" priority="4" operator="notEqual">
      <formula>A66</formula>
    </cfRule>
  </conditionalFormatting>
  <conditionalFormatting sqref="D57">
    <cfRule type="cellIs" dxfId="495" priority="2" operator="notEqual">
      <formula>#REF!</formula>
    </cfRule>
  </conditionalFormatting>
  <conditionalFormatting sqref="D56">
    <cfRule type="cellIs" dxfId="494" priority="1" operator="notEqual">
      <formula>#REF!</formula>
    </cfRule>
  </conditionalFormatting>
  <printOptions horizontalCentered="1"/>
  <pageMargins left="0.70866141732283472" right="0.70866141732283472" top="0.62992125984251968" bottom="0.51181102362204722" header="0.31496062992125984" footer="0.31496062992125984"/>
  <pageSetup paperSize="9" scale="51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E29"/>
  <sheetViews>
    <sheetView topLeftCell="A7" workbookViewId="0">
      <selection activeCell="I23" sqref="I23"/>
    </sheetView>
  </sheetViews>
  <sheetFormatPr defaultRowHeight="12.75" x14ac:dyDescent="0.2"/>
  <cols>
    <col min="1" max="1" width="60.5703125" bestFit="1" customWidth="1"/>
    <col min="2" max="2" width="26.140625" bestFit="1" customWidth="1"/>
    <col min="3" max="3" width="17.7109375" customWidth="1"/>
    <col min="4" max="4" width="11.140625" bestFit="1" customWidth="1"/>
    <col min="5" max="5" width="15.42578125" bestFit="1" customWidth="1"/>
  </cols>
  <sheetData>
    <row r="2" spans="1:5" ht="13.5" thickBot="1" x14ac:dyDescent="0.25">
      <c r="A2">
        <v>6</v>
      </c>
    </row>
    <row r="3" spans="1:5" x14ac:dyDescent="0.2">
      <c r="B3" s="682" t="s">
        <v>71</v>
      </c>
      <c r="C3" s="683"/>
      <c r="D3" s="151" t="s">
        <v>3</v>
      </c>
      <c r="E3" s="146" t="s">
        <v>4</v>
      </c>
    </row>
    <row r="4" spans="1:5" ht="13.5" thickBot="1" x14ac:dyDescent="0.25">
      <c r="B4" s="684" t="str">
        <f>INDEX($A$16:$A$27,A2)</f>
        <v>4123 Neinvestiční přijaté transfery od regionálních rad</v>
      </c>
      <c r="C4" s="685"/>
      <c r="D4" s="124">
        <f>SUMIF('MB 1-2'!F7:F474,INDEX('MB 1-2'!B488:B500,$A$2),'MB 1-2'!$C$7:$C$474)</f>
        <v>0</v>
      </c>
      <c r="E4" s="124">
        <f>SUMIF('MB 1-2'!F$7:F$474, INDEX('MB 1-2'!$B488:$B500,$A$2),'MB 1-2'!$D7:$D474)</f>
        <v>0</v>
      </c>
    </row>
    <row r="14" spans="1:5" ht="13.5" thickBot="1" x14ac:dyDescent="0.25"/>
    <row r="15" spans="1:5" ht="13.5" thickBot="1" x14ac:dyDescent="0.25">
      <c r="A15" s="127" t="s">
        <v>71</v>
      </c>
      <c r="B15" s="152" t="s">
        <v>90</v>
      </c>
      <c r="C15" s="153" t="s">
        <v>4</v>
      </c>
    </row>
    <row r="16" spans="1:5" x14ac:dyDescent="0.2">
      <c r="A16" s="125" t="s">
        <v>70</v>
      </c>
      <c r="B16" s="126">
        <f>+SUMIF('MB 3'!$F$7:$F$474,'MB 3'!$B488,'MB 3'!$C$7:$C$474)</f>
        <v>0</v>
      </c>
      <c r="C16" s="126">
        <f>+SUMIF('MB 3'!$F$7:$F$474,'MB 3'!$B488,'MB 3'!$D$7:$D$474)</f>
        <v>0</v>
      </c>
    </row>
    <row r="17" spans="1:3" x14ac:dyDescent="0.2">
      <c r="A17" s="123" t="s">
        <v>87</v>
      </c>
      <c r="B17" s="126">
        <f>+SUMIF('MB 3'!$F$7:$F$474,'MB 3'!$B489,'MB 3'!$C$7:$C$474)</f>
        <v>5906.7448200000008</v>
      </c>
      <c r="C17" s="126">
        <f>+SUMIF('MB 3'!$F$7:$F$474,'MB 3'!$B489,'MB 3'!$D$7:$D$474)</f>
        <v>1361485.82</v>
      </c>
    </row>
    <row r="18" spans="1:3" x14ac:dyDescent="0.2">
      <c r="A18" s="123" t="s">
        <v>88</v>
      </c>
      <c r="B18" s="126">
        <f>+SUMIF('MB 3'!$F$7:$F$474,'MB 3'!$B490,'MB 3'!$C$7:$C$474)</f>
        <v>14621.10628</v>
      </c>
      <c r="C18" s="126">
        <f>+SUMIF('MB 3'!$F$7:$F$474,'MB 3'!$B490,'MB 3'!$D$7:$D$474)</f>
        <v>12748709.280000001</v>
      </c>
    </row>
    <row r="19" spans="1:3" x14ac:dyDescent="0.2">
      <c r="A19" s="123" t="s">
        <v>89</v>
      </c>
      <c r="B19" s="126">
        <f>+SUMIF('MB 3'!$F$7:$F$474,'MB 3'!$B491,'MB 3'!$C$7:$C$474)</f>
        <v>0</v>
      </c>
      <c r="C19" s="126">
        <f>+SUMIF('MB 3'!$F$7:$F$474,'MB 3'!$B491,'MB 3'!$D$7:$D$474)</f>
        <v>0</v>
      </c>
    </row>
    <row r="20" spans="1:3" x14ac:dyDescent="0.2">
      <c r="A20" s="123" t="s">
        <v>72</v>
      </c>
      <c r="B20" s="126">
        <f>+SUMIF('MB 3'!$F$7:$F$474,'MB 3'!$B492,'MB 3'!$C$7:$C$474)</f>
        <v>1020.3823300000001</v>
      </c>
      <c r="C20" s="126">
        <f>+SUMIF('MB 3'!$F$7:$F$474,'MB 3'!$B492,'MB 3'!$D$7:$D$474)</f>
        <v>1020382.33</v>
      </c>
    </row>
    <row r="21" spans="1:3" x14ac:dyDescent="0.2">
      <c r="A21" s="123" t="s">
        <v>73</v>
      </c>
      <c r="B21" s="126">
        <f>+SUMIF('MB 3'!$F$7:$F$474,'MB 3'!$B493,'MB 3'!$C$7:$C$474)</f>
        <v>0</v>
      </c>
      <c r="C21" s="126">
        <f>+SUMIF('MB 3'!$F$7:$F$474,'MB 3'!$B493,'MB 3'!$D$7:$D$474)</f>
        <v>0</v>
      </c>
    </row>
    <row r="22" spans="1:3" x14ac:dyDescent="0.2">
      <c r="A22" s="123" t="s">
        <v>74</v>
      </c>
      <c r="B22" s="126">
        <f>+SUMIF('MB 3'!$F$7:$F$474,'MB 3'!$B494,'MB 3'!$C$7:$C$474)</f>
        <v>0</v>
      </c>
      <c r="C22" s="126">
        <f>+SUMIF('MB 3'!$F$7:$F$474,'MB 3'!$B494,'MB 3'!$D$7:$D$474)</f>
        <v>0</v>
      </c>
    </row>
    <row r="23" spans="1:3" x14ac:dyDescent="0.2">
      <c r="A23" s="123" t="s">
        <v>75</v>
      </c>
      <c r="B23" s="126">
        <f>+SUMIF('MB 3'!$F$7:$F$474,'MB 3'!$B495,'MB 3'!$C$7:$C$474)</f>
        <v>0</v>
      </c>
      <c r="C23" s="126">
        <f>+SUMIF('MB 3'!$F$7:$F$474,'MB 3'!$B495,'MB 3'!$D$7:$D$474)</f>
        <v>581714.24</v>
      </c>
    </row>
    <row r="24" spans="1:3" x14ac:dyDescent="0.2">
      <c r="A24" s="123" t="s">
        <v>86</v>
      </c>
      <c r="B24" s="126">
        <f>+SUMIF('MB 3'!$F$7:$F$474,'MB 3'!$B496,'MB 3'!$C$7:$C$474)</f>
        <v>533.58971999999994</v>
      </c>
      <c r="C24" s="126">
        <f>+SUMIF('MB 3'!$F$7:$F$474,'MB 3'!$B496,'MB 3'!$D$7:$D$474)</f>
        <v>534564.72</v>
      </c>
    </row>
    <row r="25" spans="1:3" x14ac:dyDescent="0.2">
      <c r="A25" s="123" t="s">
        <v>76</v>
      </c>
      <c r="B25" s="126">
        <f>+SUMIF('MB 3'!$F$7:$F$474,'MB 3'!$B497,'MB 3'!$C$7:$C$474)</f>
        <v>5171.2852200000007</v>
      </c>
      <c r="C25" s="126">
        <f>+SUMIF('MB 3'!$F$7:$F$474,'MB 3'!$B497,'MB 3'!$D$7:$D$474)</f>
        <v>5187860.2200000007</v>
      </c>
    </row>
    <row r="26" spans="1:3" x14ac:dyDescent="0.2">
      <c r="A26" s="123" t="s">
        <v>77</v>
      </c>
      <c r="B26" s="126">
        <f>+SUMIF('MB 3'!$F$7:$F$474,'MB 3'!$B498,'MB 3'!$C$7:$C$474)</f>
        <v>0</v>
      </c>
      <c r="C26" s="126">
        <f>+SUMIF('MB 3'!$F$7:$F$474,'MB 3'!$B498,'MB 3'!$D$7:$D$474)</f>
        <v>0</v>
      </c>
    </row>
    <row r="27" spans="1:3" x14ac:dyDescent="0.2">
      <c r="A27" s="123" t="s">
        <v>78</v>
      </c>
      <c r="B27" s="126">
        <f>+SUMIF('MB 3'!$F$7:$F$474,'MB 3'!$B499,'MB 3'!$C$7:$C$474)</f>
        <v>26736.119480000001</v>
      </c>
      <c r="C27" s="126">
        <f>+SUMIF('MB 3'!$F$7:$F$474,'MB 3'!$B499,'MB 3'!$D$7:$D$474)</f>
        <v>44243685.079999998</v>
      </c>
    </row>
    <row r="28" spans="1:3" ht="13.5" thickBot="1" x14ac:dyDescent="0.25">
      <c r="A28" s="148"/>
      <c r="B28" s="149"/>
      <c r="C28" s="150"/>
    </row>
    <row r="29" spans="1:3" s="147" customFormat="1" ht="13.5" thickBot="1" x14ac:dyDescent="0.25">
      <c r="A29" s="127" t="s">
        <v>85</v>
      </c>
      <c r="B29" s="128">
        <f>+SUM(B16:B28)</f>
        <v>53989.227850000003</v>
      </c>
      <c r="C29" s="129">
        <f>+SUM(C16:C28)</f>
        <v>65678401.689999998</v>
      </c>
    </row>
  </sheetData>
  <mergeCells count="2">
    <mergeCell ref="B3:C3"/>
    <mergeCell ref="B4:C4"/>
  </mergeCells>
  <pageMargins left="0.7" right="0.7" top="0.78740157499999996" bottom="0.78740157499999996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1985" r:id="rId4" name="Drop Down 1">
              <controlPr defaultSize="0" autoLine="0" autoPict="0">
                <anchor moveWithCells="1">
                  <from>
                    <xdr:col>0</xdr:col>
                    <xdr:colOff>47625</xdr:colOff>
                    <xdr:row>6</xdr:row>
                    <xdr:rowOff>0</xdr:rowOff>
                  </from>
                  <to>
                    <xdr:col>0</xdr:col>
                    <xdr:colOff>2695575</xdr:colOff>
                    <xdr:row>11</xdr:row>
                    <xdr:rowOff>104775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89"/>
  <sheetViews>
    <sheetView topLeftCell="A403" zoomScaleNormal="100" workbookViewId="0">
      <selection activeCell="I23" sqref="I23"/>
    </sheetView>
  </sheetViews>
  <sheetFormatPr defaultColWidth="9.140625" defaultRowHeight="15.75" x14ac:dyDescent="0.25"/>
  <cols>
    <col min="1" max="1" width="11.28515625" style="104" customWidth="1"/>
    <col min="2" max="2" width="86.5703125" style="42" customWidth="1"/>
    <col min="3" max="3" width="17.5703125" style="42" customWidth="1"/>
    <col min="4" max="4" width="16.7109375" style="45" bestFit="1" customWidth="1"/>
    <col min="5" max="5" width="15" style="105" bestFit="1" customWidth="1"/>
    <col min="6" max="6" width="17.140625" style="105" customWidth="1"/>
    <col min="7" max="7" width="22" style="106" customWidth="1"/>
    <col min="8" max="8" width="24.5703125" style="42" customWidth="1"/>
    <col min="9" max="9" width="25" style="42" bestFit="1" customWidth="1"/>
    <col min="10" max="10" width="13.85546875" style="42" bestFit="1" customWidth="1"/>
    <col min="11" max="11" width="11" style="42" bestFit="1" customWidth="1"/>
    <col min="12" max="16384" width="9.140625" style="42"/>
  </cols>
  <sheetData>
    <row r="1" spans="1:8" s="2" customFormat="1" ht="22.5" x14ac:dyDescent="0.3">
      <c r="A1" s="681" t="s">
        <v>0</v>
      </c>
      <c r="B1" s="681"/>
      <c r="C1" s="681"/>
      <c r="D1" s="681"/>
      <c r="E1" s="681"/>
      <c r="F1" s="681"/>
      <c r="G1" s="1"/>
    </row>
    <row r="2" spans="1:8" s="2" customFormat="1" ht="22.5" x14ac:dyDescent="0.3">
      <c r="A2" s="681" t="s">
        <v>154</v>
      </c>
      <c r="B2" s="681"/>
      <c r="C2" s="681"/>
      <c r="D2" s="681"/>
      <c r="E2" s="681"/>
      <c r="F2" s="681"/>
      <c r="G2" s="1"/>
    </row>
    <row r="3" spans="1:8" s="2" customFormat="1" ht="22.5" x14ac:dyDescent="0.3">
      <c r="A3" s="196"/>
      <c r="B3" s="120"/>
      <c r="C3" s="162"/>
      <c r="D3" s="121"/>
      <c r="E3" s="196"/>
      <c r="F3" s="196"/>
      <c r="G3" s="1"/>
    </row>
    <row r="4" spans="1:8" s="2" customFormat="1" ht="23.25" thickBot="1" x14ac:dyDescent="0.35">
      <c r="A4" s="196"/>
      <c r="B4" s="196"/>
      <c r="C4" s="196"/>
      <c r="D4" s="121"/>
      <c r="E4" s="196"/>
      <c r="F4" s="1"/>
      <c r="G4" s="1"/>
    </row>
    <row r="5" spans="1:8" s="2" customFormat="1" x14ac:dyDescent="0.25">
      <c r="A5" s="687" t="s">
        <v>1</v>
      </c>
      <c r="B5" s="4"/>
      <c r="C5" s="4"/>
      <c r="D5" s="117"/>
      <c r="E5" s="6"/>
      <c r="F5" s="6"/>
      <c r="G5" s="7"/>
    </row>
    <row r="6" spans="1:8" s="2" customFormat="1" ht="16.5" thickBot="1" x14ac:dyDescent="0.3">
      <c r="A6" s="688"/>
      <c r="B6" s="9" t="s">
        <v>2</v>
      </c>
      <c r="C6" s="9" t="s">
        <v>3</v>
      </c>
      <c r="D6" s="118" t="s">
        <v>4</v>
      </c>
      <c r="E6" s="11" t="s">
        <v>5</v>
      </c>
      <c r="F6" s="11" t="s">
        <v>6</v>
      </c>
      <c r="G6" s="1"/>
    </row>
    <row r="7" spans="1:8" s="18" customFormat="1" hidden="1" x14ac:dyDescent="0.25">
      <c r="A7" s="12"/>
      <c r="B7" s="13" t="s">
        <v>7</v>
      </c>
      <c r="C7" s="14">
        <f>+SUM(C8:C10)</f>
        <v>0</v>
      </c>
      <c r="D7" s="15">
        <f>+SUM(D8:D10)</f>
        <v>0</v>
      </c>
      <c r="E7" s="17"/>
      <c r="F7" s="17"/>
      <c r="G7" s="2"/>
      <c r="H7" s="2"/>
    </row>
    <row r="8" spans="1:8" s="2" customFormat="1" hidden="1" x14ac:dyDescent="0.25">
      <c r="A8" s="12"/>
      <c r="B8" s="19"/>
      <c r="C8" s="20"/>
      <c r="D8" s="21"/>
      <c r="E8" s="22"/>
      <c r="F8" s="22">
        <v>4111</v>
      </c>
    </row>
    <row r="9" spans="1:8" s="2" customFormat="1" hidden="1" x14ac:dyDescent="0.25">
      <c r="A9" s="12"/>
      <c r="B9" s="19"/>
      <c r="C9" s="20"/>
      <c r="D9" s="21"/>
      <c r="E9" s="22"/>
      <c r="F9" s="22">
        <v>4111</v>
      </c>
    </row>
    <row r="10" spans="1:8" s="2" customFormat="1" hidden="1" x14ac:dyDescent="0.25">
      <c r="A10" s="12"/>
      <c r="B10" s="23"/>
      <c r="C10" s="20"/>
      <c r="D10" s="21"/>
      <c r="E10" s="22"/>
      <c r="F10" s="22"/>
    </row>
    <row r="11" spans="1:8" s="2" customFormat="1" hidden="1" x14ac:dyDescent="0.25">
      <c r="A11" s="12"/>
      <c r="B11" s="24"/>
      <c r="C11" s="20"/>
      <c r="D11" s="21"/>
      <c r="E11" s="22"/>
      <c r="F11" s="22"/>
    </row>
    <row r="12" spans="1:8" s="2" customFormat="1" x14ac:dyDescent="0.25">
      <c r="A12" s="25"/>
      <c r="B12" s="13" t="s">
        <v>8</v>
      </c>
      <c r="C12" s="26">
        <f>+SUM(C13:C16)</f>
        <v>5902.2090000000007</v>
      </c>
      <c r="D12" s="27">
        <f>+SUM(D13:D16)</f>
        <v>1922401</v>
      </c>
      <c r="E12" s="28"/>
      <c r="F12" s="29"/>
    </row>
    <row r="13" spans="1:8" s="2" customFormat="1" x14ac:dyDescent="0.25">
      <c r="A13" s="25"/>
      <c r="B13" s="19" t="s">
        <v>9</v>
      </c>
      <c r="C13" s="21">
        <v>111.04</v>
      </c>
      <c r="D13" s="21">
        <v>55520</v>
      </c>
      <c r="E13" s="22">
        <v>92241</v>
      </c>
      <c r="F13" s="29" t="s">
        <v>10</v>
      </c>
    </row>
    <row r="14" spans="1:8" s="2" customFormat="1" x14ac:dyDescent="0.25">
      <c r="A14" s="25"/>
      <c r="B14" s="19" t="s">
        <v>11</v>
      </c>
      <c r="C14" s="21">
        <v>2001.1780000000001</v>
      </c>
      <c r="D14" s="21">
        <f>108171+109620+15221+509931</f>
        <v>742943</v>
      </c>
      <c r="E14" s="22">
        <v>92241</v>
      </c>
      <c r="F14" s="29" t="s">
        <v>10</v>
      </c>
    </row>
    <row r="15" spans="1:8" s="2" customFormat="1" x14ac:dyDescent="0.25">
      <c r="A15" s="25"/>
      <c r="B15" s="19" t="s">
        <v>12</v>
      </c>
      <c r="C15" s="21">
        <v>1575.905</v>
      </c>
      <c r="D15" s="21">
        <v>345411</v>
      </c>
      <c r="E15" s="22">
        <v>92241</v>
      </c>
      <c r="F15" s="29" t="s">
        <v>10</v>
      </c>
    </row>
    <row r="16" spans="1:8" s="2" customFormat="1" x14ac:dyDescent="0.25">
      <c r="A16" s="25"/>
      <c r="B16" s="19" t="s">
        <v>13</v>
      </c>
      <c r="C16" s="21">
        <v>2214.0859999999998</v>
      </c>
      <c r="D16" s="21">
        <v>778527</v>
      </c>
      <c r="E16" s="22">
        <v>92241</v>
      </c>
      <c r="F16" s="29" t="s">
        <v>10</v>
      </c>
    </row>
    <row r="17" spans="1:7" s="2" customFormat="1" x14ac:dyDescent="0.25">
      <c r="A17" s="12"/>
      <c r="B17" s="19"/>
      <c r="C17" s="20"/>
      <c r="D17" s="21"/>
      <c r="E17" s="22"/>
      <c r="F17" s="29"/>
    </row>
    <row r="18" spans="1:7" s="2" customFormat="1" x14ac:dyDescent="0.25">
      <c r="A18" s="12"/>
      <c r="B18" s="13" t="s">
        <v>14</v>
      </c>
      <c r="C18" s="30">
        <f>+SUM(C19:C30)</f>
        <v>0</v>
      </c>
      <c r="D18" s="30">
        <f>+SUM(D19:D30)</f>
        <v>33306.15</v>
      </c>
      <c r="E18" s="22"/>
      <c r="F18" s="29"/>
    </row>
    <row r="19" spans="1:7" s="2" customFormat="1" x14ac:dyDescent="0.25">
      <c r="A19" s="12">
        <v>42117</v>
      </c>
      <c r="B19" s="24" t="s">
        <v>146</v>
      </c>
      <c r="C19" s="20">
        <v>0</v>
      </c>
      <c r="D19" s="21">
        <v>33306.15</v>
      </c>
      <c r="E19" s="22">
        <v>90001</v>
      </c>
      <c r="F19" s="29">
        <v>4113</v>
      </c>
    </row>
    <row r="20" spans="1:7" s="2" customFormat="1" hidden="1" x14ac:dyDescent="0.25">
      <c r="A20" s="12"/>
      <c r="B20" s="24"/>
      <c r="C20" s="20"/>
      <c r="D20" s="21"/>
      <c r="E20" s="22"/>
      <c r="F20" s="29">
        <v>4113</v>
      </c>
    </row>
    <row r="21" spans="1:7" s="2" customFormat="1" hidden="1" x14ac:dyDescent="0.25">
      <c r="A21" s="12"/>
      <c r="B21" s="24"/>
      <c r="C21" s="20"/>
      <c r="D21" s="21"/>
      <c r="E21" s="22"/>
      <c r="F21" s="29">
        <v>4113</v>
      </c>
    </row>
    <row r="22" spans="1:7" s="2" customFormat="1" hidden="1" x14ac:dyDescent="0.25">
      <c r="A22" s="12"/>
      <c r="B22" s="24"/>
      <c r="C22" s="20"/>
      <c r="D22" s="21"/>
      <c r="E22" s="22"/>
      <c r="F22" s="29">
        <v>4113</v>
      </c>
    </row>
    <row r="23" spans="1:7" s="2" customFormat="1" hidden="1" x14ac:dyDescent="0.25">
      <c r="A23" s="12"/>
      <c r="B23" s="24"/>
      <c r="C23" s="20"/>
      <c r="D23" s="21"/>
      <c r="E23" s="22"/>
      <c r="F23" s="29">
        <v>4113</v>
      </c>
    </row>
    <row r="24" spans="1:7" s="2" customFormat="1" hidden="1" x14ac:dyDescent="0.25">
      <c r="A24" s="12"/>
      <c r="B24" s="24"/>
      <c r="C24" s="20"/>
      <c r="D24" s="21"/>
      <c r="E24" s="22"/>
      <c r="F24" s="29">
        <v>4113</v>
      </c>
    </row>
    <row r="25" spans="1:7" s="2" customFormat="1" hidden="1" x14ac:dyDescent="0.25">
      <c r="A25" s="12"/>
      <c r="B25" s="24"/>
      <c r="C25" s="20"/>
      <c r="D25" s="21"/>
      <c r="E25" s="22"/>
      <c r="F25" s="29">
        <v>4113</v>
      </c>
    </row>
    <row r="26" spans="1:7" s="2" customFormat="1" hidden="1" x14ac:dyDescent="0.25">
      <c r="A26" s="12"/>
      <c r="B26" s="24"/>
      <c r="C26" s="20"/>
      <c r="D26" s="21"/>
      <c r="E26" s="22"/>
      <c r="F26" s="29">
        <v>4113</v>
      </c>
    </row>
    <row r="27" spans="1:7" s="2" customFormat="1" hidden="1" x14ac:dyDescent="0.25">
      <c r="A27" s="12"/>
      <c r="B27" s="24"/>
      <c r="C27" s="20"/>
      <c r="D27" s="21"/>
      <c r="E27" s="22"/>
      <c r="F27" s="29">
        <v>4113</v>
      </c>
    </row>
    <row r="28" spans="1:7" s="2" customFormat="1" hidden="1" x14ac:dyDescent="0.25">
      <c r="A28" s="12"/>
      <c r="B28" s="24"/>
      <c r="C28" s="20"/>
      <c r="D28" s="21"/>
      <c r="E28" s="22"/>
      <c r="F28" s="29">
        <v>4113</v>
      </c>
    </row>
    <row r="29" spans="1:7" s="2" customFormat="1" hidden="1" x14ac:dyDescent="0.25">
      <c r="A29" s="12"/>
      <c r="B29" s="24"/>
      <c r="C29" s="20"/>
      <c r="D29" s="21"/>
      <c r="E29" s="22"/>
      <c r="F29" s="29">
        <v>4113</v>
      </c>
    </row>
    <row r="30" spans="1:7" s="2" customFormat="1" hidden="1" x14ac:dyDescent="0.25">
      <c r="A30" s="12"/>
      <c r="B30" s="24"/>
      <c r="C30" s="20"/>
      <c r="D30" s="21"/>
      <c r="E30" s="22"/>
      <c r="F30" s="29">
        <v>4113</v>
      </c>
      <c r="G30" s="160"/>
    </row>
    <row r="31" spans="1:7" s="2" customFormat="1" x14ac:dyDescent="0.25">
      <c r="A31" s="12"/>
      <c r="B31" s="19"/>
      <c r="C31" s="20"/>
      <c r="D31" s="21"/>
      <c r="E31" s="22"/>
      <c r="F31" s="29"/>
    </row>
    <row r="32" spans="1:7" s="2" customFormat="1" x14ac:dyDescent="0.25">
      <c r="A32" s="12"/>
      <c r="B32" s="13" t="s">
        <v>15</v>
      </c>
      <c r="C32" s="30">
        <f>+C33+C34</f>
        <v>4.5358200000000002</v>
      </c>
      <c r="D32" s="31">
        <f>+D33+D34</f>
        <v>4535.82</v>
      </c>
      <c r="E32" s="22"/>
      <c r="F32" s="29"/>
    </row>
    <row r="33" spans="1:11" s="2" customFormat="1" x14ac:dyDescent="0.25">
      <c r="A33" s="12"/>
      <c r="B33" s="19" t="s">
        <v>16</v>
      </c>
      <c r="C33" s="20">
        <v>4.5358200000000002</v>
      </c>
      <c r="D33" s="21">
        <v>4535.82</v>
      </c>
      <c r="E33" s="22">
        <v>89450</v>
      </c>
      <c r="F33" s="29">
        <v>4113</v>
      </c>
    </row>
    <row r="34" spans="1:11" s="2" customFormat="1" hidden="1" x14ac:dyDescent="0.25">
      <c r="A34" s="12"/>
      <c r="B34" s="19" t="s">
        <v>16</v>
      </c>
      <c r="C34" s="20"/>
      <c r="D34" s="21"/>
      <c r="E34" s="22">
        <v>89023</v>
      </c>
      <c r="F34" s="29">
        <v>4113</v>
      </c>
    </row>
    <row r="35" spans="1:11" s="2" customFormat="1" x14ac:dyDescent="0.25">
      <c r="A35" s="12"/>
      <c r="B35" s="32"/>
      <c r="C35" s="20"/>
      <c r="D35" s="163"/>
      <c r="E35" s="161"/>
      <c r="F35" s="22"/>
    </row>
    <row r="36" spans="1:11" s="18" customFormat="1" x14ac:dyDescent="0.25">
      <c r="A36" s="12"/>
      <c r="B36" s="13" t="s">
        <v>17</v>
      </c>
      <c r="C36" s="13">
        <f>SUM(C37:C58)</f>
        <v>11957.988000000001</v>
      </c>
      <c r="D36" s="31">
        <f>SUM(D37:D58)</f>
        <v>8909313</v>
      </c>
      <c r="E36" s="33"/>
      <c r="F36" s="16"/>
      <c r="G36" s="2"/>
      <c r="H36" s="2"/>
      <c r="I36" s="2"/>
      <c r="J36" s="2"/>
    </row>
    <row r="37" spans="1:11" s="2" customFormat="1" x14ac:dyDescent="0.25">
      <c r="A37" s="25">
        <v>42053</v>
      </c>
      <c r="B37" s="19" t="s">
        <v>37</v>
      </c>
      <c r="C37" s="37">
        <v>3744</v>
      </c>
      <c r="D37" s="21">
        <v>3744000</v>
      </c>
      <c r="E37" s="34">
        <v>13010</v>
      </c>
      <c r="F37" s="29">
        <v>4116</v>
      </c>
    </row>
    <row r="38" spans="1:11" s="2" customFormat="1" x14ac:dyDescent="0.25">
      <c r="A38" s="12">
        <v>42123</v>
      </c>
      <c r="B38" s="19" t="s">
        <v>37</v>
      </c>
      <c r="C38" s="20"/>
      <c r="D38" s="21">
        <v>8000</v>
      </c>
      <c r="E38" s="34">
        <v>13010</v>
      </c>
      <c r="F38" s="29">
        <v>4116</v>
      </c>
    </row>
    <row r="39" spans="1:11" s="18" customFormat="1" x14ac:dyDescent="0.25">
      <c r="A39" s="12"/>
      <c r="B39" s="19" t="s">
        <v>97</v>
      </c>
      <c r="C39" s="20"/>
      <c r="D39" s="21">
        <f>102369+33000+33000</f>
        <v>168369</v>
      </c>
      <c r="E39" s="34">
        <v>13101</v>
      </c>
      <c r="F39" s="29">
        <v>4116</v>
      </c>
      <c r="G39" s="2"/>
      <c r="H39" s="2"/>
      <c r="I39" s="2"/>
      <c r="J39" s="2"/>
      <c r="K39" s="2"/>
    </row>
    <row r="40" spans="1:11" s="2" customFormat="1" x14ac:dyDescent="0.25">
      <c r="A40" s="25"/>
      <c r="B40" s="19" t="s">
        <v>65</v>
      </c>
      <c r="C40" s="20">
        <f>42+22</f>
        <v>64</v>
      </c>
      <c r="D40" s="21">
        <f>40896+16866</f>
        <v>57762</v>
      </c>
      <c r="E40" s="34">
        <v>13101</v>
      </c>
      <c r="F40" s="29" t="s">
        <v>18</v>
      </c>
    </row>
    <row r="41" spans="1:11" s="2" customFormat="1" x14ac:dyDescent="0.25">
      <c r="A41" s="25"/>
      <c r="B41" s="107" t="s">
        <v>98</v>
      </c>
      <c r="C41" s="21">
        <v>196.982</v>
      </c>
      <c r="D41" s="21">
        <f>130982+66000+53289</f>
        <v>250271</v>
      </c>
      <c r="E41" s="35">
        <v>13101</v>
      </c>
      <c r="F41" s="36">
        <v>4116</v>
      </c>
      <c r="G41" s="2">
        <f>7931006-7833000</f>
        <v>98006</v>
      </c>
    </row>
    <row r="42" spans="1:11" s="2" customFormat="1" x14ac:dyDescent="0.25">
      <c r="A42" s="25"/>
      <c r="B42" s="107" t="s">
        <v>99</v>
      </c>
      <c r="C42" s="21">
        <v>22</v>
      </c>
      <c r="D42" s="21">
        <v>22000</v>
      </c>
      <c r="E42" s="35">
        <v>13101</v>
      </c>
      <c r="F42" s="36">
        <v>4116</v>
      </c>
    </row>
    <row r="43" spans="1:11" s="18" customFormat="1" x14ac:dyDescent="0.25">
      <c r="A43" s="12"/>
      <c r="C43" s="20"/>
      <c r="D43" s="21"/>
      <c r="E43" s="108"/>
      <c r="F43" s="29"/>
      <c r="G43" s="2" t="s">
        <v>161</v>
      </c>
      <c r="H43" s="2"/>
      <c r="I43" s="2"/>
      <c r="J43" s="2"/>
      <c r="K43" s="2"/>
    </row>
    <row r="44" spans="1:11" s="18" customFormat="1" x14ac:dyDescent="0.25">
      <c r="A44" s="12"/>
      <c r="B44" s="19" t="s">
        <v>20</v>
      </c>
      <c r="C44" s="20">
        <v>290</v>
      </c>
      <c r="D44" s="21">
        <f>58288+28935+29801</f>
        <v>117024</v>
      </c>
      <c r="E44" s="34">
        <v>13234</v>
      </c>
      <c r="F44" s="29">
        <v>4116</v>
      </c>
      <c r="G44" s="2">
        <f>498402-D39-D40-D41-D42</f>
        <v>0</v>
      </c>
      <c r="H44" s="2"/>
      <c r="I44" s="2"/>
      <c r="J44" s="2"/>
      <c r="K44" s="2"/>
    </row>
    <row r="45" spans="1:11" s="18" customFormat="1" x14ac:dyDescent="0.25">
      <c r="A45" s="12"/>
      <c r="B45" s="107" t="s">
        <v>23</v>
      </c>
      <c r="C45" s="20"/>
      <c r="D45" s="21">
        <f>38094+8250+8250</f>
        <v>54594</v>
      </c>
      <c r="E45" s="108">
        <v>13234</v>
      </c>
      <c r="F45" s="29">
        <v>4116</v>
      </c>
      <c r="G45" s="2"/>
      <c r="H45" s="2"/>
      <c r="I45" s="2"/>
      <c r="J45" s="2"/>
      <c r="K45" s="2"/>
    </row>
    <row r="46" spans="1:11" s="18" customFormat="1" x14ac:dyDescent="0.25">
      <c r="A46" s="12"/>
      <c r="B46" s="19" t="s">
        <v>22</v>
      </c>
      <c r="C46" s="20"/>
      <c r="D46" s="21">
        <f>44000+22000+22000</f>
        <v>88000</v>
      </c>
      <c r="E46" s="34">
        <v>13234</v>
      </c>
      <c r="F46" s="29">
        <v>4116</v>
      </c>
      <c r="G46" s="2"/>
      <c r="H46" s="2"/>
      <c r="I46" s="2"/>
      <c r="J46" s="2"/>
      <c r="K46" s="2"/>
    </row>
    <row r="47" spans="1:11" s="18" customFormat="1" x14ac:dyDescent="0.25">
      <c r="A47" s="12"/>
      <c r="B47" s="19" t="s">
        <v>19</v>
      </c>
      <c r="C47" s="115"/>
      <c r="D47" s="21">
        <v>4643</v>
      </c>
      <c r="E47" s="108">
        <v>13234</v>
      </c>
      <c r="F47" s="29">
        <v>4116</v>
      </c>
      <c r="G47" s="2"/>
      <c r="H47" s="2"/>
      <c r="I47" s="2"/>
      <c r="J47" s="2"/>
      <c r="K47" s="2"/>
    </row>
    <row r="48" spans="1:11" s="18" customFormat="1" x14ac:dyDescent="0.25">
      <c r="A48" s="12"/>
      <c r="B48" s="107" t="s">
        <v>67</v>
      </c>
      <c r="C48" s="20">
        <v>155</v>
      </c>
      <c r="D48" s="21">
        <f>86069+44000+41655</f>
        <v>171724</v>
      </c>
      <c r="E48" s="108">
        <v>13234</v>
      </c>
      <c r="F48" s="29">
        <v>4116</v>
      </c>
      <c r="G48" s="2"/>
      <c r="H48" s="2"/>
      <c r="I48" s="2"/>
      <c r="J48" s="2"/>
      <c r="K48" s="2"/>
    </row>
    <row r="49" spans="1:11" s="18" customFormat="1" x14ac:dyDescent="0.25">
      <c r="A49" s="12"/>
      <c r="B49" s="107" t="s">
        <v>25</v>
      </c>
      <c r="C49" s="20">
        <v>1705.0060000000001</v>
      </c>
      <c r="D49" s="21">
        <f>218760+65461</f>
        <v>284221</v>
      </c>
      <c r="E49" s="34">
        <v>13234</v>
      </c>
      <c r="F49" s="29">
        <v>4116</v>
      </c>
      <c r="G49" s="2"/>
      <c r="H49" s="2"/>
      <c r="I49" s="2">
        <f>84*48</f>
        <v>4032</v>
      </c>
      <c r="J49" s="2"/>
      <c r="K49" s="2"/>
    </row>
    <row r="50" spans="1:11" s="18" customFormat="1" x14ac:dyDescent="0.25">
      <c r="A50" s="12"/>
      <c r="B50" s="107" t="s">
        <v>26</v>
      </c>
      <c r="C50" s="115"/>
      <c r="D50" s="21">
        <f>66000+33000+31384</f>
        <v>130384</v>
      </c>
      <c r="E50" s="34">
        <v>13234</v>
      </c>
      <c r="F50" s="29">
        <v>4116</v>
      </c>
      <c r="G50" s="2"/>
      <c r="H50" s="2"/>
      <c r="I50" s="2">
        <v>3944</v>
      </c>
      <c r="J50" s="2">
        <f>+I49-I50</f>
        <v>88</v>
      </c>
      <c r="K50" s="2"/>
    </row>
    <row r="51" spans="1:11" s="18" customFormat="1" x14ac:dyDescent="0.25">
      <c r="A51" s="12"/>
      <c r="B51" s="107" t="s">
        <v>27</v>
      </c>
      <c r="C51" s="115"/>
      <c r="D51" s="21"/>
      <c r="E51" s="34">
        <v>13234</v>
      </c>
      <c r="F51" s="29">
        <v>4116</v>
      </c>
      <c r="G51" s="2"/>
      <c r="H51" s="2"/>
      <c r="I51" s="2">
        <f>+I50/48</f>
        <v>82.166666666666671</v>
      </c>
      <c r="J51" s="2"/>
      <c r="K51" s="2"/>
    </row>
    <row r="52" spans="1:11" s="2" customFormat="1" x14ac:dyDescent="0.25">
      <c r="A52" s="25"/>
      <c r="B52" s="107" t="s">
        <v>28</v>
      </c>
      <c r="C52" s="20">
        <v>5376</v>
      </c>
      <c r="D52" s="21">
        <f>528297+254271+254121</f>
        <v>1036689</v>
      </c>
      <c r="E52" s="35">
        <v>13234</v>
      </c>
      <c r="F52" s="29">
        <v>4116</v>
      </c>
    </row>
    <row r="53" spans="1:11" s="18" customFormat="1" x14ac:dyDescent="0.25">
      <c r="A53" s="12"/>
      <c r="B53" s="107" t="s">
        <v>24</v>
      </c>
      <c r="C53" s="115"/>
      <c r="D53" s="21">
        <f>1387835+661461+644272</f>
        <v>2693568</v>
      </c>
      <c r="E53" s="34">
        <v>13234</v>
      </c>
      <c r="F53" s="29">
        <v>4116</v>
      </c>
      <c r="G53" s="2"/>
      <c r="H53" s="2"/>
      <c r="I53" s="2"/>
      <c r="J53" s="2"/>
      <c r="K53" s="2"/>
    </row>
    <row r="54" spans="1:11" s="2" customFormat="1" x14ac:dyDescent="0.25">
      <c r="A54" s="25"/>
      <c r="B54" s="107" t="s">
        <v>29</v>
      </c>
      <c r="C54" s="115"/>
      <c r="D54" s="21"/>
      <c r="E54" s="35">
        <v>13234</v>
      </c>
      <c r="F54" s="29" t="s">
        <v>18</v>
      </c>
    </row>
    <row r="55" spans="1:11" s="2" customFormat="1" x14ac:dyDescent="0.25">
      <c r="A55" s="25"/>
      <c r="B55" s="107" t="s">
        <v>66</v>
      </c>
      <c r="C55" s="20">
        <f>55+98</f>
        <v>153</v>
      </c>
      <c r="D55" s="21">
        <f>22000+11000+11000</f>
        <v>44000</v>
      </c>
      <c r="E55" s="35">
        <v>13234</v>
      </c>
      <c r="F55" s="36">
        <v>4116</v>
      </c>
      <c r="G55" s="2">
        <f>4658911-D44-D45-D46-D47-D48-D49-D50-D51-D52-D53-D54-D55-D56-D57</f>
        <v>0</v>
      </c>
      <c r="H55" s="2">
        <v>65461</v>
      </c>
      <c r="I55" s="2">
        <f>+G55-H55-H56-H57-H58-H59-H60-H61-H64-H65--H66-H67</f>
        <v>-1073743</v>
      </c>
    </row>
    <row r="56" spans="1:11" s="2" customFormat="1" x14ac:dyDescent="0.25">
      <c r="A56" s="25"/>
      <c r="B56" s="107" t="s">
        <v>30</v>
      </c>
      <c r="C56" s="115"/>
      <c r="D56" s="21"/>
      <c r="E56" s="35"/>
      <c r="F56" s="36">
        <v>4116</v>
      </c>
      <c r="H56" s="2">
        <v>24000</v>
      </c>
    </row>
    <row r="57" spans="1:11" s="2" customFormat="1" x14ac:dyDescent="0.25">
      <c r="A57" s="25"/>
      <c r="B57" s="107" t="s">
        <v>31</v>
      </c>
      <c r="C57" s="20">
        <v>252</v>
      </c>
      <c r="D57" s="21">
        <f>10064+24000</f>
        <v>34064</v>
      </c>
      <c r="E57" s="35">
        <v>13234</v>
      </c>
      <c r="F57" s="36">
        <v>4116</v>
      </c>
      <c r="H57" s="2">
        <v>4643</v>
      </c>
    </row>
    <row r="58" spans="1:11" s="2" customFormat="1" x14ac:dyDescent="0.25">
      <c r="A58" s="25"/>
      <c r="B58" s="107" t="s">
        <v>32</v>
      </c>
      <c r="C58" s="20"/>
      <c r="D58" s="21"/>
      <c r="E58" s="35"/>
      <c r="F58" s="36">
        <v>4116</v>
      </c>
      <c r="H58" s="2">
        <v>31384</v>
      </c>
    </row>
    <row r="59" spans="1:11" s="2" customFormat="1" x14ac:dyDescent="0.25">
      <c r="A59" s="25"/>
      <c r="B59" s="23"/>
      <c r="C59" s="37"/>
      <c r="D59" s="21"/>
      <c r="E59" s="35"/>
      <c r="F59" s="36"/>
      <c r="H59" s="2">
        <v>254121</v>
      </c>
    </row>
    <row r="60" spans="1:11" s="2" customFormat="1" x14ac:dyDescent="0.25">
      <c r="A60" s="25"/>
      <c r="B60" s="38" t="s">
        <v>116</v>
      </c>
      <c r="C60" s="39">
        <f>+SUM(C61:C64)</f>
        <v>36.299999999999997</v>
      </c>
      <c r="D60" s="39">
        <f>+SUM(D61:D64)</f>
        <v>36300</v>
      </c>
      <c r="E60" s="29"/>
      <c r="F60" s="36"/>
      <c r="H60" s="2">
        <v>644272</v>
      </c>
    </row>
    <row r="61" spans="1:11" s="2" customFormat="1" x14ac:dyDescent="0.25">
      <c r="A61" s="25">
        <v>42066</v>
      </c>
      <c r="B61" s="107" t="s">
        <v>115</v>
      </c>
      <c r="C61" s="20">
        <v>36.299999999999997</v>
      </c>
      <c r="D61" s="21">
        <v>36300</v>
      </c>
      <c r="E61" s="41">
        <v>27003</v>
      </c>
      <c r="F61" s="36">
        <v>4116</v>
      </c>
      <c r="H61" s="2">
        <v>41655</v>
      </c>
    </row>
    <row r="62" spans="1:11" s="2" customFormat="1" hidden="1" x14ac:dyDescent="0.25">
      <c r="A62" s="49"/>
      <c r="B62" s="107"/>
      <c r="C62" s="20"/>
      <c r="D62" s="21"/>
      <c r="E62" s="36"/>
      <c r="F62" s="36">
        <v>4116</v>
      </c>
    </row>
    <row r="63" spans="1:11" s="2" customFormat="1" hidden="1" x14ac:dyDescent="0.25">
      <c r="A63" s="49"/>
      <c r="B63" s="107"/>
      <c r="C63" s="20"/>
      <c r="D63" s="21"/>
      <c r="E63" s="36"/>
      <c r="F63" s="36">
        <v>4116</v>
      </c>
    </row>
    <row r="64" spans="1:11" s="2" customFormat="1" x14ac:dyDescent="0.25">
      <c r="A64" s="49"/>
      <c r="B64" s="107"/>
      <c r="C64" s="20"/>
      <c r="D64" s="21"/>
      <c r="E64" s="36"/>
      <c r="F64" s="36">
        <v>4116</v>
      </c>
      <c r="H64" s="2">
        <v>22000</v>
      </c>
    </row>
    <row r="65" spans="1:8" s="2" customFormat="1" x14ac:dyDescent="0.25">
      <c r="A65" s="25"/>
      <c r="B65" s="38" t="s">
        <v>33</v>
      </c>
      <c r="C65" s="39">
        <f>+SUM(C66:C101)</f>
        <v>80</v>
      </c>
      <c r="D65" s="39">
        <f>+SUM(D66:D101)</f>
        <v>143000</v>
      </c>
      <c r="E65" s="29"/>
      <c r="F65" s="36"/>
      <c r="H65" s="2">
        <v>11000</v>
      </c>
    </row>
    <row r="66" spans="1:8" s="2" customFormat="1" x14ac:dyDescent="0.25">
      <c r="A66" s="25">
        <v>42086</v>
      </c>
      <c r="B66" s="107" t="s">
        <v>122</v>
      </c>
      <c r="C66" s="20">
        <v>80</v>
      </c>
      <c r="D66" s="21">
        <v>80000</v>
      </c>
      <c r="E66" s="29">
        <v>34070</v>
      </c>
      <c r="F66" s="29">
        <v>4116</v>
      </c>
      <c r="H66" s="2">
        <v>54594</v>
      </c>
    </row>
    <row r="67" spans="1:8" s="2" customFormat="1" x14ac:dyDescent="0.25">
      <c r="A67" s="25">
        <v>42116</v>
      </c>
      <c r="B67" s="107" t="s">
        <v>142</v>
      </c>
      <c r="C67" s="174">
        <v>0</v>
      </c>
      <c r="D67" s="21">
        <v>25000</v>
      </c>
      <c r="E67" s="29">
        <v>34070</v>
      </c>
      <c r="F67" s="29">
        <v>4116</v>
      </c>
      <c r="G67" s="2">
        <v>25</v>
      </c>
      <c r="H67" s="2">
        <v>29801</v>
      </c>
    </row>
    <row r="68" spans="1:8" s="2" customFormat="1" x14ac:dyDescent="0.25">
      <c r="A68" s="25">
        <v>42116</v>
      </c>
      <c r="B68" s="107" t="s">
        <v>143</v>
      </c>
      <c r="C68" s="174">
        <v>0</v>
      </c>
      <c r="D68" s="21">
        <v>18000</v>
      </c>
      <c r="E68" s="29">
        <v>34070</v>
      </c>
      <c r="F68" s="29">
        <v>4116</v>
      </c>
      <c r="G68" s="2">
        <v>18</v>
      </c>
    </row>
    <row r="69" spans="1:8" s="2" customFormat="1" x14ac:dyDescent="0.25">
      <c r="A69" s="25">
        <v>42116</v>
      </c>
      <c r="B69" s="107" t="s">
        <v>144</v>
      </c>
      <c r="C69" s="174">
        <v>0</v>
      </c>
      <c r="D69" s="21">
        <v>20000</v>
      </c>
      <c r="E69" s="29">
        <v>34070</v>
      </c>
      <c r="F69" s="29">
        <v>4116</v>
      </c>
      <c r="G69" s="2">
        <v>20</v>
      </c>
    </row>
    <row r="70" spans="1:8" s="2" customFormat="1" hidden="1" x14ac:dyDescent="0.25">
      <c r="A70" s="25"/>
      <c r="B70" s="107"/>
      <c r="C70" s="20"/>
      <c r="D70" s="21"/>
      <c r="E70" s="29"/>
      <c r="F70" s="29">
        <v>4116</v>
      </c>
    </row>
    <row r="71" spans="1:8" s="2" customFormat="1" hidden="1" x14ac:dyDescent="0.25">
      <c r="A71" s="25"/>
      <c r="B71" s="107"/>
      <c r="C71" s="20"/>
      <c r="D71" s="21"/>
      <c r="E71" s="29"/>
      <c r="F71" s="29">
        <v>4116</v>
      </c>
    </row>
    <row r="72" spans="1:8" s="2" customFormat="1" hidden="1" x14ac:dyDescent="0.25">
      <c r="A72" s="25"/>
      <c r="B72" s="107"/>
      <c r="C72" s="20"/>
      <c r="D72" s="21"/>
      <c r="E72" s="29"/>
      <c r="F72" s="29">
        <v>4116</v>
      </c>
    </row>
    <row r="73" spans="1:8" s="2" customFormat="1" hidden="1" x14ac:dyDescent="0.25">
      <c r="A73" s="25"/>
      <c r="B73" s="107"/>
      <c r="C73" s="20"/>
      <c r="D73" s="21"/>
      <c r="E73" s="29"/>
      <c r="F73" s="29">
        <v>4116</v>
      </c>
    </row>
    <row r="74" spans="1:8" s="2" customFormat="1" hidden="1" x14ac:dyDescent="0.25">
      <c r="A74" s="25"/>
      <c r="B74" s="107"/>
      <c r="C74" s="20"/>
      <c r="D74" s="21"/>
      <c r="E74" s="29"/>
      <c r="F74" s="29">
        <v>4116</v>
      </c>
    </row>
    <row r="75" spans="1:8" s="2" customFormat="1" hidden="1" x14ac:dyDescent="0.25">
      <c r="A75" s="25"/>
      <c r="B75" s="107"/>
      <c r="C75" s="20"/>
      <c r="D75" s="21"/>
      <c r="E75" s="29"/>
      <c r="F75" s="29">
        <v>4116</v>
      </c>
    </row>
    <row r="76" spans="1:8" s="2" customFormat="1" hidden="1" x14ac:dyDescent="0.25">
      <c r="A76" s="25"/>
      <c r="B76" s="107"/>
      <c r="C76" s="20"/>
      <c r="D76" s="21"/>
      <c r="E76" s="29"/>
      <c r="F76" s="29">
        <v>4116</v>
      </c>
    </row>
    <row r="77" spans="1:8" s="2" customFormat="1" hidden="1" x14ac:dyDescent="0.25">
      <c r="A77" s="25"/>
      <c r="B77" s="107"/>
      <c r="C77" s="20"/>
      <c r="D77" s="21"/>
      <c r="E77" s="29"/>
      <c r="F77" s="29">
        <v>4116</v>
      </c>
    </row>
    <row r="78" spans="1:8" s="2" customFormat="1" hidden="1" x14ac:dyDescent="0.25">
      <c r="A78" s="25"/>
      <c r="B78" s="107"/>
      <c r="C78" s="20"/>
      <c r="D78" s="21"/>
      <c r="E78" s="29"/>
      <c r="F78" s="29">
        <v>4116</v>
      </c>
    </row>
    <row r="79" spans="1:8" s="2" customFormat="1" hidden="1" x14ac:dyDescent="0.25">
      <c r="A79" s="25"/>
      <c r="B79" s="107"/>
      <c r="C79" s="20"/>
      <c r="D79" s="21"/>
      <c r="E79" s="29"/>
      <c r="F79" s="29">
        <v>4116</v>
      </c>
    </row>
    <row r="80" spans="1:8" s="2" customFormat="1" hidden="1" x14ac:dyDescent="0.25">
      <c r="A80" s="25"/>
      <c r="B80" s="107"/>
      <c r="C80" s="20"/>
      <c r="D80" s="21"/>
      <c r="E80" s="29"/>
      <c r="F80" s="29">
        <v>4116</v>
      </c>
    </row>
    <row r="81" spans="1:6" s="2" customFormat="1" hidden="1" x14ac:dyDescent="0.25">
      <c r="A81" s="25"/>
      <c r="B81" s="107"/>
      <c r="C81" s="20"/>
      <c r="D81" s="21"/>
      <c r="E81" s="29"/>
      <c r="F81" s="29">
        <v>4116</v>
      </c>
    </row>
    <row r="82" spans="1:6" s="2" customFormat="1" hidden="1" x14ac:dyDescent="0.25">
      <c r="A82" s="25"/>
      <c r="B82" s="107"/>
      <c r="C82" s="20"/>
      <c r="D82" s="21"/>
      <c r="E82" s="29"/>
      <c r="F82" s="29">
        <v>4116</v>
      </c>
    </row>
    <row r="83" spans="1:6" s="2" customFormat="1" hidden="1" x14ac:dyDescent="0.25">
      <c r="A83" s="25"/>
      <c r="B83" s="107"/>
      <c r="C83" s="20"/>
      <c r="D83" s="21"/>
      <c r="E83" s="29"/>
      <c r="F83" s="29">
        <v>4116</v>
      </c>
    </row>
    <row r="84" spans="1:6" s="2" customFormat="1" hidden="1" x14ac:dyDescent="0.25">
      <c r="A84" s="25"/>
      <c r="B84" s="107"/>
      <c r="C84" s="20"/>
      <c r="D84" s="21"/>
      <c r="E84" s="29"/>
      <c r="F84" s="29">
        <v>4116</v>
      </c>
    </row>
    <row r="85" spans="1:6" s="2" customFormat="1" hidden="1" x14ac:dyDescent="0.25">
      <c r="A85" s="25"/>
      <c r="B85" s="107"/>
      <c r="C85" s="20"/>
      <c r="D85" s="21"/>
      <c r="E85" s="29"/>
      <c r="F85" s="29">
        <v>4116</v>
      </c>
    </row>
    <row r="86" spans="1:6" s="2" customFormat="1" hidden="1" x14ac:dyDescent="0.25">
      <c r="A86" s="25"/>
      <c r="B86" s="107"/>
      <c r="C86" s="20"/>
      <c r="D86" s="21"/>
      <c r="E86" s="29"/>
      <c r="F86" s="29">
        <v>4116</v>
      </c>
    </row>
    <row r="87" spans="1:6" s="2" customFormat="1" hidden="1" x14ac:dyDescent="0.25">
      <c r="A87" s="25"/>
      <c r="B87" s="107"/>
      <c r="C87" s="20"/>
      <c r="D87" s="21"/>
      <c r="E87" s="29"/>
      <c r="F87" s="29">
        <v>4116</v>
      </c>
    </row>
    <row r="88" spans="1:6" s="2" customFormat="1" hidden="1" x14ac:dyDescent="0.25">
      <c r="A88" s="25"/>
      <c r="B88" s="107"/>
      <c r="C88" s="20"/>
      <c r="D88" s="21"/>
      <c r="E88" s="29"/>
      <c r="F88" s="29">
        <v>4116</v>
      </c>
    </row>
    <row r="89" spans="1:6" s="2" customFormat="1" hidden="1" x14ac:dyDescent="0.25">
      <c r="A89" s="25"/>
      <c r="B89" s="107"/>
      <c r="C89" s="20"/>
      <c r="D89" s="21"/>
      <c r="E89" s="29"/>
      <c r="F89" s="29">
        <v>4116</v>
      </c>
    </row>
    <row r="90" spans="1:6" s="2" customFormat="1" hidden="1" x14ac:dyDescent="0.25">
      <c r="A90" s="25"/>
      <c r="B90" s="107"/>
      <c r="C90" s="20"/>
      <c r="D90" s="21"/>
      <c r="E90" s="29"/>
      <c r="F90" s="29">
        <v>4116</v>
      </c>
    </row>
    <row r="91" spans="1:6" s="2" customFormat="1" hidden="1" x14ac:dyDescent="0.25">
      <c r="A91" s="25"/>
      <c r="B91" s="107"/>
      <c r="C91" s="20"/>
      <c r="D91" s="21"/>
      <c r="E91" s="29"/>
      <c r="F91" s="29">
        <v>4116</v>
      </c>
    </row>
    <row r="92" spans="1:6" s="2" customFormat="1" hidden="1" x14ac:dyDescent="0.25">
      <c r="A92" s="25"/>
      <c r="B92" s="107"/>
      <c r="C92" s="20"/>
      <c r="D92" s="21"/>
      <c r="E92" s="29"/>
      <c r="F92" s="29">
        <v>4116</v>
      </c>
    </row>
    <row r="93" spans="1:6" s="2" customFormat="1" hidden="1" x14ac:dyDescent="0.25">
      <c r="A93" s="25"/>
      <c r="B93" s="107"/>
      <c r="C93" s="20"/>
      <c r="D93" s="21"/>
      <c r="E93" s="29"/>
      <c r="F93" s="29">
        <v>4116</v>
      </c>
    </row>
    <row r="94" spans="1:6" s="2" customFormat="1" hidden="1" x14ac:dyDescent="0.25">
      <c r="A94" s="25"/>
      <c r="B94" s="107"/>
      <c r="C94" s="20"/>
      <c r="D94" s="21"/>
      <c r="E94" s="29"/>
      <c r="F94" s="29">
        <v>4116</v>
      </c>
    </row>
    <row r="95" spans="1:6" s="2" customFormat="1" hidden="1" x14ac:dyDescent="0.25">
      <c r="A95" s="25"/>
      <c r="B95" s="107"/>
      <c r="C95" s="20"/>
      <c r="D95" s="21"/>
      <c r="E95" s="29"/>
      <c r="F95" s="29">
        <v>4116</v>
      </c>
    </row>
    <row r="96" spans="1:6" s="2" customFormat="1" hidden="1" x14ac:dyDescent="0.25">
      <c r="A96" s="25"/>
      <c r="B96" s="107"/>
      <c r="C96" s="20"/>
      <c r="D96" s="20"/>
      <c r="E96" s="29"/>
      <c r="F96" s="29">
        <v>4116</v>
      </c>
    </row>
    <row r="97" spans="1:8" s="2" customFormat="1" hidden="1" x14ac:dyDescent="0.25">
      <c r="A97" s="25"/>
      <c r="B97" s="107"/>
      <c r="C97" s="20"/>
      <c r="D97" s="20"/>
      <c r="E97" s="29"/>
      <c r="F97" s="29">
        <v>4116</v>
      </c>
    </row>
    <row r="98" spans="1:8" s="2" customFormat="1" hidden="1" x14ac:dyDescent="0.25">
      <c r="A98" s="25"/>
      <c r="B98" s="107"/>
      <c r="C98" s="20"/>
      <c r="D98" s="20"/>
      <c r="E98" s="29"/>
      <c r="F98" s="29">
        <v>4116</v>
      </c>
    </row>
    <row r="99" spans="1:8" s="2" customFormat="1" hidden="1" x14ac:dyDescent="0.25">
      <c r="A99" s="25"/>
      <c r="B99" s="107"/>
      <c r="C99" s="20"/>
      <c r="D99" s="20"/>
      <c r="E99" s="29"/>
      <c r="F99" s="29">
        <v>4116</v>
      </c>
    </row>
    <row r="100" spans="1:8" s="2" customFormat="1" hidden="1" x14ac:dyDescent="0.25">
      <c r="A100" s="25"/>
      <c r="B100" s="107"/>
      <c r="C100" s="20"/>
      <c r="D100" s="21"/>
      <c r="E100" s="29"/>
      <c r="F100" s="29">
        <v>4116</v>
      </c>
    </row>
    <row r="101" spans="1:8" x14ac:dyDescent="0.25">
      <c r="A101" s="50"/>
      <c r="B101" s="107"/>
      <c r="C101" s="115"/>
      <c r="D101" s="21"/>
      <c r="E101" s="51"/>
      <c r="F101" s="51"/>
      <c r="G101" s="2"/>
      <c r="H101" s="2"/>
    </row>
    <row r="102" spans="1:8" s="2" customFormat="1" x14ac:dyDescent="0.25">
      <c r="A102" s="25"/>
      <c r="B102" s="38" t="s">
        <v>34</v>
      </c>
      <c r="C102" s="39">
        <f>SUM(C103:C114)</f>
        <v>1164.5464099999999</v>
      </c>
      <c r="D102" s="40">
        <f>SUM(D103:D114)</f>
        <v>8440669.9100000001</v>
      </c>
      <c r="E102" s="29"/>
      <c r="F102" s="36"/>
    </row>
    <row r="103" spans="1:8" s="2" customFormat="1" x14ac:dyDescent="0.25">
      <c r="A103" s="25">
        <v>42054</v>
      </c>
      <c r="B103" s="107" t="s">
        <v>68</v>
      </c>
      <c r="C103" s="52">
        <v>972.54641000000004</v>
      </c>
      <c r="D103" s="53">
        <v>972546.41</v>
      </c>
      <c r="E103" s="29">
        <v>33019</v>
      </c>
      <c r="F103" s="36" t="s">
        <v>18</v>
      </c>
    </row>
    <row r="104" spans="1:8" s="2" customFormat="1" x14ac:dyDescent="0.25">
      <c r="A104" s="25">
        <v>42081</v>
      </c>
      <c r="B104" s="107" t="s">
        <v>117</v>
      </c>
      <c r="C104" s="52">
        <v>192</v>
      </c>
      <c r="D104" s="55">
        <v>192000</v>
      </c>
      <c r="E104" s="29">
        <v>33339</v>
      </c>
      <c r="F104" s="36">
        <v>4116</v>
      </c>
    </row>
    <row r="105" spans="1:8" s="2" customFormat="1" x14ac:dyDescent="0.25">
      <c r="A105" s="25">
        <v>42116</v>
      </c>
      <c r="B105" s="107" t="s">
        <v>145</v>
      </c>
      <c r="C105" s="175">
        <v>0</v>
      </c>
      <c r="D105" s="55">
        <f>354667.65+62588.42</f>
        <v>417256.07</v>
      </c>
      <c r="E105" s="29">
        <v>33019</v>
      </c>
      <c r="F105" s="36">
        <v>4116</v>
      </c>
      <c r="G105" s="2">
        <v>417.25607000000002</v>
      </c>
    </row>
    <row r="106" spans="1:8" s="2" customFormat="1" x14ac:dyDescent="0.25">
      <c r="A106" s="25">
        <v>42117</v>
      </c>
      <c r="B106" s="107" t="s">
        <v>148</v>
      </c>
      <c r="C106" s="52">
        <v>0</v>
      </c>
      <c r="D106" s="114">
        <v>6858867.4299999997</v>
      </c>
      <c r="E106" s="29">
        <v>33019</v>
      </c>
      <c r="F106" s="36">
        <v>4116</v>
      </c>
    </row>
    <row r="107" spans="1:8" s="2" customFormat="1" hidden="1" x14ac:dyDescent="0.25">
      <c r="A107" s="25"/>
      <c r="B107" s="24"/>
      <c r="C107" s="52"/>
      <c r="D107" s="55"/>
      <c r="E107" s="28"/>
      <c r="F107" s="36">
        <v>4116</v>
      </c>
    </row>
    <row r="108" spans="1:8" s="2" customFormat="1" hidden="1" x14ac:dyDescent="0.25">
      <c r="A108" s="25"/>
      <c r="B108" s="24"/>
      <c r="C108" s="53"/>
      <c r="D108" s="55"/>
      <c r="E108" s="28"/>
      <c r="F108" s="36">
        <v>4116</v>
      </c>
    </row>
    <row r="109" spans="1:8" s="2" customFormat="1" hidden="1" x14ac:dyDescent="0.25">
      <c r="A109" s="25"/>
      <c r="B109" s="24"/>
      <c r="C109" s="53"/>
      <c r="D109" s="55"/>
      <c r="E109" s="28"/>
      <c r="F109" s="36">
        <v>4116</v>
      </c>
    </row>
    <row r="110" spans="1:8" s="2" customFormat="1" hidden="1" x14ac:dyDescent="0.25">
      <c r="A110" s="25"/>
      <c r="B110" s="24"/>
      <c r="C110" s="53"/>
      <c r="D110" s="55"/>
      <c r="E110" s="28"/>
      <c r="F110" s="36">
        <v>4116</v>
      </c>
    </row>
    <row r="111" spans="1:8" s="2" customFormat="1" hidden="1" x14ac:dyDescent="0.25">
      <c r="A111" s="25"/>
      <c r="B111" s="24"/>
      <c r="C111" s="53"/>
      <c r="D111" s="55"/>
      <c r="E111" s="28"/>
      <c r="F111" s="36">
        <v>4116</v>
      </c>
    </row>
    <row r="112" spans="1:8" s="2" customFormat="1" hidden="1" x14ac:dyDescent="0.25">
      <c r="A112" s="25"/>
      <c r="B112" s="24"/>
      <c r="C112" s="53"/>
      <c r="D112" s="55"/>
      <c r="E112" s="28"/>
      <c r="F112" s="36">
        <v>4116</v>
      </c>
    </row>
    <row r="113" spans="1:6" s="2" customFormat="1" hidden="1" x14ac:dyDescent="0.25">
      <c r="A113" s="25"/>
      <c r="B113" s="24"/>
      <c r="C113" s="53"/>
      <c r="D113" s="55"/>
      <c r="E113" s="28"/>
      <c r="F113" s="36">
        <v>4116</v>
      </c>
    </row>
    <row r="114" spans="1:6" s="2" customFormat="1" x14ac:dyDescent="0.25">
      <c r="A114" s="25"/>
      <c r="B114" s="54"/>
      <c r="C114" s="47"/>
      <c r="D114" s="55"/>
      <c r="E114" s="28"/>
      <c r="F114" s="36"/>
    </row>
    <row r="115" spans="1:6" s="2" customFormat="1" x14ac:dyDescent="0.25">
      <c r="A115" s="25"/>
      <c r="B115" s="13" t="s">
        <v>35</v>
      </c>
      <c r="C115" s="30">
        <f>+SUM(C116:C119)</f>
        <v>2908.0978700000001</v>
      </c>
      <c r="D115" s="31">
        <f>+SUM(D116:D119)</f>
        <v>2908097.87</v>
      </c>
      <c r="E115" s="28"/>
      <c r="F115" s="29"/>
    </row>
    <row r="116" spans="1:6" s="2" customFormat="1" x14ac:dyDescent="0.25">
      <c r="A116" s="25">
        <v>42040</v>
      </c>
      <c r="B116" s="107" t="s">
        <v>60</v>
      </c>
      <c r="C116" s="52">
        <v>2686.6678700000002</v>
      </c>
      <c r="D116" s="53">
        <v>2686667.87</v>
      </c>
      <c r="E116" s="28">
        <v>17003</v>
      </c>
      <c r="F116" s="29" t="s">
        <v>18</v>
      </c>
    </row>
    <row r="117" spans="1:6" s="2" customFormat="1" x14ac:dyDescent="0.25">
      <c r="A117" s="25">
        <v>42059</v>
      </c>
      <c r="B117" s="107" t="s">
        <v>105</v>
      </c>
      <c r="C117" s="52">
        <v>188.21549999999999</v>
      </c>
      <c r="D117" s="53">
        <v>188215.5</v>
      </c>
      <c r="E117" s="28">
        <v>17003</v>
      </c>
      <c r="F117" s="29">
        <v>4116</v>
      </c>
    </row>
    <row r="118" spans="1:6" s="2" customFormat="1" x14ac:dyDescent="0.25">
      <c r="A118" s="25">
        <v>42059</v>
      </c>
      <c r="B118" s="107" t="s">
        <v>105</v>
      </c>
      <c r="C118" s="52">
        <v>33.214500000000001</v>
      </c>
      <c r="D118" s="53">
        <v>33214.5</v>
      </c>
      <c r="E118" s="28">
        <v>17002</v>
      </c>
      <c r="F118" s="29">
        <v>4116</v>
      </c>
    </row>
    <row r="119" spans="1:6" s="2" customFormat="1" x14ac:dyDescent="0.25">
      <c r="A119" s="25"/>
      <c r="B119" s="57"/>
      <c r="C119" s="52"/>
      <c r="D119" s="53"/>
      <c r="E119" s="28"/>
      <c r="F119" s="29"/>
    </row>
    <row r="120" spans="1:6" s="2" customFormat="1" hidden="1" x14ac:dyDescent="0.25">
      <c r="A120" s="25"/>
      <c r="B120" s="30" t="s">
        <v>36</v>
      </c>
      <c r="C120" s="30">
        <f>+SUM(C121:C134)</f>
        <v>0</v>
      </c>
      <c r="D120" s="31">
        <f>+SUM(D121:D134)</f>
        <v>0</v>
      </c>
      <c r="E120" s="28"/>
      <c r="F120" s="29"/>
    </row>
    <row r="121" spans="1:6" s="2" customFormat="1" hidden="1" x14ac:dyDescent="0.25">
      <c r="A121" s="25"/>
      <c r="B121" s="19"/>
      <c r="C121" s="20"/>
      <c r="D121" s="53"/>
      <c r="E121" s="28"/>
      <c r="F121" s="29">
        <v>4116</v>
      </c>
    </row>
    <row r="122" spans="1:6" s="2" customFormat="1" hidden="1" x14ac:dyDescent="0.25">
      <c r="A122" s="25"/>
      <c r="B122" s="19"/>
      <c r="C122" s="20"/>
      <c r="D122" s="53"/>
      <c r="E122" s="28"/>
      <c r="F122" s="29">
        <v>4116</v>
      </c>
    </row>
    <row r="123" spans="1:6" s="2" customFormat="1" hidden="1" x14ac:dyDescent="0.25">
      <c r="A123" s="25"/>
      <c r="B123" s="19"/>
      <c r="C123" s="20"/>
      <c r="D123" s="53"/>
      <c r="E123" s="28"/>
      <c r="F123" s="29">
        <v>4116</v>
      </c>
    </row>
    <row r="124" spans="1:6" s="2" customFormat="1" hidden="1" x14ac:dyDescent="0.25">
      <c r="A124" s="25"/>
      <c r="B124" s="19"/>
      <c r="C124" s="20"/>
      <c r="D124" s="53"/>
      <c r="E124" s="28"/>
      <c r="F124" s="29">
        <v>4116</v>
      </c>
    </row>
    <row r="125" spans="1:6" s="2" customFormat="1" hidden="1" x14ac:dyDescent="0.25">
      <c r="A125" s="25"/>
      <c r="B125" s="19"/>
      <c r="C125" s="20"/>
      <c r="D125" s="53"/>
      <c r="E125" s="28"/>
      <c r="F125" s="29">
        <v>4116</v>
      </c>
    </row>
    <row r="126" spans="1:6" s="2" customFormat="1" hidden="1" x14ac:dyDescent="0.25">
      <c r="A126" s="25"/>
      <c r="B126" s="19"/>
      <c r="C126" s="20"/>
      <c r="D126" s="53"/>
      <c r="E126" s="28"/>
      <c r="F126" s="29">
        <v>4116</v>
      </c>
    </row>
    <row r="127" spans="1:6" s="2" customFormat="1" hidden="1" x14ac:dyDescent="0.25">
      <c r="A127" s="25"/>
      <c r="B127" s="19"/>
      <c r="C127" s="20"/>
      <c r="D127" s="53"/>
      <c r="E127" s="28"/>
      <c r="F127" s="29">
        <v>4116</v>
      </c>
    </row>
    <row r="128" spans="1:6" s="2" customFormat="1" hidden="1" x14ac:dyDescent="0.25">
      <c r="A128" s="25"/>
      <c r="B128" s="19"/>
      <c r="C128" s="20"/>
      <c r="D128" s="53"/>
      <c r="E128" s="28"/>
      <c r="F128" s="29">
        <v>4116</v>
      </c>
    </row>
    <row r="129" spans="1:8" s="2" customFormat="1" hidden="1" x14ac:dyDescent="0.25">
      <c r="A129" s="25"/>
      <c r="B129" s="19"/>
      <c r="C129" s="20"/>
      <c r="D129" s="53"/>
      <c r="E129" s="28"/>
      <c r="F129" s="29">
        <v>4116</v>
      </c>
    </row>
    <row r="130" spans="1:8" s="2" customFormat="1" hidden="1" x14ac:dyDescent="0.25">
      <c r="A130" s="25"/>
      <c r="B130" s="19"/>
      <c r="C130" s="20"/>
      <c r="D130" s="53"/>
      <c r="E130" s="28"/>
      <c r="F130" s="29">
        <v>4116</v>
      </c>
    </row>
    <row r="131" spans="1:8" s="2" customFormat="1" hidden="1" x14ac:dyDescent="0.25">
      <c r="A131" s="25"/>
      <c r="B131" s="19"/>
      <c r="C131" s="20"/>
      <c r="D131" s="53"/>
      <c r="E131" s="28"/>
      <c r="F131" s="29">
        <v>4116</v>
      </c>
    </row>
    <row r="132" spans="1:8" s="2" customFormat="1" hidden="1" x14ac:dyDescent="0.25">
      <c r="A132" s="25"/>
      <c r="B132" s="19"/>
      <c r="C132" s="20"/>
      <c r="D132" s="53"/>
      <c r="E132" s="28"/>
      <c r="F132" s="29">
        <v>4116</v>
      </c>
    </row>
    <row r="133" spans="1:8" s="2" customFormat="1" hidden="1" x14ac:dyDescent="0.25">
      <c r="A133" s="25"/>
      <c r="B133" s="19"/>
      <c r="C133" s="52"/>
      <c r="D133" s="53"/>
      <c r="E133" s="28"/>
      <c r="F133" s="29">
        <v>4116</v>
      </c>
    </row>
    <row r="134" spans="1:8" s="2" customFormat="1" hidden="1" x14ac:dyDescent="0.25">
      <c r="A134" s="25"/>
      <c r="B134" s="23"/>
      <c r="C134" s="52"/>
      <c r="D134" s="53"/>
      <c r="E134" s="28"/>
      <c r="F134" s="29">
        <v>4116</v>
      </c>
    </row>
    <row r="135" spans="1:8" hidden="1" x14ac:dyDescent="0.25">
      <c r="A135" s="50"/>
      <c r="B135" s="58"/>
      <c r="C135" s="46"/>
      <c r="D135" s="56"/>
      <c r="E135" s="60"/>
      <c r="F135" s="51"/>
      <c r="G135" s="2"/>
      <c r="H135" s="2"/>
    </row>
    <row r="136" spans="1:8" s="2" customFormat="1" x14ac:dyDescent="0.25">
      <c r="A136" s="25"/>
      <c r="B136" s="13" t="s">
        <v>38</v>
      </c>
      <c r="C136" s="30">
        <f>+C137</f>
        <v>600</v>
      </c>
      <c r="D136" s="31">
        <f>+D137</f>
        <v>600000</v>
      </c>
      <c r="E136" s="28"/>
      <c r="F136" s="29"/>
    </row>
    <row r="137" spans="1:8" s="2" customFormat="1" x14ac:dyDescent="0.25">
      <c r="A137" s="25">
        <v>42051</v>
      </c>
      <c r="B137" s="19" t="s">
        <v>39</v>
      </c>
      <c r="C137" s="46">
        <v>600</v>
      </c>
      <c r="D137" s="47">
        <v>600000</v>
      </c>
      <c r="E137" s="28">
        <v>22005</v>
      </c>
      <c r="F137" s="29" t="s">
        <v>18</v>
      </c>
    </row>
    <row r="138" spans="1:8" x14ac:dyDescent="0.25">
      <c r="A138" s="50"/>
      <c r="B138" s="61"/>
      <c r="C138" s="46"/>
      <c r="D138" s="56"/>
      <c r="E138" s="60"/>
      <c r="F138" s="51"/>
      <c r="G138" s="2"/>
      <c r="H138" s="2"/>
    </row>
    <row r="139" spans="1:8" s="2" customFormat="1" x14ac:dyDescent="0.25">
      <c r="A139" s="25"/>
      <c r="B139" s="13" t="s">
        <v>40</v>
      </c>
      <c r="C139" s="30">
        <f>SUM(C140:C152)</f>
        <v>425.32800000000003</v>
      </c>
      <c r="D139" s="31">
        <f>SUM(D140:D152)</f>
        <v>497328</v>
      </c>
      <c r="E139" s="28"/>
      <c r="F139" s="29"/>
    </row>
    <row r="140" spans="1:8" s="2" customFormat="1" x14ac:dyDescent="0.25">
      <c r="A140" s="25">
        <v>42081</v>
      </c>
      <c r="B140" s="24" t="s">
        <v>118</v>
      </c>
      <c r="C140" s="46">
        <v>134.988</v>
      </c>
      <c r="D140" s="47">
        <v>134988</v>
      </c>
      <c r="E140" s="28">
        <v>14023</v>
      </c>
      <c r="F140" s="29">
        <v>4116</v>
      </c>
    </row>
    <row r="141" spans="1:8" s="2" customFormat="1" x14ac:dyDescent="0.25">
      <c r="A141" s="25">
        <v>42082</v>
      </c>
      <c r="B141" s="24" t="s">
        <v>119</v>
      </c>
      <c r="C141" s="46">
        <v>72</v>
      </c>
      <c r="D141" s="47">
        <v>72000</v>
      </c>
      <c r="E141" s="28">
        <v>14336</v>
      </c>
      <c r="F141" s="29">
        <v>4116</v>
      </c>
    </row>
    <row r="142" spans="1:8" s="2" customFormat="1" x14ac:dyDescent="0.25">
      <c r="A142" s="25">
        <v>42087</v>
      </c>
      <c r="B142" s="24" t="s">
        <v>118</v>
      </c>
      <c r="C142" s="46">
        <v>0.8</v>
      </c>
      <c r="D142" s="47">
        <v>800</v>
      </c>
      <c r="E142" s="28">
        <v>14023</v>
      </c>
      <c r="F142" s="29">
        <v>4116</v>
      </c>
    </row>
    <row r="143" spans="1:8" s="2" customFormat="1" x14ac:dyDescent="0.25">
      <c r="A143" s="25">
        <v>42090</v>
      </c>
      <c r="B143" s="24" t="s">
        <v>118</v>
      </c>
      <c r="C143" s="46">
        <v>66.06</v>
      </c>
      <c r="D143" s="47">
        <v>66060</v>
      </c>
      <c r="E143" s="28">
        <v>14023</v>
      </c>
      <c r="F143" s="29">
        <v>4116</v>
      </c>
    </row>
    <row r="144" spans="1:8" s="2" customFormat="1" x14ac:dyDescent="0.25">
      <c r="A144" s="25">
        <v>42096</v>
      </c>
      <c r="B144" s="24" t="s">
        <v>136</v>
      </c>
      <c r="C144" s="46">
        <v>72</v>
      </c>
      <c r="D144" s="47">
        <v>72000</v>
      </c>
      <c r="E144" s="28">
        <v>14336</v>
      </c>
      <c r="F144" s="29">
        <v>4116</v>
      </c>
    </row>
    <row r="145" spans="1:6" s="2" customFormat="1" x14ac:dyDescent="0.25">
      <c r="A145" s="25">
        <v>42096</v>
      </c>
      <c r="B145" s="24" t="s">
        <v>137</v>
      </c>
      <c r="C145" s="46">
        <v>72</v>
      </c>
      <c r="D145" s="47">
        <v>72000</v>
      </c>
      <c r="E145" s="28">
        <v>14336</v>
      </c>
      <c r="F145" s="29">
        <v>4116</v>
      </c>
    </row>
    <row r="146" spans="1:6" s="2" customFormat="1" x14ac:dyDescent="0.25">
      <c r="A146" s="25">
        <v>42123</v>
      </c>
      <c r="B146" s="24" t="s">
        <v>153</v>
      </c>
      <c r="C146" s="46">
        <v>0</v>
      </c>
      <c r="D146" s="47">
        <v>72000</v>
      </c>
      <c r="E146" s="28">
        <v>14336</v>
      </c>
      <c r="F146" s="29">
        <v>4116</v>
      </c>
    </row>
    <row r="147" spans="1:6" s="2" customFormat="1" x14ac:dyDescent="0.25">
      <c r="A147" s="25"/>
      <c r="B147" s="24"/>
      <c r="C147" s="46"/>
      <c r="D147" s="47"/>
      <c r="E147" s="28"/>
      <c r="F147" s="29">
        <v>4116</v>
      </c>
    </row>
    <row r="148" spans="1:6" s="2" customFormat="1" x14ac:dyDescent="0.25">
      <c r="A148" s="25"/>
      <c r="B148" s="24"/>
      <c r="C148" s="46"/>
      <c r="D148" s="47"/>
      <c r="E148" s="28"/>
      <c r="F148" s="29">
        <v>4116</v>
      </c>
    </row>
    <row r="149" spans="1:6" s="2" customFormat="1" x14ac:dyDescent="0.25">
      <c r="A149" s="25"/>
      <c r="B149" s="24" t="s">
        <v>113</v>
      </c>
      <c r="C149" s="46">
        <v>7.48</v>
      </c>
      <c r="D149" s="47">
        <v>7480</v>
      </c>
      <c r="E149" s="28">
        <v>14137</v>
      </c>
      <c r="F149" s="29">
        <v>4116</v>
      </c>
    </row>
    <row r="150" spans="1:6" s="2" customFormat="1" hidden="1" x14ac:dyDescent="0.25">
      <c r="A150" s="25"/>
      <c r="B150" s="24"/>
      <c r="C150" s="46"/>
      <c r="D150" s="47"/>
      <c r="E150" s="28"/>
      <c r="F150" s="29">
        <v>4116</v>
      </c>
    </row>
    <row r="151" spans="1:6" s="2" customFormat="1" hidden="1" x14ac:dyDescent="0.25">
      <c r="A151" s="25"/>
      <c r="B151" s="24"/>
      <c r="C151" s="46"/>
      <c r="D151" s="47"/>
      <c r="E151" s="28"/>
      <c r="F151" s="29">
        <v>4116</v>
      </c>
    </row>
    <row r="152" spans="1:6" s="2" customFormat="1" hidden="1" x14ac:dyDescent="0.25">
      <c r="A152" s="25"/>
      <c r="B152" s="24"/>
      <c r="C152" s="116"/>
      <c r="D152" s="47"/>
      <c r="E152" s="28"/>
      <c r="F152" s="29"/>
    </row>
    <row r="153" spans="1:6" s="2" customFormat="1" x14ac:dyDescent="0.25">
      <c r="A153" s="25"/>
      <c r="B153" s="19"/>
      <c r="C153" s="116"/>
      <c r="D153" s="47"/>
      <c r="E153" s="28"/>
      <c r="F153" s="48"/>
    </row>
    <row r="154" spans="1:6" s="2" customFormat="1" x14ac:dyDescent="0.25">
      <c r="A154" s="25"/>
      <c r="B154" s="13" t="s">
        <v>41</v>
      </c>
      <c r="C154" s="30">
        <f>+SUM(C155:C169)</f>
        <v>0</v>
      </c>
      <c r="D154" s="30">
        <f>+SUM(D155:D169)</f>
        <v>185374</v>
      </c>
      <c r="E154" s="28"/>
      <c r="F154" s="48"/>
    </row>
    <row r="155" spans="1:6" s="2" customFormat="1" x14ac:dyDescent="0.25">
      <c r="A155" s="25">
        <v>42118</v>
      </c>
      <c r="B155" s="24" t="s">
        <v>93</v>
      </c>
      <c r="C155" s="46"/>
      <c r="D155" s="47">
        <v>18062.5</v>
      </c>
      <c r="E155" s="28">
        <v>35019</v>
      </c>
      <c r="F155" s="48">
        <v>4116</v>
      </c>
    </row>
    <row r="156" spans="1:6" s="2" customFormat="1" x14ac:dyDescent="0.25">
      <c r="A156" s="25">
        <v>42118</v>
      </c>
      <c r="B156" s="24" t="s">
        <v>94</v>
      </c>
      <c r="C156" s="46"/>
      <c r="D156" s="47">
        <v>17977.5</v>
      </c>
      <c r="E156" s="28">
        <v>35019</v>
      </c>
      <c r="F156" s="48">
        <v>4116</v>
      </c>
    </row>
    <row r="157" spans="1:6" s="2" customFormat="1" x14ac:dyDescent="0.25">
      <c r="A157" s="25">
        <v>42118</v>
      </c>
      <c r="B157" s="24" t="s">
        <v>95</v>
      </c>
      <c r="C157" s="46"/>
      <c r="D157" s="47">
        <v>32084</v>
      </c>
      <c r="E157" s="28">
        <v>35019</v>
      </c>
      <c r="F157" s="48">
        <v>4116</v>
      </c>
    </row>
    <row r="158" spans="1:6" s="2" customFormat="1" x14ac:dyDescent="0.25">
      <c r="A158" s="25">
        <v>42118</v>
      </c>
      <c r="B158" s="24" t="s">
        <v>95</v>
      </c>
      <c r="C158" s="46"/>
      <c r="D158" s="47">
        <v>77000</v>
      </c>
      <c r="E158" s="28">
        <v>35019</v>
      </c>
      <c r="F158" s="48">
        <v>4116</v>
      </c>
    </row>
    <row r="159" spans="1:6" s="2" customFormat="1" x14ac:dyDescent="0.25">
      <c r="A159" s="25">
        <v>42118</v>
      </c>
      <c r="B159" s="24" t="s">
        <v>92</v>
      </c>
      <c r="C159" s="46"/>
      <c r="D159" s="47">
        <v>40250</v>
      </c>
      <c r="E159" s="28">
        <v>35019</v>
      </c>
      <c r="F159" s="48">
        <v>4116</v>
      </c>
    </row>
    <row r="160" spans="1:6" s="2" customFormat="1" hidden="1" x14ac:dyDescent="0.25">
      <c r="A160" s="25"/>
      <c r="B160" s="24" t="s">
        <v>95</v>
      </c>
      <c r="C160" s="46"/>
      <c r="D160" s="47"/>
      <c r="E160" s="28">
        <v>35019</v>
      </c>
      <c r="F160" s="48">
        <v>4116</v>
      </c>
    </row>
    <row r="161" spans="1:6" s="2" customFormat="1" hidden="1" x14ac:dyDescent="0.25">
      <c r="A161" s="25"/>
      <c r="B161" s="24" t="s">
        <v>93</v>
      </c>
      <c r="C161" s="46"/>
      <c r="D161" s="47"/>
      <c r="E161" s="28">
        <v>35019</v>
      </c>
      <c r="F161" s="48">
        <v>4116</v>
      </c>
    </row>
    <row r="162" spans="1:6" s="2" customFormat="1" hidden="1" x14ac:dyDescent="0.25">
      <c r="A162" s="25"/>
      <c r="B162" s="24" t="s">
        <v>94</v>
      </c>
      <c r="C162" s="46"/>
      <c r="D162" s="47"/>
      <c r="E162" s="28">
        <v>35019</v>
      </c>
      <c r="F162" s="48">
        <v>4116</v>
      </c>
    </row>
    <row r="163" spans="1:6" s="2" customFormat="1" hidden="1" x14ac:dyDescent="0.25">
      <c r="A163" s="25"/>
      <c r="B163" s="24" t="s">
        <v>95</v>
      </c>
      <c r="C163" s="46"/>
      <c r="D163" s="47"/>
      <c r="E163" s="28">
        <v>35019</v>
      </c>
      <c r="F163" s="48">
        <v>4116</v>
      </c>
    </row>
    <row r="164" spans="1:6" s="2" customFormat="1" hidden="1" x14ac:dyDescent="0.25">
      <c r="A164" s="25"/>
      <c r="B164" s="24" t="s">
        <v>96</v>
      </c>
      <c r="C164" s="46"/>
      <c r="D164" s="47"/>
      <c r="E164" s="28">
        <v>35019</v>
      </c>
      <c r="F164" s="48">
        <v>4116</v>
      </c>
    </row>
    <row r="165" spans="1:6" s="2" customFormat="1" hidden="1" x14ac:dyDescent="0.25">
      <c r="A165" s="25"/>
      <c r="B165" s="24" t="s">
        <v>93</v>
      </c>
      <c r="C165" s="46"/>
      <c r="D165" s="47"/>
      <c r="E165" s="28">
        <v>35019</v>
      </c>
      <c r="F165" s="48">
        <v>4116</v>
      </c>
    </row>
    <row r="166" spans="1:6" s="2" customFormat="1" hidden="1" x14ac:dyDescent="0.25">
      <c r="A166" s="25"/>
      <c r="B166" s="24" t="s">
        <v>95</v>
      </c>
      <c r="C166" s="46"/>
      <c r="D166" s="47"/>
      <c r="E166" s="28">
        <v>35019</v>
      </c>
      <c r="F166" s="48">
        <v>4116</v>
      </c>
    </row>
    <row r="167" spans="1:6" s="2" customFormat="1" hidden="1" x14ac:dyDescent="0.25">
      <c r="A167" s="25"/>
      <c r="B167" s="24" t="s">
        <v>95</v>
      </c>
      <c r="C167" s="46"/>
      <c r="D167" s="47"/>
      <c r="E167" s="28">
        <v>35019</v>
      </c>
      <c r="F167" s="48">
        <v>4116</v>
      </c>
    </row>
    <row r="168" spans="1:6" s="2" customFormat="1" hidden="1" x14ac:dyDescent="0.25">
      <c r="A168" s="25"/>
      <c r="B168" s="24" t="s">
        <v>92</v>
      </c>
      <c r="C168" s="46"/>
      <c r="D168" s="47"/>
      <c r="E168" s="28">
        <v>35019</v>
      </c>
      <c r="F168" s="48">
        <v>4116</v>
      </c>
    </row>
    <row r="169" spans="1:6" s="2" customFormat="1" hidden="1" x14ac:dyDescent="0.25">
      <c r="A169" s="25"/>
      <c r="B169" s="24" t="s">
        <v>100</v>
      </c>
      <c r="C169" s="46"/>
      <c r="D169" s="47"/>
      <c r="E169" s="28">
        <v>35015</v>
      </c>
      <c r="F169" s="48">
        <v>4116</v>
      </c>
    </row>
    <row r="170" spans="1:6" s="2" customFormat="1" hidden="1" x14ac:dyDescent="0.25">
      <c r="A170" s="25"/>
      <c r="B170" s="24"/>
      <c r="C170" s="116"/>
      <c r="D170" s="47"/>
      <c r="E170" s="28"/>
      <c r="F170" s="48"/>
    </row>
    <row r="171" spans="1:6" s="2" customFormat="1" hidden="1" x14ac:dyDescent="0.25">
      <c r="A171" s="25"/>
      <c r="B171" s="13" t="s">
        <v>42</v>
      </c>
      <c r="C171" s="30">
        <f>+SUM(C172:C178)</f>
        <v>0</v>
      </c>
      <c r="D171" s="30">
        <f>+SUM(D172:D178)</f>
        <v>0</v>
      </c>
      <c r="E171" s="28"/>
      <c r="F171" s="48"/>
    </row>
    <row r="172" spans="1:6" s="2" customFormat="1" hidden="1" x14ac:dyDescent="0.25">
      <c r="A172" s="25"/>
      <c r="B172" s="24" t="s">
        <v>43</v>
      </c>
      <c r="C172" s="46"/>
      <c r="D172" s="47"/>
      <c r="E172" s="28">
        <v>29008</v>
      </c>
      <c r="F172" s="48">
        <v>4116</v>
      </c>
    </row>
    <row r="173" spans="1:6" s="2" customFormat="1" hidden="1" x14ac:dyDescent="0.25">
      <c r="A173" s="25"/>
      <c r="B173" s="24" t="s">
        <v>43</v>
      </c>
      <c r="C173" s="46"/>
      <c r="D173" s="47"/>
      <c r="E173" s="28">
        <v>29008</v>
      </c>
      <c r="F173" s="48">
        <v>4116</v>
      </c>
    </row>
    <row r="174" spans="1:6" s="2" customFormat="1" hidden="1" x14ac:dyDescent="0.25">
      <c r="A174" s="25"/>
      <c r="B174" s="24" t="s">
        <v>44</v>
      </c>
      <c r="C174" s="46"/>
      <c r="D174" s="47"/>
      <c r="E174" s="28">
        <v>29004</v>
      </c>
      <c r="F174" s="48">
        <v>4116</v>
      </c>
    </row>
    <row r="175" spans="1:6" s="2" customFormat="1" hidden="1" x14ac:dyDescent="0.25">
      <c r="A175" s="25"/>
      <c r="B175" s="24"/>
      <c r="C175" s="46"/>
      <c r="D175" s="47"/>
      <c r="E175" s="28"/>
      <c r="F175" s="48">
        <v>4116</v>
      </c>
    </row>
    <row r="176" spans="1:6" s="2" customFormat="1" hidden="1" x14ac:dyDescent="0.25">
      <c r="A176" s="25"/>
      <c r="B176" s="24"/>
      <c r="C176" s="46"/>
      <c r="D176" s="47"/>
      <c r="E176" s="28"/>
      <c r="F176" s="48">
        <v>4116</v>
      </c>
    </row>
    <row r="177" spans="1:6" s="2" customFormat="1" hidden="1" x14ac:dyDescent="0.25">
      <c r="A177" s="25"/>
      <c r="B177" s="24"/>
      <c r="C177" s="46"/>
      <c r="D177" s="47"/>
      <c r="E177" s="28"/>
      <c r="F177" s="48">
        <v>4116</v>
      </c>
    </row>
    <row r="178" spans="1:6" s="2" customFormat="1" x14ac:dyDescent="0.25">
      <c r="A178" s="25"/>
      <c r="B178" s="24"/>
      <c r="C178" s="116"/>
      <c r="D178" s="47"/>
      <c r="E178" s="28"/>
      <c r="F178" s="48"/>
    </row>
    <row r="179" spans="1:6" s="2" customFormat="1" x14ac:dyDescent="0.25">
      <c r="A179" s="25"/>
      <c r="B179" s="13" t="s">
        <v>45</v>
      </c>
      <c r="C179" s="30">
        <f>+SUM(C180:C205)</f>
        <v>0</v>
      </c>
      <c r="D179" s="31">
        <f>+SUM(D180:D205)</f>
        <v>466286.1</v>
      </c>
      <c r="E179" s="28"/>
      <c r="F179" s="48"/>
    </row>
    <row r="180" spans="1:6" s="2" customFormat="1" x14ac:dyDescent="0.25">
      <c r="A180" s="25">
        <v>42057</v>
      </c>
      <c r="B180" s="24" t="s">
        <v>146</v>
      </c>
      <c r="C180" s="46">
        <v>0</v>
      </c>
      <c r="D180" s="47">
        <v>466286.1</v>
      </c>
      <c r="E180" s="28">
        <v>15319</v>
      </c>
      <c r="F180" s="48">
        <v>4116</v>
      </c>
    </row>
    <row r="181" spans="1:6" s="2" customFormat="1" hidden="1" x14ac:dyDescent="0.25">
      <c r="A181" s="25"/>
      <c r="B181" s="24"/>
      <c r="C181" s="46"/>
      <c r="D181" s="47"/>
      <c r="E181" s="28"/>
      <c r="F181" s="48">
        <v>4116</v>
      </c>
    </row>
    <row r="182" spans="1:6" s="2" customFormat="1" hidden="1" x14ac:dyDescent="0.25">
      <c r="A182" s="25"/>
      <c r="B182" s="24"/>
      <c r="C182" s="46"/>
      <c r="D182" s="47"/>
      <c r="E182" s="28"/>
      <c r="F182" s="48">
        <v>4116</v>
      </c>
    </row>
    <row r="183" spans="1:6" s="2" customFormat="1" hidden="1" x14ac:dyDescent="0.25">
      <c r="A183" s="25"/>
      <c r="B183" s="24"/>
      <c r="C183" s="46"/>
      <c r="D183" s="47"/>
      <c r="E183" s="28"/>
      <c r="F183" s="48">
        <v>4116</v>
      </c>
    </row>
    <row r="184" spans="1:6" s="2" customFormat="1" hidden="1" x14ac:dyDescent="0.25">
      <c r="A184" s="25"/>
      <c r="B184" s="24"/>
      <c r="C184" s="46"/>
      <c r="D184" s="47"/>
      <c r="E184" s="28"/>
      <c r="F184" s="48">
        <v>4116</v>
      </c>
    </row>
    <row r="185" spans="1:6" s="2" customFormat="1" hidden="1" x14ac:dyDescent="0.25">
      <c r="A185" s="25"/>
      <c r="B185" s="24"/>
      <c r="C185" s="46"/>
      <c r="D185" s="47"/>
      <c r="E185" s="28"/>
      <c r="F185" s="48">
        <v>4116</v>
      </c>
    </row>
    <row r="186" spans="1:6" s="2" customFormat="1" hidden="1" x14ac:dyDescent="0.25">
      <c r="A186" s="12"/>
      <c r="B186" s="24"/>
      <c r="C186" s="46"/>
      <c r="D186" s="47"/>
      <c r="E186" s="28"/>
      <c r="F186" s="48">
        <v>4116</v>
      </c>
    </row>
    <row r="187" spans="1:6" s="2" customFormat="1" hidden="1" x14ac:dyDescent="0.25">
      <c r="A187" s="12"/>
      <c r="B187" s="24"/>
      <c r="C187" s="46"/>
      <c r="D187" s="47"/>
      <c r="E187" s="28"/>
      <c r="F187" s="48">
        <v>4116</v>
      </c>
    </row>
    <row r="188" spans="1:6" s="2" customFormat="1" hidden="1" x14ac:dyDescent="0.25">
      <c r="A188" s="12"/>
      <c r="B188" s="24"/>
      <c r="C188" s="46"/>
      <c r="D188" s="47"/>
      <c r="E188" s="28"/>
      <c r="F188" s="48">
        <v>4116</v>
      </c>
    </row>
    <row r="189" spans="1:6" s="2" customFormat="1" hidden="1" x14ac:dyDescent="0.25">
      <c r="A189" s="12"/>
      <c r="B189" s="24"/>
      <c r="C189" s="46"/>
      <c r="D189" s="47"/>
      <c r="E189" s="28"/>
      <c r="F189" s="48">
        <v>4116</v>
      </c>
    </row>
    <row r="190" spans="1:6" s="2" customFormat="1" hidden="1" x14ac:dyDescent="0.25">
      <c r="A190" s="12"/>
      <c r="B190" s="24"/>
      <c r="C190" s="46"/>
      <c r="D190" s="47"/>
      <c r="E190" s="28"/>
      <c r="F190" s="48">
        <v>4116</v>
      </c>
    </row>
    <row r="191" spans="1:6" s="2" customFormat="1" hidden="1" x14ac:dyDescent="0.25">
      <c r="A191" s="25"/>
      <c r="B191" s="24"/>
      <c r="C191" s="46"/>
      <c r="D191" s="47"/>
      <c r="E191" s="28"/>
      <c r="F191" s="48">
        <v>4116</v>
      </c>
    </row>
    <row r="192" spans="1:6" s="2" customFormat="1" hidden="1" x14ac:dyDescent="0.25">
      <c r="A192" s="25"/>
      <c r="B192" s="24"/>
      <c r="C192" s="46"/>
      <c r="D192" s="47"/>
      <c r="E192" s="28"/>
      <c r="F192" s="48">
        <v>4116</v>
      </c>
    </row>
    <row r="193" spans="1:8" s="2" customFormat="1" hidden="1" x14ac:dyDescent="0.25">
      <c r="A193" s="25"/>
      <c r="B193" s="24"/>
      <c r="C193" s="46"/>
      <c r="D193" s="47"/>
      <c r="E193" s="28"/>
      <c r="F193" s="48">
        <v>4116</v>
      </c>
    </row>
    <row r="194" spans="1:8" s="2" customFormat="1" hidden="1" x14ac:dyDescent="0.25">
      <c r="A194" s="25"/>
      <c r="B194" s="24"/>
      <c r="C194" s="46"/>
      <c r="D194" s="47"/>
      <c r="E194" s="28"/>
      <c r="F194" s="48">
        <v>4116</v>
      </c>
    </row>
    <row r="195" spans="1:8" s="2" customFormat="1" hidden="1" x14ac:dyDescent="0.25">
      <c r="A195" s="25"/>
      <c r="B195" s="24"/>
      <c r="C195" s="47"/>
      <c r="D195" s="47"/>
      <c r="E195" s="28"/>
      <c r="F195" s="48">
        <v>4116</v>
      </c>
    </row>
    <row r="196" spans="1:8" s="2" customFormat="1" hidden="1" x14ac:dyDescent="0.25">
      <c r="A196" s="25"/>
      <c r="B196" s="24"/>
      <c r="C196" s="47"/>
      <c r="D196" s="47"/>
      <c r="E196" s="28"/>
      <c r="F196" s="48">
        <v>4116</v>
      </c>
    </row>
    <row r="197" spans="1:8" s="2" customFormat="1" hidden="1" x14ac:dyDescent="0.25">
      <c r="A197" s="25"/>
      <c r="B197" s="24"/>
      <c r="C197" s="47"/>
      <c r="D197" s="47"/>
      <c r="E197" s="28"/>
      <c r="F197" s="48">
        <v>4116</v>
      </c>
    </row>
    <row r="198" spans="1:8" s="2" customFormat="1" hidden="1" x14ac:dyDescent="0.25">
      <c r="A198" s="25"/>
      <c r="B198" s="24"/>
      <c r="C198" s="47"/>
      <c r="D198" s="47"/>
      <c r="E198" s="28"/>
      <c r="F198" s="48">
        <v>4116</v>
      </c>
    </row>
    <row r="199" spans="1:8" s="2" customFormat="1" hidden="1" x14ac:dyDescent="0.25">
      <c r="A199" s="25"/>
      <c r="B199" s="24"/>
      <c r="C199" s="47"/>
      <c r="D199" s="47"/>
      <c r="E199" s="28"/>
      <c r="F199" s="48">
        <v>4116</v>
      </c>
    </row>
    <row r="200" spans="1:8" s="2" customFormat="1" hidden="1" x14ac:dyDescent="0.25">
      <c r="A200" s="25"/>
      <c r="B200" s="24"/>
      <c r="C200" s="47"/>
      <c r="D200" s="47"/>
      <c r="E200" s="28"/>
      <c r="F200" s="48">
        <v>4116</v>
      </c>
    </row>
    <row r="201" spans="1:8" s="2" customFormat="1" hidden="1" x14ac:dyDescent="0.25">
      <c r="A201" s="25"/>
      <c r="B201" s="24"/>
      <c r="C201" s="47"/>
      <c r="D201" s="47"/>
      <c r="E201" s="28"/>
      <c r="F201" s="48">
        <v>4116</v>
      </c>
    </row>
    <row r="202" spans="1:8" s="2" customFormat="1" hidden="1" x14ac:dyDescent="0.25">
      <c r="A202" s="25"/>
      <c r="B202" s="24"/>
      <c r="C202" s="47"/>
      <c r="D202" s="47"/>
      <c r="E202" s="28"/>
      <c r="F202" s="48">
        <v>4116</v>
      </c>
    </row>
    <row r="203" spans="1:8" s="2" customFormat="1" hidden="1" x14ac:dyDescent="0.25">
      <c r="A203" s="25"/>
      <c r="B203" s="24"/>
      <c r="C203" s="46"/>
      <c r="D203" s="47"/>
      <c r="E203" s="28"/>
      <c r="F203" s="48">
        <v>4116</v>
      </c>
    </row>
    <row r="204" spans="1:8" s="2" customFormat="1" hidden="1" x14ac:dyDescent="0.25">
      <c r="A204" s="12"/>
      <c r="B204" s="24"/>
      <c r="C204" s="46"/>
      <c r="D204" s="47"/>
      <c r="E204" s="28"/>
      <c r="F204" s="48">
        <v>4116</v>
      </c>
    </row>
    <row r="205" spans="1:8" s="2" customFormat="1" hidden="1" x14ac:dyDescent="0.25">
      <c r="A205" s="12"/>
      <c r="B205" s="23"/>
      <c r="C205" s="47"/>
      <c r="D205" s="47"/>
      <c r="E205" s="28"/>
      <c r="F205" s="48"/>
    </row>
    <row r="206" spans="1:8" s="2" customFormat="1" hidden="1" x14ac:dyDescent="0.25">
      <c r="A206" s="25"/>
      <c r="B206" s="30" t="s">
        <v>46</v>
      </c>
      <c r="C206" s="30">
        <f>+SUM(C207:C208)</f>
        <v>0</v>
      </c>
      <c r="D206" s="31">
        <f>+SUM(D207:D208)</f>
        <v>0</v>
      </c>
      <c r="E206" s="28"/>
      <c r="F206" s="48"/>
    </row>
    <row r="207" spans="1:8" hidden="1" x14ac:dyDescent="0.25">
      <c r="A207" s="25"/>
      <c r="B207" s="24"/>
      <c r="C207" s="46"/>
      <c r="D207" s="47"/>
      <c r="E207" s="60"/>
      <c r="F207" s="48" t="s">
        <v>47</v>
      </c>
      <c r="G207" s="2"/>
      <c r="H207" s="2"/>
    </row>
    <row r="208" spans="1:8" hidden="1" x14ac:dyDescent="0.25">
      <c r="A208" s="25"/>
      <c r="B208" s="24"/>
      <c r="C208" s="46"/>
      <c r="D208" s="47"/>
      <c r="E208" s="60"/>
      <c r="F208" s="48"/>
      <c r="G208" s="2"/>
      <c r="H208" s="2"/>
    </row>
    <row r="209" spans="1:8" x14ac:dyDescent="0.25">
      <c r="A209" s="25"/>
      <c r="B209" s="44"/>
      <c r="C209" s="46"/>
      <c r="D209" s="47"/>
      <c r="E209" s="60"/>
      <c r="F209" s="48"/>
      <c r="G209" s="2"/>
      <c r="H209" s="2"/>
    </row>
    <row r="210" spans="1:8" s="2" customFormat="1" x14ac:dyDescent="0.25">
      <c r="A210" s="25"/>
      <c r="B210" s="13" t="s">
        <v>48</v>
      </c>
      <c r="C210" s="27">
        <f>SUM(C211:C321)</f>
        <v>1111.36239</v>
      </c>
      <c r="D210" s="27">
        <f>SUM(D211:D321)</f>
        <v>63047093.200000003</v>
      </c>
      <c r="E210" s="28"/>
      <c r="F210" s="22"/>
    </row>
    <row r="211" spans="1:8" s="2" customFormat="1" x14ac:dyDescent="0.25">
      <c r="A211" s="25">
        <v>42046</v>
      </c>
      <c r="B211" s="24" t="s">
        <v>104</v>
      </c>
      <c r="C211" s="53">
        <v>345.49686000000003</v>
      </c>
      <c r="D211" s="55">
        <v>345496.86</v>
      </c>
      <c r="E211" s="28">
        <v>33030</v>
      </c>
      <c r="F211" s="48" t="s">
        <v>49</v>
      </c>
    </row>
    <row r="212" spans="1:8" s="2" customFormat="1" x14ac:dyDescent="0.25">
      <c r="A212" s="25">
        <v>42096</v>
      </c>
      <c r="B212" s="24" t="s">
        <v>140</v>
      </c>
      <c r="C212" s="53">
        <v>90.980059999999995</v>
      </c>
      <c r="D212" s="55">
        <v>90980.06</v>
      </c>
      <c r="E212" s="28">
        <v>33030</v>
      </c>
      <c r="F212" s="48" t="s">
        <v>49</v>
      </c>
    </row>
    <row r="213" spans="1:8" s="2" customFormat="1" x14ac:dyDescent="0.25">
      <c r="A213" s="25">
        <v>42118</v>
      </c>
      <c r="B213" s="24" t="s">
        <v>147</v>
      </c>
      <c r="C213" s="53">
        <v>0</v>
      </c>
      <c r="D213" s="55">
        <v>60346560</v>
      </c>
      <c r="E213" s="28">
        <v>13305</v>
      </c>
      <c r="F213" s="48">
        <v>4122</v>
      </c>
    </row>
    <row r="214" spans="1:8" s="2" customFormat="1" x14ac:dyDescent="0.25">
      <c r="A214" s="25">
        <v>42122</v>
      </c>
      <c r="B214" s="24" t="s">
        <v>150</v>
      </c>
      <c r="C214" s="197">
        <v>0</v>
      </c>
      <c r="D214" s="55">
        <v>341410.81</v>
      </c>
      <c r="E214" s="28">
        <v>33030</v>
      </c>
      <c r="F214" s="48">
        <v>4122</v>
      </c>
      <c r="G214" s="2">
        <v>341.41081000000003</v>
      </c>
    </row>
    <row r="215" spans="1:8" s="2" customFormat="1" hidden="1" x14ac:dyDescent="0.25">
      <c r="A215" s="25"/>
      <c r="B215" s="24"/>
      <c r="C215" s="55"/>
      <c r="D215" s="55"/>
      <c r="E215" s="28"/>
      <c r="F215" s="48">
        <v>4122</v>
      </c>
    </row>
    <row r="216" spans="1:8" s="2" customFormat="1" hidden="1" x14ac:dyDescent="0.25">
      <c r="A216" s="25"/>
      <c r="B216" s="24"/>
      <c r="C216" s="52"/>
      <c r="D216" s="55"/>
      <c r="E216" s="28"/>
      <c r="F216" s="48">
        <v>4122</v>
      </c>
    </row>
    <row r="217" spans="1:8" s="2" customFormat="1" hidden="1" x14ac:dyDescent="0.25">
      <c r="A217" s="25"/>
      <c r="B217" s="24"/>
      <c r="C217" s="52"/>
      <c r="D217" s="55"/>
      <c r="E217" s="28"/>
      <c r="F217" s="48">
        <v>4122</v>
      </c>
    </row>
    <row r="218" spans="1:8" s="2" customFormat="1" hidden="1" x14ac:dyDescent="0.25">
      <c r="A218" s="25"/>
      <c r="B218" s="24"/>
      <c r="C218" s="52"/>
      <c r="D218" s="55"/>
      <c r="E218" s="28"/>
      <c r="F218" s="48">
        <v>4122</v>
      </c>
    </row>
    <row r="219" spans="1:8" s="2" customFormat="1" hidden="1" x14ac:dyDescent="0.25">
      <c r="A219" s="25"/>
      <c r="B219" s="24"/>
      <c r="C219" s="52"/>
      <c r="D219" s="55"/>
      <c r="E219" s="28"/>
      <c r="F219" s="48">
        <v>4122</v>
      </c>
    </row>
    <row r="220" spans="1:8" s="2" customFormat="1" hidden="1" x14ac:dyDescent="0.25">
      <c r="A220" s="25"/>
      <c r="B220" s="24"/>
      <c r="C220" s="52"/>
      <c r="D220" s="55"/>
      <c r="E220" s="28"/>
      <c r="F220" s="48">
        <v>4122</v>
      </c>
    </row>
    <row r="221" spans="1:8" s="2" customFormat="1" hidden="1" x14ac:dyDescent="0.25">
      <c r="A221" s="25"/>
      <c r="B221" s="24"/>
      <c r="C221" s="52"/>
      <c r="D221" s="55"/>
      <c r="E221" s="28"/>
      <c r="F221" s="48">
        <v>4122</v>
      </c>
    </row>
    <row r="222" spans="1:8" s="2" customFormat="1" hidden="1" x14ac:dyDescent="0.25">
      <c r="A222" s="25"/>
      <c r="B222" s="24"/>
      <c r="C222" s="52"/>
      <c r="D222" s="55"/>
      <c r="E222" s="28"/>
      <c r="F222" s="48">
        <v>4122</v>
      </c>
    </row>
    <row r="223" spans="1:8" s="2" customFormat="1" hidden="1" x14ac:dyDescent="0.25">
      <c r="A223" s="25"/>
      <c r="B223" s="24"/>
      <c r="C223" s="52"/>
      <c r="D223" s="55"/>
      <c r="E223" s="28"/>
      <c r="F223" s="48">
        <v>4122</v>
      </c>
    </row>
    <row r="224" spans="1:8" s="2" customFormat="1" hidden="1" x14ac:dyDescent="0.25">
      <c r="A224" s="25"/>
      <c r="B224" s="24"/>
      <c r="C224" s="52"/>
      <c r="D224" s="55"/>
      <c r="E224" s="28"/>
      <c r="F224" s="48">
        <v>4122</v>
      </c>
    </row>
    <row r="225" spans="1:6" s="2" customFormat="1" hidden="1" x14ac:dyDescent="0.25">
      <c r="A225" s="25"/>
      <c r="B225" s="24"/>
      <c r="C225" s="52"/>
      <c r="D225" s="55"/>
      <c r="E225" s="28"/>
      <c r="F225" s="48">
        <v>4122</v>
      </c>
    </row>
    <row r="226" spans="1:6" s="2" customFormat="1" hidden="1" x14ac:dyDescent="0.25">
      <c r="A226" s="25"/>
      <c r="B226" s="24"/>
      <c r="C226" s="52"/>
      <c r="D226" s="55"/>
      <c r="E226" s="28"/>
      <c r="F226" s="48">
        <v>4122</v>
      </c>
    </row>
    <row r="227" spans="1:6" s="2" customFormat="1" hidden="1" x14ac:dyDescent="0.25">
      <c r="A227" s="25"/>
      <c r="B227" s="24"/>
      <c r="C227" s="52"/>
      <c r="D227" s="55"/>
      <c r="E227" s="28"/>
      <c r="F227" s="48">
        <v>4122</v>
      </c>
    </row>
    <row r="228" spans="1:6" s="2" customFormat="1" hidden="1" x14ac:dyDescent="0.25">
      <c r="A228" s="25"/>
      <c r="B228" s="24"/>
      <c r="C228" s="52"/>
      <c r="D228" s="55"/>
      <c r="E228" s="28"/>
      <c r="F228" s="48">
        <v>4122</v>
      </c>
    </row>
    <row r="229" spans="1:6" s="2" customFormat="1" hidden="1" x14ac:dyDescent="0.25">
      <c r="A229" s="25"/>
      <c r="B229" s="24"/>
      <c r="C229" s="52"/>
      <c r="D229" s="55"/>
      <c r="E229" s="28"/>
      <c r="F229" s="48">
        <v>4122</v>
      </c>
    </row>
    <row r="230" spans="1:6" s="2" customFormat="1" hidden="1" x14ac:dyDescent="0.25">
      <c r="A230" s="25"/>
      <c r="B230" s="24"/>
      <c r="C230" s="52"/>
      <c r="D230" s="55"/>
      <c r="E230" s="28"/>
      <c r="F230" s="48">
        <v>4122</v>
      </c>
    </row>
    <row r="231" spans="1:6" s="2" customFormat="1" hidden="1" x14ac:dyDescent="0.25">
      <c r="A231" s="25"/>
      <c r="B231" s="24"/>
      <c r="C231" s="52"/>
      <c r="D231" s="55"/>
      <c r="E231" s="28"/>
      <c r="F231" s="48">
        <v>4122</v>
      </c>
    </row>
    <row r="232" spans="1:6" s="2" customFormat="1" hidden="1" x14ac:dyDescent="0.25">
      <c r="A232" s="25"/>
      <c r="B232" s="24"/>
      <c r="C232" s="52"/>
      <c r="D232" s="55"/>
      <c r="E232" s="28"/>
      <c r="F232" s="48">
        <v>4122</v>
      </c>
    </row>
    <row r="233" spans="1:6" s="2" customFormat="1" hidden="1" x14ac:dyDescent="0.25">
      <c r="A233" s="25"/>
      <c r="B233" s="24"/>
      <c r="C233" s="52"/>
      <c r="D233" s="55"/>
      <c r="E233" s="28"/>
      <c r="F233" s="48">
        <v>4122</v>
      </c>
    </row>
    <row r="234" spans="1:6" s="2" customFormat="1" hidden="1" x14ac:dyDescent="0.25">
      <c r="A234" s="25"/>
      <c r="B234" s="24"/>
      <c r="C234" s="52"/>
      <c r="D234" s="55"/>
      <c r="E234" s="28"/>
      <c r="F234" s="48">
        <v>4122</v>
      </c>
    </row>
    <row r="235" spans="1:6" s="2" customFormat="1" hidden="1" x14ac:dyDescent="0.25">
      <c r="A235" s="25"/>
      <c r="B235" s="24"/>
      <c r="C235" s="52"/>
      <c r="D235" s="55"/>
      <c r="E235" s="28"/>
      <c r="F235" s="48">
        <v>4122</v>
      </c>
    </row>
    <row r="236" spans="1:6" s="2" customFormat="1" hidden="1" x14ac:dyDescent="0.25">
      <c r="A236" s="25"/>
      <c r="B236" s="24"/>
      <c r="C236" s="52"/>
      <c r="D236" s="55"/>
      <c r="E236" s="28"/>
      <c r="F236" s="48">
        <v>4122</v>
      </c>
    </row>
    <row r="237" spans="1:6" s="2" customFormat="1" hidden="1" x14ac:dyDescent="0.25">
      <c r="A237" s="25"/>
      <c r="B237" s="24"/>
      <c r="C237" s="52"/>
      <c r="D237" s="55"/>
      <c r="E237" s="28"/>
      <c r="F237" s="48">
        <v>4122</v>
      </c>
    </row>
    <row r="238" spans="1:6" s="2" customFormat="1" hidden="1" x14ac:dyDescent="0.25">
      <c r="A238" s="25"/>
      <c r="B238" s="24"/>
      <c r="C238" s="52"/>
      <c r="D238" s="55"/>
      <c r="E238" s="28"/>
      <c r="F238" s="48">
        <v>4122</v>
      </c>
    </row>
    <row r="239" spans="1:6" s="2" customFormat="1" hidden="1" x14ac:dyDescent="0.25">
      <c r="A239" s="25"/>
      <c r="B239" s="24"/>
      <c r="C239" s="52"/>
      <c r="D239" s="55"/>
      <c r="E239" s="28"/>
      <c r="F239" s="48">
        <v>4122</v>
      </c>
    </row>
    <row r="240" spans="1:6" s="2" customFormat="1" hidden="1" x14ac:dyDescent="0.25">
      <c r="A240" s="25"/>
      <c r="B240" s="24"/>
      <c r="C240" s="52"/>
      <c r="D240" s="55"/>
      <c r="E240" s="28"/>
      <c r="F240" s="48">
        <v>4122</v>
      </c>
    </row>
    <row r="241" spans="1:6" s="2" customFormat="1" hidden="1" x14ac:dyDescent="0.25">
      <c r="A241" s="25"/>
      <c r="B241" s="24"/>
      <c r="C241" s="52"/>
      <c r="D241" s="55"/>
      <c r="E241" s="28"/>
      <c r="F241" s="48">
        <v>4122</v>
      </c>
    </row>
    <row r="242" spans="1:6" s="2" customFormat="1" hidden="1" x14ac:dyDescent="0.25">
      <c r="A242" s="25"/>
      <c r="B242" s="24"/>
      <c r="C242" s="52"/>
      <c r="D242" s="55"/>
      <c r="E242" s="28"/>
      <c r="F242" s="48">
        <v>4122</v>
      </c>
    </row>
    <row r="243" spans="1:6" s="2" customFormat="1" hidden="1" x14ac:dyDescent="0.25">
      <c r="A243" s="25"/>
      <c r="B243" s="24"/>
      <c r="C243" s="52"/>
      <c r="D243" s="55"/>
      <c r="E243" s="28"/>
      <c r="F243" s="48">
        <v>4122</v>
      </c>
    </row>
    <row r="244" spans="1:6" s="2" customFormat="1" hidden="1" x14ac:dyDescent="0.25">
      <c r="A244" s="25"/>
      <c r="B244" s="24"/>
      <c r="C244" s="52"/>
      <c r="D244" s="55"/>
      <c r="E244" s="28"/>
      <c r="F244" s="48">
        <v>4122</v>
      </c>
    </row>
    <row r="245" spans="1:6" s="2" customFormat="1" hidden="1" x14ac:dyDescent="0.25">
      <c r="A245" s="25"/>
      <c r="B245" s="24"/>
      <c r="C245" s="52"/>
      <c r="D245" s="55"/>
      <c r="E245" s="28"/>
      <c r="F245" s="48">
        <v>4122</v>
      </c>
    </row>
    <row r="246" spans="1:6" s="2" customFormat="1" hidden="1" x14ac:dyDescent="0.25">
      <c r="A246" s="25"/>
      <c r="B246" s="24"/>
      <c r="C246" s="52"/>
      <c r="D246" s="55"/>
      <c r="E246" s="28"/>
      <c r="F246" s="48">
        <v>4122</v>
      </c>
    </row>
    <row r="247" spans="1:6" s="2" customFormat="1" hidden="1" x14ac:dyDescent="0.25">
      <c r="A247" s="25"/>
      <c r="B247" s="24"/>
      <c r="C247" s="52"/>
      <c r="D247" s="55"/>
      <c r="E247" s="28"/>
      <c r="F247" s="48">
        <v>4122</v>
      </c>
    </row>
    <row r="248" spans="1:6" s="2" customFormat="1" hidden="1" x14ac:dyDescent="0.25">
      <c r="A248" s="25"/>
      <c r="B248" s="24"/>
      <c r="C248" s="52"/>
      <c r="D248" s="55"/>
      <c r="E248" s="28"/>
      <c r="F248" s="48">
        <v>4122</v>
      </c>
    </row>
    <row r="249" spans="1:6" s="2" customFormat="1" hidden="1" x14ac:dyDescent="0.25">
      <c r="A249" s="25"/>
      <c r="B249" s="24"/>
      <c r="C249" s="52"/>
      <c r="D249" s="55"/>
      <c r="E249" s="28"/>
      <c r="F249" s="48">
        <v>4122</v>
      </c>
    </row>
    <row r="250" spans="1:6" s="2" customFormat="1" hidden="1" x14ac:dyDescent="0.25">
      <c r="A250" s="25"/>
      <c r="B250" s="24"/>
      <c r="C250" s="52"/>
      <c r="D250" s="55"/>
      <c r="E250" s="28"/>
      <c r="F250" s="48">
        <v>4122</v>
      </c>
    </row>
    <row r="251" spans="1:6" s="2" customFormat="1" hidden="1" x14ac:dyDescent="0.25">
      <c r="A251" s="25"/>
      <c r="B251" s="24"/>
      <c r="C251" s="52"/>
      <c r="D251" s="55"/>
      <c r="E251" s="28"/>
      <c r="F251" s="48">
        <v>4122</v>
      </c>
    </row>
    <row r="252" spans="1:6" s="2" customFormat="1" hidden="1" x14ac:dyDescent="0.25">
      <c r="A252" s="25"/>
      <c r="B252" s="24"/>
      <c r="C252" s="52"/>
      <c r="D252" s="55"/>
      <c r="E252" s="28"/>
      <c r="F252" s="48">
        <v>4122</v>
      </c>
    </row>
    <row r="253" spans="1:6" s="2" customFormat="1" hidden="1" x14ac:dyDescent="0.25">
      <c r="A253" s="25"/>
      <c r="B253" s="24"/>
      <c r="C253" s="52"/>
      <c r="D253" s="55"/>
      <c r="E253" s="28"/>
      <c r="F253" s="48">
        <v>4122</v>
      </c>
    </row>
    <row r="254" spans="1:6" s="2" customFormat="1" hidden="1" x14ac:dyDescent="0.25">
      <c r="A254" s="25"/>
      <c r="B254" s="24"/>
      <c r="C254" s="52"/>
      <c r="D254" s="55"/>
      <c r="E254" s="28"/>
      <c r="F254" s="48">
        <v>4122</v>
      </c>
    </row>
    <row r="255" spans="1:6" s="2" customFormat="1" hidden="1" x14ac:dyDescent="0.25">
      <c r="A255" s="25"/>
      <c r="B255" s="24"/>
      <c r="C255" s="52"/>
      <c r="D255" s="55"/>
      <c r="E255" s="28"/>
      <c r="F255" s="48">
        <v>4122</v>
      </c>
    </row>
    <row r="256" spans="1:6" s="2" customFormat="1" hidden="1" x14ac:dyDescent="0.25">
      <c r="A256" s="25"/>
      <c r="B256" s="24"/>
      <c r="C256" s="52"/>
      <c r="D256" s="55"/>
      <c r="E256" s="28"/>
      <c r="F256" s="48">
        <v>4122</v>
      </c>
    </row>
    <row r="257" spans="1:6" s="2" customFormat="1" hidden="1" x14ac:dyDescent="0.25">
      <c r="A257" s="25"/>
      <c r="B257" s="24"/>
      <c r="C257" s="52"/>
      <c r="D257" s="55"/>
      <c r="E257" s="28"/>
      <c r="F257" s="48">
        <v>4122</v>
      </c>
    </row>
    <row r="258" spans="1:6" s="2" customFormat="1" hidden="1" x14ac:dyDescent="0.25">
      <c r="A258" s="25"/>
      <c r="B258" s="24"/>
      <c r="C258" s="55"/>
      <c r="D258" s="55"/>
      <c r="E258" s="28"/>
      <c r="F258" s="48">
        <v>4122</v>
      </c>
    </row>
    <row r="259" spans="1:6" s="2" customFormat="1" hidden="1" x14ac:dyDescent="0.25">
      <c r="A259" s="25"/>
      <c r="B259" s="24"/>
      <c r="C259" s="55"/>
      <c r="D259" s="55"/>
      <c r="E259" s="28"/>
      <c r="F259" s="48">
        <v>4122</v>
      </c>
    </row>
    <row r="260" spans="1:6" s="2" customFormat="1" hidden="1" x14ac:dyDescent="0.25">
      <c r="A260" s="25"/>
      <c r="B260" s="24"/>
      <c r="C260" s="55"/>
      <c r="D260" s="55"/>
      <c r="E260" s="28"/>
      <c r="F260" s="48">
        <v>4122</v>
      </c>
    </row>
    <row r="261" spans="1:6" s="2" customFormat="1" hidden="1" x14ac:dyDescent="0.25">
      <c r="A261" s="25"/>
      <c r="B261" s="24"/>
      <c r="C261" s="55"/>
      <c r="D261" s="55"/>
      <c r="E261" s="28"/>
      <c r="F261" s="48">
        <v>4122</v>
      </c>
    </row>
    <row r="262" spans="1:6" s="2" customFormat="1" hidden="1" x14ac:dyDescent="0.25">
      <c r="A262" s="25"/>
      <c r="B262" s="24"/>
      <c r="C262" s="55"/>
      <c r="D262" s="55"/>
      <c r="E262" s="28"/>
      <c r="F262" s="48">
        <v>4122</v>
      </c>
    </row>
    <row r="263" spans="1:6" s="2" customFormat="1" hidden="1" x14ac:dyDescent="0.25">
      <c r="A263" s="25"/>
      <c r="B263" s="24"/>
      <c r="C263" s="55"/>
      <c r="D263" s="55"/>
      <c r="E263" s="28"/>
      <c r="F263" s="48">
        <v>4122</v>
      </c>
    </row>
    <row r="264" spans="1:6" s="2" customFormat="1" hidden="1" x14ac:dyDescent="0.25">
      <c r="A264" s="25"/>
      <c r="B264" s="24"/>
      <c r="C264" s="55"/>
      <c r="D264" s="55"/>
      <c r="E264" s="28"/>
      <c r="F264" s="48">
        <v>4122</v>
      </c>
    </row>
    <row r="265" spans="1:6" s="2" customFormat="1" hidden="1" x14ac:dyDescent="0.25">
      <c r="A265" s="25"/>
      <c r="B265" s="24"/>
      <c r="C265" s="55"/>
      <c r="D265" s="55"/>
      <c r="E265" s="28"/>
      <c r="F265" s="48">
        <v>4122</v>
      </c>
    </row>
    <row r="266" spans="1:6" s="2" customFormat="1" hidden="1" x14ac:dyDescent="0.25">
      <c r="A266" s="25"/>
      <c r="B266" s="24"/>
      <c r="C266" s="52"/>
      <c r="D266" s="55"/>
      <c r="E266" s="28"/>
      <c r="F266" s="48">
        <v>4122</v>
      </c>
    </row>
    <row r="267" spans="1:6" s="2" customFormat="1" hidden="1" x14ac:dyDescent="0.25">
      <c r="A267" s="25"/>
      <c r="B267" s="24"/>
      <c r="C267" s="52"/>
      <c r="D267" s="55"/>
      <c r="E267" s="28"/>
      <c r="F267" s="48">
        <v>4122</v>
      </c>
    </row>
    <row r="268" spans="1:6" s="2" customFormat="1" hidden="1" x14ac:dyDescent="0.25">
      <c r="A268" s="25"/>
      <c r="B268" s="24"/>
      <c r="C268" s="52"/>
      <c r="D268" s="55"/>
      <c r="E268" s="28"/>
      <c r="F268" s="48">
        <v>4122</v>
      </c>
    </row>
    <row r="269" spans="1:6" s="2" customFormat="1" hidden="1" x14ac:dyDescent="0.25">
      <c r="A269" s="25"/>
      <c r="B269" s="24"/>
      <c r="C269" s="52"/>
      <c r="D269" s="55"/>
      <c r="E269" s="28"/>
      <c r="F269" s="48">
        <v>4122</v>
      </c>
    </row>
    <row r="270" spans="1:6" s="2" customFormat="1" hidden="1" x14ac:dyDescent="0.25">
      <c r="A270" s="25"/>
      <c r="B270" s="24"/>
      <c r="C270" s="52"/>
      <c r="D270" s="55"/>
      <c r="E270" s="22"/>
      <c r="F270" s="48">
        <v>4122</v>
      </c>
    </row>
    <row r="271" spans="1:6" s="2" customFormat="1" hidden="1" x14ac:dyDescent="0.25">
      <c r="A271" s="25"/>
      <c r="B271" s="24"/>
      <c r="C271" s="52"/>
      <c r="D271" s="55"/>
      <c r="E271" s="22"/>
      <c r="F271" s="48">
        <v>4122</v>
      </c>
    </row>
    <row r="272" spans="1:6" s="2" customFormat="1" hidden="1" x14ac:dyDescent="0.25">
      <c r="A272" s="25"/>
      <c r="B272" s="24"/>
      <c r="C272" s="52"/>
      <c r="D272" s="55"/>
      <c r="E272" s="22"/>
      <c r="F272" s="48">
        <v>4122</v>
      </c>
    </row>
    <row r="273" spans="1:8" s="2" customFormat="1" x14ac:dyDescent="0.25">
      <c r="A273" s="25"/>
      <c r="B273" s="24" t="s">
        <v>69</v>
      </c>
      <c r="C273" s="52">
        <v>674.88547000000005</v>
      </c>
      <c r="D273" s="55">
        <v>674885.47</v>
      </c>
      <c r="E273" s="22">
        <v>33030</v>
      </c>
      <c r="F273" s="48">
        <v>4122</v>
      </c>
    </row>
    <row r="274" spans="1:8" s="2" customFormat="1" x14ac:dyDescent="0.25">
      <c r="A274" s="25"/>
      <c r="B274" s="24" t="s">
        <v>139</v>
      </c>
      <c r="C274" s="52">
        <v>0</v>
      </c>
      <c r="D274" s="55">
        <v>669360</v>
      </c>
      <c r="E274" s="22">
        <v>13305</v>
      </c>
      <c r="F274" s="48">
        <v>4122</v>
      </c>
    </row>
    <row r="275" spans="1:8" s="2" customFormat="1" x14ac:dyDescent="0.25">
      <c r="A275" s="25"/>
      <c r="B275" s="24" t="s">
        <v>151</v>
      </c>
      <c r="C275" s="52">
        <v>0</v>
      </c>
      <c r="D275" s="55">
        <v>578400</v>
      </c>
      <c r="E275" s="22">
        <v>13305</v>
      </c>
      <c r="F275" s="48">
        <v>4122</v>
      </c>
    </row>
    <row r="276" spans="1:8" s="2" customFormat="1" hidden="1" x14ac:dyDescent="0.25">
      <c r="A276" s="25"/>
      <c r="B276" s="24"/>
      <c r="C276" s="52"/>
      <c r="D276" s="55"/>
      <c r="E276" s="22"/>
      <c r="F276" s="48">
        <v>4122</v>
      </c>
    </row>
    <row r="277" spans="1:8" s="2" customFormat="1" hidden="1" x14ac:dyDescent="0.25">
      <c r="A277" s="25"/>
      <c r="B277" s="24"/>
      <c r="C277" s="52"/>
      <c r="D277" s="55"/>
      <c r="E277" s="22"/>
      <c r="F277" s="48">
        <v>4122</v>
      </c>
    </row>
    <row r="278" spans="1:8" s="2" customFormat="1" hidden="1" x14ac:dyDescent="0.25">
      <c r="A278" s="25"/>
      <c r="B278" s="24"/>
      <c r="C278" s="52"/>
      <c r="D278" s="55"/>
      <c r="E278" s="22"/>
      <c r="F278" s="48">
        <v>4122</v>
      </c>
    </row>
    <row r="279" spans="1:8" s="2" customFormat="1" hidden="1" x14ac:dyDescent="0.25">
      <c r="A279" s="25"/>
      <c r="B279" s="24"/>
      <c r="C279" s="52"/>
      <c r="D279" s="55"/>
      <c r="E279" s="22"/>
      <c r="F279" s="48">
        <v>4122</v>
      </c>
      <c r="H279" s="1"/>
    </row>
    <row r="280" spans="1:8" s="2" customFormat="1" hidden="1" x14ac:dyDescent="0.25">
      <c r="A280" s="25"/>
      <c r="B280" s="24"/>
      <c r="C280" s="52"/>
      <c r="D280" s="55"/>
      <c r="E280" s="22"/>
      <c r="F280" s="48">
        <v>4122</v>
      </c>
      <c r="H280" s="1"/>
    </row>
    <row r="281" spans="1:8" s="2" customFormat="1" hidden="1" x14ac:dyDescent="0.25">
      <c r="A281" s="25"/>
      <c r="B281" s="24"/>
      <c r="C281" s="52"/>
      <c r="D281" s="55"/>
      <c r="E281" s="22"/>
      <c r="F281" s="48">
        <v>4122</v>
      </c>
      <c r="H281" s="1"/>
    </row>
    <row r="282" spans="1:8" s="2" customFormat="1" hidden="1" x14ac:dyDescent="0.25">
      <c r="A282" s="25"/>
      <c r="B282" s="24"/>
      <c r="C282" s="52"/>
      <c r="D282" s="55"/>
      <c r="E282" s="22"/>
      <c r="F282" s="48">
        <v>4122</v>
      </c>
      <c r="H282" s="1"/>
    </row>
    <row r="283" spans="1:8" s="2" customFormat="1" hidden="1" x14ac:dyDescent="0.25">
      <c r="A283" s="25"/>
      <c r="B283" s="24"/>
      <c r="C283" s="52"/>
      <c r="D283" s="55"/>
      <c r="E283" s="22"/>
      <c r="F283" s="48">
        <v>4122</v>
      </c>
      <c r="H283" s="1"/>
    </row>
    <row r="284" spans="1:8" s="2" customFormat="1" hidden="1" x14ac:dyDescent="0.25">
      <c r="A284" s="25"/>
      <c r="B284" s="24"/>
      <c r="C284" s="52"/>
      <c r="D284" s="55"/>
      <c r="E284" s="22"/>
      <c r="F284" s="48">
        <v>4122</v>
      </c>
      <c r="H284" s="1"/>
    </row>
    <row r="285" spans="1:8" s="2" customFormat="1" hidden="1" x14ac:dyDescent="0.25">
      <c r="A285" s="25"/>
      <c r="B285" s="24"/>
      <c r="C285" s="52"/>
      <c r="D285" s="55"/>
      <c r="E285" s="22"/>
      <c r="F285" s="48">
        <v>4122</v>
      </c>
      <c r="H285" s="1"/>
    </row>
    <row r="286" spans="1:8" s="2" customFormat="1" hidden="1" x14ac:dyDescent="0.25">
      <c r="A286" s="25"/>
      <c r="B286" s="24"/>
      <c r="C286" s="52"/>
      <c r="D286" s="55"/>
      <c r="E286" s="22"/>
      <c r="F286" s="48">
        <v>4122</v>
      </c>
      <c r="H286" s="1"/>
    </row>
    <row r="287" spans="1:8" s="2" customFormat="1" hidden="1" x14ac:dyDescent="0.25">
      <c r="A287" s="25"/>
      <c r="B287" s="24"/>
      <c r="C287" s="52"/>
      <c r="D287" s="55"/>
      <c r="E287" s="22"/>
      <c r="F287" s="48">
        <v>4122</v>
      </c>
      <c r="H287" s="1"/>
    </row>
    <row r="288" spans="1:8" s="2" customFormat="1" hidden="1" x14ac:dyDescent="0.25">
      <c r="A288" s="25"/>
      <c r="B288" s="24"/>
      <c r="C288" s="52"/>
      <c r="D288" s="55"/>
      <c r="E288" s="22"/>
      <c r="F288" s="48">
        <v>4122</v>
      </c>
      <c r="H288" s="1"/>
    </row>
    <row r="289" spans="1:8" s="2" customFormat="1" hidden="1" x14ac:dyDescent="0.25">
      <c r="A289" s="25"/>
      <c r="B289" s="24"/>
      <c r="C289" s="52"/>
      <c r="D289" s="55"/>
      <c r="E289" s="22"/>
      <c r="F289" s="48">
        <v>4122</v>
      </c>
      <c r="H289" s="1"/>
    </row>
    <row r="290" spans="1:8" s="2" customFormat="1" hidden="1" x14ac:dyDescent="0.25">
      <c r="A290" s="25"/>
      <c r="B290" s="24"/>
      <c r="C290" s="52"/>
      <c r="D290" s="55"/>
      <c r="E290" s="22"/>
      <c r="F290" s="48">
        <v>4122</v>
      </c>
      <c r="H290" s="1"/>
    </row>
    <row r="291" spans="1:8" s="2" customFormat="1" hidden="1" x14ac:dyDescent="0.25">
      <c r="A291" s="25"/>
      <c r="B291" s="24"/>
      <c r="C291" s="52"/>
      <c r="D291" s="55"/>
      <c r="E291" s="22"/>
      <c r="F291" s="48">
        <v>4122</v>
      </c>
      <c r="H291" s="1"/>
    </row>
    <row r="292" spans="1:8" s="2" customFormat="1" hidden="1" x14ac:dyDescent="0.25">
      <c r="A292" s="25"/>
      <c r="B292" s="24"/>
      <c r="C292" s="52"/>
      <c r="D292" s="55"/>
      <c r="E292" s="22"/>
      <c r="F292" s="48">
        <v>4122</v>
      </c>
      <c r="H292" s="1"/>
    </row>
    <row r="293" spans="1:8" s="2" customFormat="1" hidden="1" x14ac:dyDescent="0.25">
      <c r="A293" s="25"/>
      <c r="B293" s="24"/>
      <c r="C293" s="52"/>
      <c r="D293" s="55"/>
      <c r="E293" s="22"/>
      <c r="F293" s="48">
        <v>4122</v>
      </c>
      <c r="H293" s="1"/>
    </row>
    <row r="294" spans="1:8" s="2" customFormat="1" hidden="1" x14ac:dyDescent="0.25">
      <c r="A294" s="25"/>
      <c r="B294" s="24"/>
      <c r="C294" s="52"/>
      <c r="D294" s="55"/>
      <c r="E294" s="22"/>
      <c r="F294" s="48">
        <v>4122</v>
      </c>
      <c r="H294" s="1"/>
    </row>
    <row r="295" spans="1:8" s="2" customFormat="1" hidden="1" x14ac:dyDescent="0.25">
      <c r="A295" s="25"/>
      <c r="B295" s="24"/>
      <c r="C295" s="52"/>
      <c r="D295" s="55"/>
      <c r="E295" s="22"/>
      <c r="F295" s="48">
        <v>4122</v>
      </c>
      <c r="H295" s="1"/>
    </row>
    <row r="296" spans="1:8" s="2" customFormat="1" hidden="1" x14ac:dyDescent="0.25">
      <c r="A296" s="25"/>
      <c r="B296" s="24"/>
      <c r="C296" s="52"/>
      <c r="D296" s="55"/>
      <c r="E296" s="22"/>
      <c r="F296" s="48">
        <v>4122</v>
      </c>
      <c r="H296" s="1"/>
    </row>
    <row r="297" spans="1:8" s="2" customFormat="1" hidden="1" x14ac:dyDescent="0.25">
      <c r="A297" s="25"/>
      <c r="B297" s="24"/>
      <c r="C297" s="52"/>
      <c r="D297" s="55"/>
      <c r="E297" s="22"/>
      <c r="F297" s="48">
        <v>4122</v>
      </c>
      <c r="H297" s="1"/>
    </row>
    <row r="298" spans="1:8" s="2" customFormat="1" hidden="1" x14ac:dyDescent="0.25">
      <c r="A298" s="25"/>
      <c r="B298" s="24"/>
      <c r="C298" s="52"/>
      <c r="D298" s="55"/>
      <c r="E298" s="22"/>
      <c r="F298" s="48">
        <v>4122</v>
      </c>
      <c r="H298" s="1"/>
    </row>
    <row r="299" spans="1:8" s="2" customFormat="1" hidden="1" x14ac:dyDescent="0.25">
      <c r="A299" s="25"/>
      <c r="B299" s="24"/>
      <c r="C299" s="52"/>
      <c r="D299" s="55"/>
      <c r="E299" s="22"/>
      <c r="F299" s="48">
        <v>4122</v>
      </c>
      <c r="H299" s="1"/>
    </row>
    <row r="300" spans="1:8" s="2" customFormat="1" hidden="1" x14ac:dyDescent="0.25">
      <c r="A300" s="25"/>
      <c r="B300" s="24"/>
      <c r="C300" s="52"/>
      <c r="D300" s="55"/>
      <c r="E300" s="22"/>
      <c r="F300" s="48">
        <v>4122</v>
      </c>
      <c r="H300" s="1"/>
    </row>
    <row r="301" spans="1:8" s="2" customFormat="1" hidden="1" x14ac:dyDescent="0.25">
      <c r="A301" s="25"/>
      <c r="B301" s="24"/>
      <c r="C301" s="52"/>
      <c r="D301" s="55"/>
      <c r="E301" s="22"/>
      <c r="F301" s="48">
        <v>4122</v>
      </c>
      <c r="H301" s="1"/>
    </row>
    <row r="302" spans="1:8" s="2" customFormat="1" hidden="1" x14ac:dyDescent="0.25">
      <c r="A302" s="25"/>
      <c r="B302" s="24"/>
      <c r="C302" s="52"/>
      <c r="D302" s="55"/>
      <c r="E302" s="22"/>
      <c r="F302" s="48">
        <v>4122</v>
      </c>
      <c r="H302" s="1"/>
    </row>
    <row r="303" spans="1:8" s="2" customFormat="1" hidden="1" x14ac:dyDescent="0.25">
      <c r="A303" s="25"/>
      <c r="B303" s="24"/>
      <c r="C303" s="52"/>
      <c r="D303" s="55"/>
      <c r="E303" s="22"/>
      <c r="F303" s="48">
        <v>4122</v>
      </c>
      <c r="H303" s="1"/>
    </row>
    <row r="304" spans="1:8" s="2" customFormat="1" hidden="1" x14ac:dyDescent="0.25">
      <c r="A304" s="25"/>
      <c r="B304" s="24"/>
      <c r="C304" s="52"/>
      <c r="D304" s="55"/>
      <c r="E304" s="22"/>
      <c r="F304" s="48">
        <v>4122</v>
      </c>
      <c r="H304" s="1"/>
    </row>
    <row r="305" spans="1:8" s="2" customFormat="1" hidden="1" x14ac:dyDescent="0.25">
      <c r="A305" s="25"/>
      <c r="B305" s="24"/>
      <c r="C305" s="52"/>
      <c r="D305" s="55"/>
      <c r="E305" s="22"/>
      <c r="F305" s="48">
        <v>4122</v>
      </c>
      <c r="H305" s="1"/>
    </row>
    <row r="306" spans="1:8" s="2" customFormat="1" hidden="1" x14ac:dyDescent="0.25">
      <c r="A306" s="25"/>
      <c r="B306" s="24"/>
      <c r="C306" s="52"/>
      <c r="D306" s="55"/>
      <c r="E306" s="22"/>
      <c r="F306" s="48">
        <v>4122</v>
      </c>
      <c r="H306" s="1"/>
    </row>
    <row r="307" spans="1:8" s="2" customFormat="1" hidden="1" x14ac:dyDescent="0.25">
      <c r="A307" s="25"/>
      <c r="B307" s="24"/>
      <c r="C307" s="55"/>
      <c r="D307" s="55"/>
      <c r="E307" s="28"/>
      <c r="F307" s="48">
        <v>4122</v>
      </c>
      <c r="H307" s="1"/>
    </row>
    <row r="308" spans="1:8" s="2" customFormat="1" hidden="1" x14ac:dyDescent="0.25">
      <c r="A308" s="25"/>
      <c r="B308" s="24"/>
      <c r="C308" s="55"/>
      <c r="D308" s="55"/>
      <c r="E308" s="28"/>
      <c r="F308" s="48">
        <v>4122</v>
      </c>
      <c r="H308" s="1"/>
    </row>
    <row r="309" spans="1:8" s="2" customFormat="1" hidden="1" x14ac:dyDescent="0.25">
      <c r="A309" s="25"/>
      <c r="B309" s="24"/>
      <c r="C309" s="55"/>
      <c r="D309" s="55"/>
      <c r="E309" s="28"/>
      <c r="F309" s="48">
        <v>4122</v>
      </c>
      <c r="H309" s="1"/>
    </row>
    <row r="310" spans="1:8" s="2" customFormat="1" hidden="1" x14ac:dyDescent="0.25">
      <c r="A310" s="25"/>
      <c r="B310" s="24"/>
      <c r="C310" s="55"/>
      <c r="D310" s="55"/>
      <c r="E310" s="28"/>
      <c r="F310" s="48">
        <v>4122</v>
      </c>
      <c r="H310" s="1"/>
    </row>
    <row r="311" spans="1:8" s="2" customFormat="1" hidden="1" x14ac:dyDescent="0.25">
      <c r="A311" s="25"/>
      <c r="B311" s="24"/>
      <c r="C311" s="55"/>
      <c r="D311" s="55"/>
      <c r="E311" s="28"/>
      <c r="F311" s="48">
        <v>4122</v>
      </c>
      <c r="H311" s="1"/>
    </row>
    <row r="312" spans="1:8" s="2" customFormat="1" hidden="1" x14ac:dyDescent="0.25">
      <c r="A312" s="25"/>
      <c r="B312" s="24"/>
      <c r="C312" s="55"/>
      <c r="D312" s="55"/>
      <c r="E312" s="28"/>
      <c r="F312" s="48">
        <v>4122</v>
      </c>
      <c r="H312" s="1"/>
    </row>
    <row r="313" spans="1:8" s="2" customFormat="1" hidden="1" x14ac:dyDescent="0.25">
      <c r="A313" s="25"/>
      <c r="B313" s="24"/>
      <c r="C313" s="55"/>
      <c r="D313" s="55"/>
      <c r="E313" s="28"/>
      <c r="F313" s="48">
        <v>4122</v>
      </c>
      <c r="H313" s="1"/>
    </row>
    <row r="314" spans="1:8" s="2" customFormat="1" hidden="1" x14ac:dyDescent="0.25">
      <c r="A314" s="25"/>
      <c r="B314" s="24"/>
      <c r="C314" s="55"/>
      <c r="D314" s="55"/>
      <c r="E314" s="28"/>
      <c r="F314" s="48">
        <v>4122</v>
      </c>
      <c r="H314" s="1"/>
    </row>
    <row r="315" spans="1:8" s="2" customFormat="1" hidden="1" x14ac:dyDescent="0.25">
      <c r="A315" s="25"/>
      <c r="B315" s="24"/>
      <c r="C315" s="55"/>
      <c r="D315" s="55"/>
      <c r="E315" s="28"/>
      <c r="F315" s="48">
        <v>4122</v>
      </c>
      <c r="H315" s="1"/>
    </row>
    <row r="316" spans="1:8" s="2" customFormat="1" hidden="1" x14ac:dyDescent="0.25">
      <c r="A316" s="25"/>
      <c r="B316" s="24"/>
      <c r="C316" s="55"/>
      <c r="D316" s="55"/>
      <c r="E316" s="28"/>
      <c r="F316" s="48">
        <v>4122</v>
      </c>
      <c r="H316" s="1"/>
    </row>
    <row r="317" spans="1:8" s="2" customFormat="1" hidden="1" x14ac:dyDescent="0.25">
      <c r="A317" s="25"/>
      <c r="B317" s="24"/>
      <c r="C317" s="55"/>
      <c r="D317" s="55"/>
      <c r="E317" s="28"/>
      <c r="F317" s="48">
        <v>4122</v>
      </c>
      <c r="H317" s="1"/>
    </row>
    <row r="318" spans="1:8" s="2" customFormat="1" hidden="1" x14ac:dyDescent="0.25">
      <c r="A318" s="25"/>
      <c r="B318" s="24"/>
      <c r="C318" s="55"/>
      <c r="D318" s="55"/>
      <c r="E318" s="28"/>
      <c r="F318" s="48">
        <v>4122</v>
      </c>
      <c r="H318" s="1"/>
    </row>
    <row r="319" spans="1:8" s="2" customFormat="1" hidden="1" x14ac:dyDescent="0.25">
      <c r="A319" s="25"/>
      <c r="B319" s="24"/>
      <c r="C319" s="55"/>
      <c r="D319" s="55"/>
      <c r="E319" s="28"/>
      <c r="F319" s="48">
        <v>4122</v>
      </c>
    </row>
    <row r="320" spans="1:8" s="2" customFormat="1" hidden="1" x14ac:dyDescent="0.25">
      <c r="A320" s="25"/>
      <c r="B320" s="24"/>
      <c r="C320" s="55"/>
      <c r="D320" s="55"/>
      <c r="E320" s="28"/>
      <c r="F320" s="48">
        <v>4122</v>
      </c>
    </row>
    <row r="321" spans="1:8" s="2" customFormat="1" hidden="1" x14ac:dyDescent="0.25">
      <c r="A321" s="25"/>
      <c r="B321" s="24"/>
      <c r="C321" s="55"/>
      <c r="D321" s="55"/>
      <c r="E321" s="28"/>
      <c r="F321" s="48">
        <v>4122</v>
      </c>
    </row>
    <row r="322" spans="1:8" s="2" customFormat="1" x14ac:dyDescent="0.25">
      <c r="A322" s="25"/>
      <c r="B322" s="24"/>
      <c r="C322" s="55"/>
      <c r="D322" s="55"/>
      <c r="E322" s="28"/>
      <c r="F322" s="29"/>
    </row>
    <row r="323" spans="1:8" s="2" customFormat="1" x14ac:dyDescent="0.25">
      <c r="A323" s="25"/>
      <c r="B323" s="30" t="s">
        <v>50</v>
      </c>
      <c r="C323" s="26">
        <f>SUM(C324:C328)</f>
        <v>131.06369000000001</v>
      </c>
      <c r="D323" s="27">
        <f>+SUM(D324:D328)</f>
        <v>131063.69</v>
      </c>
      <c r="E323" s="28"/>
      <c r="F323" s="29"/>
    </row>
    <row r="324" spans="1:8" s="2" customFormat="1" x14ac:dyDescent="0.25">
      <c r="A324" s="12">
        <v>42101</v>
      </c>
      <c r="B324" s="24" t="s">
        <v>138</v>
      </c>
      <c r="C324" s="52">
        <v>131.06369000000001</v>
      </c>
      <c r="D324" s="55">
        <v>131063.69</v>
      </c>
      <c r="E324" s="22">
        <v>86005</v>
      </c>
      <c r="F324" s="48">
        <v>4123</v>
      </c>
    </row>
    <row r="325" spans="1:8" s="2" customFormat="1" hidden="1" x14ac:dyDescent="0.25">
      <c r="A325" s="49"/>
      <c r="B325" s="24"/>
      <c r="C325" s="52"/>
      <c r="D325" s="55"/>
      <c r="E325" s="62"/>
      <c r="F325" s="48">
        <v>4123</v>
      </c>
    </row>
    <row r="326" spans="1:8" s="2" customFormat="1" hidden="1" x14ac:dyDescent="0.25">
      <c r="A326" s="49"/>
      <c r="B326" s="24"/>
      <c r="C326" s="52"/>
      <c r="D326" s="55"/>
      <c r="E326" s="62"/>
      <c r="F326" s="48">
        <v>4123</v>
      </c>
    </row>
    <row r="327" spans="1:8" s="2" customFormat="1" hidden="1" x14ac:dyDescent="0.25">
      <c r="A327" s="49"/>
      <c r="B327" s="24"/>
      <c r="C327" s="52"/>
      <c r="D327" s="55"/>
      <c r="E327" s="62"/>
      <c r="F327" s="48">
        <v>4123</v>
      </c>
    </row>
    <row r="328" spans="1:8" hidden="1" x14ac:dyDescent="0.25">
      <c r="A328" s="50"/>
      <c r="B328" s="64"/>
      <c r="C328" s="65"/>
      <c r="D328" s="56"/>
      <c r="E328" s="60"/>
      <c r="F328" s="48"/>
      <c r="G328" s="2"/>
      <c r="H328" s="2"/>
    </row>
    <row r="329" spans="1:8" s="2" customFormat="1" hidden="1" x14ac:dyDescent="0.25">
      <c r="A329" s="25"/>
      <c r="B329" s="66" t="s">
        <v>51</v>
      </c>
      <c r="C329" s="30">
        <f>+C330</f>
        <v>0</v>
      </c>
      <c r="D329" s="31">
        <f>+D330</f>
        <v>0</v>
      </c>
      <c r="E329" s="28"/>
      <c r="F329" s="29"/>
    </row>
    <row r="330" spans="1:8" s="45" customFormat="1" hidden="1" x14ac:dyDescent="0.25">
      <c r="A330" s="43"/>
      <c r="B330" s="44"/>
      <c r="C330" s="47"/>
      <c r="D330" s="47"/>
      <c r="E330" s="67"/>
      <c r="F330" s="68">
        <v>4151</v>
      </c>
      <c r="G330" s="2"/>
      <c r="H330" s="2"/>
    </row>
    <row r="331" spans="1:8" s="2" customFormat="1" x14ac:dyDescent="0.25">
      <c r="A331" s="25"/>
      <c r="B331" s="23"/>
      <c r="C331" s="46"/>
      <c r="D331" s="47"/>
      <c r="E331" s="28"/>
      <c r="F331" s="48"/>
    </row>
    <row r="332" spans="1:8" s="2" customFormat="1" x14ac:dyDescent="0.25">
      <c r="A332" s="25"/>
      <c r="B332" s="69" t="s">
        <v>52</v>
      </c>
      <c r="C332" s="30">
        <f>+SUM(C333:C336)</f>
        <v>582</v>
      </c>
      <c r="D332" s="31">
        <f>+SUM(D333:D336)</f>
        <v>581714.24</v>
      </c>
      <c r="E332" s="28"/>
      <c r="F332" s="48"/>
    </row>
    <row r="333" spans="1:8" s="45" customFormat="1" x14ac:dyDescent="0.25">
      <c r="A333" s="43">
        <v>42075</v>
      </c>
      <c r="B333" s="24" t="s">
        <v>124</v>
      </c>
      <c r="C333" s="53">
        <v>582</v>
      </c>
      <c r="D333" s="55">
        <v>581714.24</v>
      </c>
      <c r="E333" s="67"/>
      <c r="F333" s="68">
        <v>4152</v>
      </c>
      <c r="G333" s="2"/>
      <c r="H333" s="2"/>
    </row>
    <row r="334" spans="1:8" s="45" customFormat="1" hidden="1" x14ac:dyDescent="0.25">
      <c r="A334" s="43"/>
      <c r="B334" s="24"/>
      <c r="C334" s="53"/>
      <c r="D334" s="55"/>
      <c r="E334" s="67"/>
      <c r="F334" s="68">
        <v>4152</v>
      </c>
      <c r="G334" s="2"/>
      <c r="H334" s="2"/>
    </row>
    <row r="335" spans="1:8" s="45" customFormat="1" hidden="1" x14ac:dyDescent="0.25">
      <c r="A335" s="43"/>
      <c r="B335" s="24"/>
      <c r="C335" s="53"/>
      <c r="D335" s="55"/>
      <c r="E335" s="67"/>
      <c r="F335" s="68">
        <v>4152</v>
      </c>
      <c r="G335" s="2"/>
      <c r="H335" s="2"/>
    </row>
    <row r="336" spans="1:8" s="45" customFormat="1" hidden="1" x14ac:dyDescent="0.25">
      <c r="A336" s="43"/>
      <c r="B336" s="24"/>
      <c r="C336" s="53"/>
      <c r="D336" s="55"/>
      <c r="E336" s="67"/>
      <c r="F336" s="68">
        <v>4152</v>
      </c>
      <c r="G336" s="2"/>
      <c r="H336" s="2"/>
    </row>
    <row r="337" spans="1:8" x14ac:dyDescent="0.25">
      <c r="A337" s="50"/>
      <c r="B337" s="24"/>
      <c r="C337" s="59"/>
      <c r="D337" s="55"/>
      <c r="E337" s="60"/>
      <c r="F337" s="63"/>
      <c r="G337" s="2"/>
      <c r="H337" s="2"/>
    </row>
    <row r="338" spans="1:8" s="2" customFormat="1" x14ac:dyDescent="0.25">
      <c r="A338" s="25"/>
      <c r="B338" s="70" t="s">
        <v>53</v>
      </c>
      <c r="C338" s="26">
        <f>+C332+C210+C139+C136+C115+C102+C36+C12+C7+C120+C329+C323+C206+C60+C154+C179+C18+C171+C32+C65</f>
        <v>24903.431180000003</v>
      </c>
      <c r="D338" s="26">
        <f>+D332+D210+D139+D136+D115+D102+D36+D12+D7+D120+D329+D323+D206+D60+D154+D179+D18+D171+D32+D65</f>
        <v>87906482.979999989</v>
      </c>
      <c r="E338" s="71"/>
      <c r="F338" s="22"/>
    </row>
    <row r="339" spans="1:8" s="2" customFormat="1" ht="16.5" thickBot="1" x14ac:dyDescent="0.3">
      <c r="A339" s="72"/>
      <c r="B339" s="73"/>
      <c r="C339" s="74"/>
      <c r="D339" s="75"/>
      <c r="E339" s="76"/>
      <c r="F339" s="77"/>
    </row>
    <row r="340" spans="1:8" s="2" customFormat="1" x14ac:dyDescent="0.25">
      <c r="A340" s="78"/>
      <c r="B340" s="7"/>
      <c r="C340" s="7"/>
      <c r="D340" s="79"/>
      <c r="E340" s="80"/>
      <c r="F340" s="80"/>
    </row>
    <row r="341" spans="1:8" s="2" customFormat="1" ht="16.5" thickBot="1" x14ac:dyDescent="0.3">
      <c r="A341" s="78"/>
      <c r="B341" s="7"/>
      <c r="C341" s="7"/>
      <c r="D341" s="79"/>
      <c r="E341" s="80"/>
      <c r="F341" s="80"/>
    </row>
    <row r="342" spans="1:8" s="2" customFormat="1" x14ac:dyDescent="0.25">
      <c r="A342" s="687" t="s">
        <v>141</v>
      </c>
      <c r="B342" s="4"/>
      <c r="C342" s="4"/>
      <c r="D342" s="5"/>
      <c r="E342" s="81"/>
      <c r="F342" s="81"/>
    </row>
    <row r="343" spans="1:8" s="2" customFormat="1" ht="16.5" thickBot="1" x14ac:dyDescent="0.3">
      <c r="A343" s="688"/>
      <c r="B343" s="9" t="s">
        <v>54</v>
      </c>
      <c r="C343" s="9" t="s">
        <v>3</v>
      </c>
      <c r="D343" s="10" t="s">
        <v>4</v>
      </c>
      <c r="E343" s="82" t="s">
        <v>5</v>
      </c>
      <c r="F343" s="82" t="s">
        <v>6</v>
      </c>
    </row>
    <row r="344" spans="1:8" s="2" customFormat="1" x14ac:dyDescent="0.25">
      <c r="A344" s="25"/>
      <c r="B344" s="13" t="s">
        <v>14</v>
      </c>
      <c r="C344" s="39">
        <f>+SUM(C345:C377)</f>
        <v>534.56471999999997</v>
      </c>
      <c r="D344" s="40">
        <f>+SUM(D345:D377)</f>
        <v>581682.51</v>
      </c>
      <c r="E344" s="48"/>
      <c r="F344" s="48"/>
    </row>
    <row r="345" spans="1:8" s="2" customFormat="1" x14ac:dyDescent="0.25">
      <c r="A345" s="25">
        <v>42069</v>
      </c>
      <c r="B345" s="44" t="s">
        <v>114</v>
      </c>
      <c r="C345" s="53">
        <v>141.55572000000001</v>
      </c>
      <c r="D345" s="20">
        <v>141555.72</v>
      </c>
      <c r="E345" s="48">
        <v>90877</v>
      </c>
      <c r="F345" s="48">
        <v>4213</v>
      </c>
    </row>
    <row r="346" spans="1:8" s="2" customFormat="1" x14ac:dyDescent="0.25">
      <c r="A346" s="25">
        <v>42114</v>
      </c>
      <c r="B346" s="44" t="s">
        <v>156</v>
      </c>
      <c r="C346" s="53">
        <v>0</v>
      </c>
      <c r="D346" s="21">
        <v>47117.79</v>
      </c>
      <c r="E346" s="48">
        <v>90877</v>
      </c>
      <c r="F346" s="48">
        <v>4213</v>
      </c>
    </row>
    <row r="347" spans="1:8" s="2" customFormat="1" hidden="1" x14ac:dyDescent="0.25">
      <c r="A347" s="25"/>
      <c r="B347" s="44"/>
      <c r="C347" s="53"/>
      <c r="D347" s="21"/>
      <c r="E347" s="48"/>
      <c r="F347" s="48">
        <v>4213</v>
      </c>
    </row>
    <row r="348" spans="1:8" s="2" customFormat="1" hidden="1" x14ac:dyDescent="0.25">
      <c r="A348" s="25"/>
      <c r="B348" s="44"/>
      <c r="C348" s="53"/>
      <c r="D348" s="21"/>
      <c r="E348" s="48"/>
      <c r="F348" s="48">
        <v>4213</v>
      </c>
    </row>
    <row r="349" spans="1:8" s="2" customFormat="1" hidden="1" x14ac:dyDescent="0.25">
      <c r="A349" s="25"/>
      <c r="B349" s="44"/>
      <c r="C349" s="53"/>
      <c r="D349" s="21"/>
      <c r="E349" s="48"/>
      <c r="F349" s="48">
        <v>4213</v>
      </c>
    </row>
    <row r="350" spans="1:8" s="2" customFormat="1" hidden="1" x14ac:dyDescent="0.25">
      <c r="A350" s="25"/>
      <c r="B350" s="44"/>
      <c r="C350" s="53"/>
      <c r="D350" s="20"/>
      <c r="E350" s="48"/>
      <c r="F350" s="48">
        <v>4213</v>
      </c>
    </row>
    <row r="351" spans="1:8" s="2" customFormat="1" hidden="1" x14ac:dyDescent="0.25">
      <c r="A351" s="25"/>
      <c r="B351" s="44"/>
      <c r="C351" s="53"/>
      <c r="D351" s="20"/>
      <c r="E351" s="48"/>
      <c r="F351" s="48">
        <v>4213</v>
      </c>
    </row>
    <row r="352" spans="1:8" s="2" customFormat="1" hidden="1" x14ac:dyDescent="0.25">
      <c r="A352" s="25"/>
      <c r="B352" s="44"/>
      <c r="C352" s="53"/>
      <c r="D352" s="20"/>
      <c r="E352" s="48"/>
      <c r="F352" s="48">
        <v>4213</v>
      </c>
    </row>
    <row r="353" spans="1:6" s="2" customFormat="1" hidden="1" x14ac:dyDescent="0.25">
      <c r="A353" s="25"/>
      <c r="B353" s="44"/>
      <c r="C353" s="53"/>
      <c r="D353" s="20"/>
      <c r="E353" s="48"/>
      <c r="F353" s="48">
        <v>4213</v>
      </c>
    </row>
    <row r="354" spans="1:6" s="2" customFormat="1" hidden="1" x14ac:dyDescent="0.25">
      <c r="A354" s="25"/>
      <c r="B354" s="44"/>
      <c r="C354" s="53"/>
      <c r="D354" s="20"/>
      <c r="E354" s="48"/>
      <c r="F354" s="48">
        <v>4213</v>
      </c>
    </row>
    <row r="355" spans="1:6" s="2" customFormat="1" hidden="1" x14ac:dyDescent="0.25">
      <c r="A355" s="25"/>
      <c r="B355" s="44"/>
      <c r="C355" s="53"/>
      <c r="D355" s="20"/>
      <c r="E355" s="48"/>
      <c r="F355" s="48">
        <v>4213</v>
      </c>
    </row>
    <row r="356" spans="1:6" s="2" customFormat="1" hidden="1" x14ac:dyDescent="0.25">
      <c r="A356" s="25"/>
      <c r="B356" s="44"/>
      <c r="C356" s="53"/>
      <c r="D356" s="20"/>
      <c r="E356" s="48"/>
      <c r="F356" s="48">
        <v>4213</v>
      </c>
    </row>
    <row r="357" spans="1:6" s="2" customFormat="1" hidden="1" x14ac:dyDescent="0.25">
      <c r="A357" s="25"/>
      <c r="B357" s="44"/>
      <c r="C357" s="53"/>
      <c r="D357" s="20"/>
      <c r="E357" s="48"/>
      <c r="F357" s="48">
        <v>4213</v>
      </c>
    </row>
    <row r="358" spans="1:6" s="2" customFormat="1" hidden="1" x14ac:dyDescent="0.25">
      <c r="A358" s="25"/>
      <c r="B358" s="44"/>
      <c r="C358" s="53"/>
      <c r="D358" s="20"/>
      <c r="E358" s="48"/>
      <c r="F358" s="48">
        <v>4213</v>
      </c>
    </row>
    <row r="359" spans="1:6" s="2" customFormat="1" hidden="1" x14ac:dyDescent="0.25">
      <c r="A359" s="25"/>
      <c r="B359" s="44"/>
      <c r="C359" s="53"/>
      <c r="D359" s="20"/>
      <c r="E359" s="48"/>
      <c r="F359" s="48">
        <v>4213</v>
      </c>
    </row>
    <row r="360" spans="1:6" s="2" customFormat="1" hidden="1" x14ac:dyDescent="0.25">
      <c r="A360" s="25"/>
      <c r="B360" s="44"/>
      <c r="C360" s="53"/>
      <c r="D360" s="20"/>
      <c r="E360" s="48"/>
      <c r="F360" s="48">
        <v>4213</v>
      </c>
    </row>
    <row r="361" spans="1:6" s="2" customFormat="1" hidden="1" x14ac:dyDescent="0.25">
      <c r="A361" s="25"/>
      <c r="B361" s="44"/>
      <c r="C361" s="53"/>
      <c r="D361" s="20"/>
      <c r="E361" s="48"/>
      <c r="F361" s="48">
        <v>4213</v>
      </c>
    </row>
    <row r="362" spans="1:6" s="2" customFormat="1" hidden="1" x14ac:dyDescent="0.25">
      <c r="A362" s="25"/>
      <c r="B362" s="44"/>
      <c r="C362" s="53"/>
      <c r="D362" s="20"/>
      <c r="E362" s="48"/>
      <c r="F362" s="48">
        <v>4213</v>
      </c>
    </row>
    <row r="363" spans="1:6" s="2" customFormat="1" hidden="1" x14ac:dyDescent="0.25">
      <c r="A363" s="25"/>
      <c r="B363" s="44"/>
      <c r="C363" s="20"/>
      <c r="D363" s="21"/>
      <c r="E363" s="48"/>
      <c r="F363" s="48">
        <v>4213</v>
      </c>
    </row>
    <row r="364" spans="1:6" s="2" customFormat="1" hidden="1" x14ac:dyDescent="0.25">
      <c r="A364" s="25"/>
      <c r="B364" s="24"/>
      <c r="C364" s="20"/>
      <c r="D364" s="21"/>
      <c r="E364" s="48"/>
      <c r="F364" s="48">
        <v>4213</v>
      </c>
    </row>
    <row r="365" spans="1:6" s="2" customFormat="1" hidden="1" x14ac:dyDescent="0.25">
      <c r="A365" s="25"/>
      <c r="B365" s="44"/>
      <c r="C365" s="20"/>
      <c r="D365" s="21"/>
      <c r="E365" s="48"/>
      <c r="F365" s="48">
        <v>4213</v>
      </c>
    </row>
    <row r="366" spans="1:6" s="2" customFormat="1" hidden="1" x14ac:dyDescent="0.25">
      <c r="A366" s="25"/>
      <c r="B366" s="44"/>
      <c r="C366" s="20"/>
      <c r="D366" s="21"/>
      <c r="E366" s="48"/>
      <c r="F366" s="48">
        <v>4213</v>
      </c>
    </row>
    <row r="367" spans="1:6" s="2" customFormat="1" hidden="1" x14ac:dyDescent="0.25">
      <c r="A367" s="25"/>
      <c r="B367" s="44"/>
      <c r="C367" s="20"/>
      <c r="D367" s="21"/>
      <c r="E367" s="48"/>
      <c r="F367" s="48">
        <v>4213</v>
      </c>
    </row>
    <row r="368" spans="1:6" s="2" customFormat="1" hidden="1" x14ac:dyDescent="0.25">
      <c r="A368" s="25"/>
      <c r="B368" s="44"/>
      <c r="C368" s="20"/>
      <c r="D368" s="21"/>
      <c r="E368" s="48"/>
      <c r="F368" s="48">
        <v>4213</v>
      </c>
    </row>
    <row r="369" spans="1:6" s="2" customFormat="1" hidden="1" x14ac:dyDescent="0.25">
      <c r="A369" s="25"/>
      <c r="B369" s="44"/>
      <c r="C369" s="20"/>
      <c r="D369" s="21"/>
      <c r="E369" s="48"/>
      <c r="F369" s="48">
        <v>4213</v>
      </c>
    </row>
    <row r="370" spans="1:6" s="2" customFormat="1" hidden="1" x14ac:dyDescent="0.25">
      <c r="A370" s="25"/>
      <c r="B370" s="44"/>
      <c r="C370" s="20"/>
      <c r="D370" s="21"/>
      <c r="E370" s="48"/>
      <c r="F370" s="48">
        <v>4213</v>
      </c>
    </row>
    <row r="371" spans="1:6" s="2" customFormat="1" hidden="1" x14ac:dyDescent="0.25">
      <c r="A371" s="25"/>
      <c r="B371" s="44"/>
      <c r="C371" s="20"/>
      <c r="D371" s="21"/>
      <c r="E371" s="48"/>
      <c r="F371" s="48">
        <v>4213</v>
      </c>
    </row>
    <row r="372" spans="1:6" s="2" customFormat="1" x14ac:dyDescent="0.25">
      <c r="A372" s="25"/>
      <c r="B372" s="44" t="s">
        <v>121</v>
      </c>
      <c r="C372" s="20">
        <v>0.97499999999999998</v>
      </c>
      <c r="D372" s="21">
        <v>975</v>
      </c>
      <c r="E372" s="48">
        <v>90877</v>
      </c>
      <c r="F372" s="48">
        <v>4213</v>
      </c>
    </row>
    <row r="373" spans="1:6" s="2" customFormat="1" x14ac:dyDescent="0.25">
      <c r="A373" s="25"/>
      <c r="B373" s="44" t="s">
        <v>110</v>
      </c>
      <c r="C373" s="20">
        <v>392.03399999999999</v>
      </c>
      <c r="D373" s="21">
        <v>392034</v>
      </c>
      <c r="E373" s="48">
        <v>90909</v>
      </c>
      <c r="F373" s="48">
        <v>4213</v>
      </c>
    </row>
    <row r="374" spans="1:6" s="2" customFormat="1" hidden="1" x14ac:dyDescent="0.25">
      <c r="A374" s="25"/>
      <c r="B374" s="44"/>
      <c r="C374" s="20"/>
      <c r="D374" s="21"/>
      <c r="E374" s="48"/>
      <c r="F374" s="48">
        <v>4213</v>
      </c>
    </row>
    <row r="375" spans="1:6" s="2" customFormat="1" hidden="1" x14ac:dyDescent="0.25">
      <c r="A375" s="25"/>
      <c r="B375" s="44"/>
      <c r="C375" s="20"/>
      <c r="D375" s="21"/>
      <c r="E375" s="48"/>
      <c r="F375" s="48">
        <v>4213</v>
      </c>
    </row>
    <row r="376" spans="1:6" s="2" customFormat="1" hidden="1" x14ac:dyDescent="0.25">
      <c r="A376" s="25"/>
      <c r="B376" s="44"/>
      <c r="C376" s="20"/>
      <c r="D376" s="21"/>
      <c r="E376" s="48"/>
      <c r="F376" s="48">
        <v>4213</v>
      </c>
    </row>
    <row r="377" spans="1:6" s="2" customFormat="1" hidden="1" x14ac:dyDescent="0.25">
      <c r="A377" s="25"/>
      <c r="B377" s="44"/>
      <c r="C377" s="20"/>
      <c r="D377" s="40"/>
      <c r="E377" s="48"/>
      <c r="F377" s="48"/>
    </row>
    <row r="378" spans="1:6" s="2" customFormat="1" x14ac:dyDescent="0.25">
      <c r="A378" s="25"/>
      <c r="B378" s="23"/>
      <c r="C378" s="20"/>
      <c r="D378" s="40"/>
      <c r="E378" s="48"/>
      <c r="F378" s="48"/>
    </row>
    <row r="379" spans="1:6" s="2" customFormat="1" x14ac:dyDescent="0.25">
      <c r="A379" s="25"/>
      <c r="B379" s="13" t="s">
        <v>45</v>
      </c>
      <c r="C379" s="39">
        <f>+SUM(C380:C430)</f>
        <v>16.574999999999999</v>
      </c>
      <c r="D379" s="40">
        <f>+SUM(D380:D430)</f>
        <v>817577.43</v>
      </c>
      <c r="E379" s="48"/>
      <c r="F379" s="48"/>
    </row>
    <row r="380" spans="1:6" s="2" customFormat="1" x14ac:dyDescent="0.25">
      <c r="A380" s="25">
        <v>42114</v>
      </c>
      <c r="B380" s="44" t="s">
        <v>156</v>
      </c>
      <c r="C380" s="53">
        <v>0</v>
      </c>
      <c r="D380" s="21">
        <v>801002.43</v>
      </c>
      <c r="E380" s="48">
        <v>15827</v>
      </c>
      <c r="F380" s="48">
        <v>4216</v>
      </c>
    </row>
    <row r="381" spans="1:6" s="2" customFormat="1" hidden="1" x14ac:dyDescent="0.25">
      <c r="A381" s="25"/>
      <c r="B381" s="44"/>
      <c r="C381" s="53"/>
      <c r="D381" s="21"/>
      <c r="E381" s="48"/>
      <c r="F381" s="48">
        <v>4216</v>
      </c>
    </row>
    <row r="382" spans="1:6" s="2" customFormat="1" hidden="1" x14ac:dyDescent="0.25">
      <c r="A382" s="25"/>
      <c r="B382" s="44"/>
      <c r="C382" s="53"/>
      <c r="D382" s="21"/>
      <c r="E382" s="48"/>
      <c r="F382" s="48">
        <v>4216</v>
      </c>
    </row>
    <row r="383" spans="1:6" s="2" customFormat="1" hidden="1" x14ac:dyDescent="0.25">
      <c r="A383" s="25"/>
      <c r="B383" s="44"/>
      <c r="C383" s="53"/>
      <c r="D383" s="21"/>
      <c r="E383" s="48"/>
      <c r="F383" s="48">
        <v>4216</v>
      </c>
    </row>
    <row r="384" spans="1:6" s="2" customFormat="1" hidden="1" x14ac:dyDescent="0.25">
      <c r="A384" s="25"/>
      <c r="B384" s="44"/>
      <c r="C384" s="53"/>
      <c r="D384" s="21"/>
      <c r="E384" s="48"/>
      <c r="F384" s="48">
        <v>4216</v>
      </c>
    </row>
    <row r="385" spans="1:6" s="2" customFormat="1" hidden="1" x14ac:dyDescent="0.25">
      <c r="A385" s="25"/>
      <c r="B385" s="44"/>
      <c r="C385" s="53"/>
      <c r="D385" s="21"/>
      <c r="E385" s="48"/>
      <c r="F385" s="48">
        <v>4216</v>
      </c>
    </row>
    <row r="386" spans="1:6" s="2" customFormat="1" hidden="1" x14ac:dyDescent="0.25">
      <c r="A386" s="25"/>
      <c r="B386" s="44"/>
      <c r="C386" s="53"/>
      <c r="D386" s="21"/>
      <c r="E386" s="48"/>
      <c r="F386" s="48">
        <v>4216</v>
      </c>
    </row>
    <row r="387" spans="1:6" s="2" customFormat="1" hidden="1" x14ac:dyDescent="0.25">
      <c r="A387" s="25"/>
      <c r="B387" s="44"/>
      <c r="C387" s="53"/>
      <c r="D387" s="21"/>
      <c r="E387" s="48"/>
      <c r="F387" s="48">
        <v>4216</v>
      </c>
    </row>
    <row r="388" spans="1:6" s="2" customFormat="1" hidden="1" x14ac:dyDescent="0.25">
      <c r="A388" s="25"/>
      <c r="B388" s="44"/>
      <c r="C388" s="53"/>
      <c r="D388" s="21"/>
      <c r="E388" s="48"/>
      <c r="F388" s="48">
        <v>4216</v>
      </c>
    </row>
    <row r="389" spans="1:6" s="2" customFormat="1" hidden="1" x14ac:dyDescent="0.25">
      <c r="A389" s="25"/>
      <c r="B389" s="44"/>
      <c r="C389" s="53"/>
      <c r="D389" s="21"/>
      <c r="E389" s="48"/>
      <c r="F389" s="48">
        <v>4216</v>
      </c>
    </row>
    <row r="390" spans="1:6" s="2" customFormat="1" hidden="1" x14ac:dyDescent="0.25">
      <c r="A390" s="25"/>
      <c r="B390" s="44"/>
      <c r="C390" s="53"/>
      <c r="D390" s="21"/>
      <c r="E390" s="48"/>
      <c r="F390" s="48">
        <v>4216</v>
      </c>
    </row>
    <row r="391" spans="1:6" s="2" customFormat="1" hidden="1" x14ac:dyDescent="0.25">
      <c r="A391" s="25"/>
      <c r="B391" s="44"/>
      <c r="C391" s="53"/>
      <c r="D391" s="21"/>
      <c r="E391" s="48"/>
      <c r="F391" s="48">
        <v>4216</v>
      </c>
    </row>
    <row r="392" spans="1:6" s="2" customFormat="1" hidden="1" x14ac:dyDescent="0.25">
      <c r="A392" s="25"/>
      <c r="B392" s="44"/>
      <c r="C392" s="53"/>
      <c r="D392" s="21"/>
      <c r="E392" s="48"/>
      <c r="F392" s="48">
        <v>4216</v>
      </c>
    </row>
    <row r="393" spans="1:6" s="2" customFormat="1" hidden="1" x14ac:dyDescent="0.25">
      <c r="A393" s="25"/>
      <c r="B393" s="44"/>
      <c r="C393" s="53"/>
      <c r="D393" s="21"/>
      <c r="E393" s="48"/>
      <c r="F393" s="48">
        <v>4216</v>
      </c>
    </row>
    <row r="394" spans="1:6" s="2" customFormat="1" hidden="1" x14ac:dyDescent="0.25">
      <c r="A394" s="25"/>
      <c r="B394" s="44"/>
      <c r="C394" s="53"/>
      <c r="D394" s="21"/>
      <c r="E394" s="48"/>
      <c r="F394" s="48">
        <v>4216</v>
      </c>
    </row>
    <row r="395" spans="1:6" s="2" customFormat="1" hidden="1" x14ac:dyDescent="0.25">
      <c r="A395" s="25"/>
      <c r="B395" s="44"/>
      <c r="C395" s="53"/>
      <c r="D395" s="21"/>
      <c r="E395" s="48"/>
      <c r="F395" s="48">
        <v>4216</v>
      </c>
    </row>
    <row r="396" spans="1:6" s="2" customFormat="1" hidden="1" x14ac:dyDescent="0.25">
      <c r="A396" s="25"/>
      <c r="B396" s="44"/>
      <c r="C396" s="53"/>
      <c r="D396" s="21"/>
      <c r="E396" s="48"/>
      <c r="F396" s="48">
        <v>4216</v>
      </c>
    </row>
    <row r="397" spans="1:6" s="2" customFormat="1" hidden="1" x14ac:dyDescent="0.25">
      <c r="A397" s="25"/>
      <c r="B397" s="44"/>
      <c r="C397" s="53"/>
      <c r="D397" s="21"/>
      <c r="E397" s="48"/>
      <c r="F397" s="48">
        <v>4216</v>
      </c>
    </row>
    <row r="398" spans="1:6" s="2" customFormat="1" hidden="1" x14ac:dyDescent="0.25">
      <c r="A398" s="25"/>
      <c r="B398" s="44"/>
      <c r="C398" s="53"/>
      <c r="D398" s="21"/>
      <c r="E398" s="48"/>
      <c r="F398" s="48">
        <v>4216</v>
      </c>
    </row>
    <row r="399" spans="1:6" s="2" customFormat="1" hidden="1" x14ac:dyDescent="0.25">
      <c r="A399" s="25"/>
      <c r="B399" s="44"/>
      <c r="C399" s="53"/>
      <c r="D399" s="21"/>
      <c r="E399" s="48"/>
      <c r="F399" s="48">
        <v>4216</v>
      </c>
    </row>
    <row r="400" spans="1:6" s="2" customFormat="1" hidden="1" x14ac:dyDescent="0.25">
      <c r="A400" s="25"/>
      <c r="B400" s="44"/>
      <c r="C400" s="53"/>
      <c r="D400" s="21"/>
      <c r="E400" s="48"/>
      <c r="F400" s="48">
        <v>4216</v>
      </c>
    </row>
    <row r="401" spans="1:6" s="2" customFormat="1" hidden="1" x14ac:dyDescent="0.25">
      <c r="A401" s="25"/>
      <c r="B401" s="44"/>
      <c r="C401" s="53"/>
      <c r="D401" s="21"/>
      <c r="E401" s="48"/>
      <c r="F401" s="48">
        <v>4216</v>
      </c>
    </row>
    <row r="402" spans="1:6" s="2" customFormat="1" hidden="1" x14ac:dyDescent="0.25">
      <c r="A402" s="25"/>
      <c r="B402" s="44"/>
      <c r="C402" s="20"/>
      <c r="D402" s="21"/>
      <c r="E402" s="48"/>
      <c r="F402" s="48">
        <v>4216</v>
      </c>
    </row>
    <row r="403" spans="1:6" s="2" customFormat="1" x14ac:dyDescent="0.25">
      <c r="A403" s="25"/>
      <c r="B403" s="44" t="s">
        <v>121</v>
      </c>
      <c r="C403" s="20">
        <v>16.574999999999999</v>
      </c>
      <c r="D403" s="21">
        <v>16575</v>
      </c>
      <c r="E403" s="48">
        <v>15835</v>
      </c>
      <c r="F403" s="48">
        <v>4216</v>
      </c>
    </row>
    <row r="404" spans="1:6" s="2" customFormat="1" hidden="1" x14ac:dyDescent="0.25">
      <c r="A404" s="25"/>
      <c r="B404" s="44"/>
      <c r="C404" s="20"/>
      <c r="D404" s="21"/>
      <c r="E404" s="48"/>
      <c r="F404" s="48">
        <v>4216</v>
      </c>
    </row>
    <row r="405" spans="1:6" s="2" customFormat="1" hidden="1" x14ac:dyDescent="0.25">
      <c r="A405" s="25"/>
      <c r="B405" s="24"/>
      <c r="C405" s="20"/>
      <c r="D405" s="47"/>
      <c r="E405" s="48"/>
      <c r="F405" s="48">
        <v>4216</v>
      </c>
    </row>
    <row r="406" spans="1:6" s="2" customFormat="1" hidden="1" x14ac:dyDescent="0.25">
      <c r="A406" s="25"/>
      <c r="B406" s="24"/>
      <c r="C406" s="20"/>
      <c r="D406" s="47"/>
      <c r="E406" s="48"/>
      <c r="F406" s="48">
        <v>4216</v>
      </c>
    </row>
    <row r="407" spans="1:6" s="2" customFormat="1" hidden="1" x14ac:dyDescent="0.25">
      <c r="A407" s="25"/>
      <c r="B407" s="24"/>
      <c r="C407" s="20"/>
      <c r="D407" s="47"/>
      <c r="E407" s="48"/>
      <c r="F407" s="48">
        <v>4216</v>
      </c>
    </row>
    <row r="408" spans="1:6" s="2" customFormat="1" hidden="1" x14ac:dyDescent="0.25">
      <c r="A408" s="25"/>
      <c r="B408" s="44"/>
      <c r="C408" s="20"/>
      <c r="D408" s="47"/>
      <c r="E408" s="48"/>
      <c r="F408" s="48">
        <v>4216</v>
      </c>
    </row>
    <row r="409" spans="1:6" s="2" customFormat="1" hidden="1" x14ac:dyDescent="0.25">
      <c r="A409" s="25"/>
      <c r="B409" s="24"/>
      <c r="C409" s="20"/>
      <c r="D409" s="47"/>
      <c r="E409" s="48"/>
      <c r="F409" s="48">
        <v>4216</v>
      </c>
    </row>
    <row r="410" spans="1:6" s="2" customFormat="1" hidden="1" x14ac:dyDescent="0.25">
      <c r="A410" s="25"/>
      <c r="B410" s="24"/>
      <c r="C410" s="53"/>
      <c r="D410" s="47"/>
      <c r="E410" s="48"/>
      <c r="F410" s="48">
        <v>4216</v>
      </c>
    </row>
    <row r="411" spans="1:6" s="2" customFormat="1" hidden="1" x14ac:dyDescent="0.25">
      <c r="A411" s="25"/>
      <c r="B411" s="24"/>
      <c r="C411" s="53"/>
      <c r="D411" s="47"/>
      <c r="E411" s="48"/>
      <c r="F411" s="48">
        <v>4216</v>
      </c>
    </row>
    <row r="412" spans="1:6" s="2" customFormat="1" hidden="1" x14ac:dyDescent="0.25">
      <c r="A412" s="25"/>
      <c r="B412" s="24"/>
      <c r="C412" s="53"/>
      <c r="D412" s="21"/>
      <c r="E412" s="48"/>
      <c r="F412" s="48">
        <v>4216</v>
      </c>
    </row>
    <row r="413" spans="1:6" s="2" customFormat="1" hidden="1" x14ac:dyDescent="0.25">
      <c r="A413" s="25"/>
      <c r="B413" s="24"/>
      <c r="C413" s="53"/>
      <c r="D413" s="21"/>
      <c r="E413" s="48"/>
      <c r="F413" s="48">
        <v>4216</v>
      </c>
    </row>
    <row r="414" spans="1:6" s="2" customFormat="1" hidden="1" x14ac:dyDescent="0.25">
      <c r="A414" s="25"/>
      <c r="B414" s="24"/>
      <c r="C414" s="53"/>
      <c r="D414" s="21"/>
      <c r="E414" s="48"/>
      <c r="F414" s="48">
        <v>4216</v>
      </c>
    </row>
    <row r="415" spans="1:6" s="2" customFormat="1" hidden="1" x14ac:dyDescent="0.25">
      <c r="A415" s="25"/>
      <c r="B415" s="24"/>
      <c r="C415" s="53"/>
      <c r="D415" s="21"/>
      <c r="E415" s="48"/>
      <c r="F415" s="48">
        <v>4216</v>
      </c>
    </row>
    <row r="416" spans="1:6" s="2" customFormat="1" hidden="1" x14ac:dyDescent="0.25">
      <c r="A416" s="25"/>
      <c r="B416" s="24"/>
      <c r="C416" s="53"/>
      <c r="D416" s="21"/>
      <c r="E416" s="48"/>
      <c r="F416" s="48">
        <v>4216</v>
      </c>
    </row>
    <row r="417" spans="1:6" s="2" customFormat="1" hidden="1" x14ac:dyDescent="0.25">
      <c r="A417" s="25"/>
      <c r="B417" s="24"/>
      <c r="C417" s="53"/>
      <c r="D417" s="21"/>
      <c r="E417" s="48"/>
      <c r="F417" s="48">
        <v>4216</v>
      </c>
    </row>
    <row r="418" spans="1:6" s="2" customFormat="1" hidden="1" x14ac:dyDescent="0.25">
      <c r="A418" s="25"/>
      <c r="B418" s="24"/>
      <c r="C418" s="53"/>
      <c r="D418" s="21"/>
      <c r="E418" s="48"/>
      <c r="F418" s="48">
        <v>4216</v>
      </c>
    </row>
    <row r="419" spans="1:6" s="2" customFormat="1" hidden="1" x14ac:dyDescent="0.25">
      <c r="A419" s="25"/>
      <c r="B419" s="24"/>
      <c r="C419" s="53"/>
      <c r="D419" s="21"/>
      <c r="E419" s="48"/>
      <c r="F419" s="48">
        <v>4216</v>
      </c>
    </row>
    <row r="420" spans="1:6" s="2" customFormat="1" hidden="1" x14ac:dyDescent="0.25">
      <c r="A420" s="25"/>
      <c r="B420" s="24"/>
      <c r="C420" s="53"/>
      <c r="D420" s="21"/>
      <c r="E420" s="48"/>
      <c r="F420" s="48">
        <v>4216</v>
      </c>
    </row>
    <row r="421" spans="1:6" s="2" customFormat="1" hidden="1" x14ac:dyDescent="0.25">
      <c r="A421" s="25"/>
      <c r="B421" s="24"/>
      <c r="C421" s="53"/>
      <c r="D421" s="21"/>
      <c r="E421" s="48"/>
      <c r="F421" s="48">
        <v>4216</v>
      </c>
    </row>
    <row r="422" spans="1:6" s="2" customFormat="1" hidden="1" x14ac:dyDescent="0.25">
      <c r="A422" s="25"/>
      <c r="B422" s="24"/>
      <c r="C422" s="53"/>
      <c r="D422" s="21"/>
      <c r="E422" s="48"/>
      <c r="F422" s="48">
        <v>4216</v>
      </c>
    </row>
    <row r="423" spans="1:6" s="2" customFormat="1" hidden="1" x14ac:dyDescent="0.25">
      <c r="A423" s="25"/>
      <c r="B423" s="24"/>
      <c r="C423" s="53"/>
      <c r="D423" s="21"/>
      <c r="E423" s="48"/>
      <c r="F423" s="48">
        <v>4216</v>
      </c>
    </row>
    <row r="424" spans="1:6" s="2" customFormat="1" hidden="1" x14ac:dyDescent="0.25">
      <c r="A424" s="25"/>
      <c r="B424" s="24"/>
      <c r="C424" s="53"/>
      <c r="D424" s="21"/>
      <c r="E424" s="48"/>
      <c r="F424" s="48">
        <v>4216</v>
      </c>
    </row>
    <row r="425" spans="1:6" s="2" customFormat="1" hidden="1" x14ac:dyDescent="0.25">
      <c r="A425" s="25"/>
      <c r="B425" s="24"/>
      <c r="C425" s="53"/>
      <c r="D425" s="21"/>
      <c r="E425" s="48"/>
      <c r="F425" s="48">
        <v>4216</v>
      </c>
    </row>
    <row r="426" spans="1:6" s="2" customFormat="1" hidden="1" x14ac:dyDescent="0.25">
      <c r="A426" s="25"/>
      <c r="B426" s="24"/>
      <c r="C426" s="53"/>
      <c r="D426" s="21"/>
      <c r="E426" s="48"/>
      <c r="F426" s="48">
        <v>4216</v>
      </c>
    </row>
    <row r="427" spans="1:6" s="2" customFormat="1" hidden="1" x14ac:dyDescent="0.25">
      <c r="A427" s="25"/>
      <c r="B427" s="24"/>
      <c r="C427" s="53"/>
      <c r="D427" s="21"/>
      <c r="E427" s="48"/>
      <c r="F427" s="48">
        <v>4216</v>
      </c>
    </row>
    <row r="428" spans="1:6" s="2" customFormat="1" hidden="1" x14ac:dyDescent="0.25">
      <c r="A428" s="25"/>
      <c r="B428" s="24"/>
      <c r="C428" s="53"/>
      <c r="D428" s="21"/>
      <c r="E428" s="48"/>
      <c r="F428" s="48">
        <v>4216</v>
      </c>
    </row>
    <row r="429" spans="1:6" s="2" customFormat="1" hidden="1" x14ac:dyDescent="0.25">
      <c r="A429" s="25"/>
      <c r="B429" s="24"/>
      <c r="C429" s="53"/>
      <c r="D429" s="21"/>
      <c r="E429" s="48"/>
      <c r="F429" s="48">
        <v>4216</v>
      </c>
    </row>
    <row r="430" spans="1:6" s="2" customFormat="1" hidden="1" x14ac:dyDescent="0.25">
      <c r="A430" s="25"/>
      <c r="B430" s="24"/>
      <c r="C430" s="20"/>
      <c r="D430" s="21"/>
      <c r="E430" s="48"/>
      <c r="F430" s="48">
        <v>4216</v>
      </c>
    </row>
    <row r="431" spans="1:6" s="2" customFormat="1" hidden="1" x14ac:dyDescent="0.25">
      <c r="A431" s="25"/>
      <c r="B431" s="30" t="s">
        <v>36</v>
      </c>
      <c r="C431" s="39">
        <f>+C432+C433</f>
        <v>0</v>
      </c>
      <c r="D431" s="39">
        <f>+D432+D433</f>
        <v>0</v>
      </c>
      <c r="E431" s="48"/>
      <c r="F431" s="48"/>
    </row>
    <row r="432" spans="1:6" s="2" customFormat="1" hidden="1" x14ac:dyDescent="0.25">
      <c r="A432" s="25"/>
      <c r="B432" s="24"/>
      <c r="C432" s="20"/>
      <c r="D432" s="21"/>
      <c r="E432" s="48"/>
      <c r="F432" s="48">
        <v>4216</v>
      </c>
    </row>
    <row r="433" spans="1:8" s="2" customFormat="1" x14ac:dyDescent="0.25">
      <c r="A433" s="25"/>
      <c r="B433" s="24"/>
      <c r="C433" s="20"/>
      <c r="D433" s="21"/>
      <c r="E433" s="48"/>
      <c r="F433" s="48">
        <v>4216</v>
      </c>
    </row>
    <row r="434" spans="1:8" s="2" customFormat="1" x14ac:dyDescent="0.25">
      <c r="A434" s="25"/>
      <c r="B434" s="38" t="s">
        <v>91</v>
      </c>
      <c r="C434" s="40">
        <f>+C436+C435+C437</f>
        <v>5171.2852200000007</v>
      </c>
      <c r="D434" s="40">
        <f>+D436+D435+D437</f>
        <v>5171285.2200000007</v>
      </c>
      <c r="E434" s="48"/>
      <c r="F434" s="48"/>
    </row>
    <row r="435" spans="1:8" s="2" customFormat="1" x14ac:dyDescent="0.25">
      <c r="A435" s="25">
        <v>42034</v>
      </c>
      <c r="B435" s="24" t="s">
        <v>103</v>
      </c>
      <c r="C435" s="20">
        <v>4395.5924400000004</v>
      </c>
      <c r="D435" s="21">
        <v>4395592.4400000004</v>
      </c>
      <c r="E435" s="48">
        <v>17871</v>
      </c>
      <c r="F435" s="48">
        <v>4216</v>
      </c>
    </row>
    <row r="436" spans="1:8" x14ac:dyDescent="0.25">
      <c r="A436" s="25">
        <v>42034</v>
      </c>
      <c r="B436" s="24" t="s">
        <v>103</v>
      </c>
      <c r="C436" s="20">
        <v>775.69277999999997</v>
      </c>
      <c r="D436" s="21">
        <v>775692.78</v>
      </c>
      <c r="E436" s="48">
        <v>17870</v>
      </c>
      <c r="F436" s="48">
        <v>4216</v>
      </c>
      <c r="G436" s="2"/>
      <c r="H436" s="2"/>
    </row>
    <row r="437" spans="1:8" x14ac:dyDescent="0.25">
      <c r="A437" s="25"/>
      <c r="B437" s="24"/>
      <c r="C437" s="20"/>
      <c r="D437" s="21"/>
      <c r="E437" s="48"/>
      <c r="F437" s="48">
        <v>4216</v>
      </c>
      <c r="G437" s="2"/>
      <c r="H437" s="2"/>
    </row>
    <row r="438" spans="1:8" s="2" customFormat="1" x14ac:dyDescent="0.25">
      <c r="A438" s="25"/>
      <c r="B438" s="30" t="s">
        <v>149</v>
      </c>
      <c r="C438" s="40">
        <f>+C439</f>
        <v>0</v>
      </c>
      <c r="D438" s="40">
        <f>+D439</f>
        <v>450000</v>
      </c>
      <c r="E438" s="48"/>
      <c r="F438" s="48"/>
    </row>
    <row r="439" spans="1:8" s="2" customFormat="1" x14ac:dyDescent="0.25">
      <c r="A439" s="25">
        <v>42121</v>
      </c>
      <c r="B439" s="24" t="s">
        <v>155</v>
      </c>
      <c r="C439" s="20">
        <v>0</v>
      </c>
      <c r="D439" s="21">
        <v>450000</v>
      </c>
      <c r="E439" s="48">
        <v>35621</v>
      </c>
      <c r="F439" s="48">
        <v>4216</v>
      </c>
    </row>
    <row r="440" spans="1:8" s="2" customFormat="1" hidden="1" x14ac:dyDescent="0.25">
      <c r="A440" s="25"/>
      <c r="B440" s="13"/>
      <c r="C440" s="39"/>
      <c r="D440" s="40"/>
      <c r="E440" s="48"/>
      <c r="F440" s="48"/>
    </row>
    <row r="441" spans="1:8" s="2" customFormat="1" hidden="1" x14ac:dyDescent="0.25">
      <c r="A441" s="25"/>
      <c r="B441" s="13" t="s">
        <v>48</v>
      </c>
      <c r="C441" s="39">
        <f>SUM(C442:C456)</f>
        <v>0</v>
      </c>
      <c r="D441" s="39">
        <f>SUM(D442:D456)</f>
        <v>0</v>
      </c>
      <c r="E441" s="48"/>
      <c r="F441" s="48"/>
    </row>
    <row r="442" spans="1:8" s="2" customFormat="1" hidden="1" x14ac:dyDescent="0.25">
      <c r="A442" s="25"/>
      <c r="B442" s="23"/>
      <c r="C442" s="52"/>
      <c r="D442" s="55"/>
      <c r="E442" s="22"/>
      <c r="F442" s="48">
        <v>4222</v>
      </c>
      <c r="H442" s="1"/>
    </row>
    <row r="443" spans="1:8" s="2" customFormat="1" hidden="1" x14ac:dyDescent="0.25">
      <c r="A443" s="25"/>
      <c r="B443" s="23"/>
      <c r="C443" s="52"/>
      <c r="D443" s="55"/>
      <c r="E443" s="22"/>
      <c r="F443" s="48">
        <v>4222</v>
      </c>
      <c r="H443" s="1"/>
    </row>
    <row r="444" spans="1:8" s="2" customFormat="1" hidden="1" x14ac:dyDescent="0.25">
      <c r="A444" s="25"/>
      <c r="B444" s="23"/>
      <c r="C444" s="20"/>
      <c r="D444" s="55"/>
      <c r="E444" s="48"/>
      <c r="F444" s="48">
        <v>4222</v>
      </c>
    </row>
    <row r="445" spans="1:8" s="2" customFormat="1" hidden="1" x14ac:dyDescent="0.25">
      <c r="A445" s="25"/>
      <c r="B445" s="23"/>
      <c r="C445" s="20"/>
      <c r="D445" s="55"/>
      <c r="E445" s="48"/>
      <c r="F445" s="48">
        <v>4222</v>
      </c>
    </row>
    <row r="446" spans="1:8" s="2" customFormat="1" hidden="1" x14ac:dyDescent="0.25">
      <c r="A446" s="25"/>
      <c r="B446" s="23"/>
      <c r="C446" s="20"/>
      <c r="D446" s="55"/>
      <c r="E446" s="48"/>
      <c r="F446" s="48">
        <v>4222</v>
      </c>
    </row>
    <row r="447" spans="1:8" s="2" customFormat="1" hidden="1" x14ac:dyDescent="0.25">
      <c r="A447" s="25"/>
      <c r="B447" s="23"/>
      <c r="C447" s="20"/>
      <c r="D447" s="55"/>
      <c r="E447" s="48"/>
      <c r="F447" s="48">
        <v>4222</v>
      </c>
    </row>
    <row r="448" spans="1:8" s="2" customFormat="1" hidden="1" x14ac:dyDescent="0.25">
      <c r="A448" s="25"/>
      <c r="B448" s="23"/>
      <c r="C448" s="20"/>
      <c r="D448" s="55"/>
      <c r="E448" s="48"/>
      <c r="F448" s="48">
        <v>4222</v>
      </c>
    </row>
    <row r="449" spans="1:8" s="2" customFormat="1" hidden="1" x14ac:dyDescent="0.25">
      <c r="A449" s="25"/>
      <c r="B449" s="23"/>
      <c r="C449" s="20"/>
      <c r="D449" s="55"/>
      <c r="E449" s="48"/>
      <c r="F449" s="48">
        <v>4222</v>
      </c>
    </row>
    <row r="450" spans="1:8" s="2" customFormat="1" hidden="1" x14ac:dyDescent="0.25">
      <c r="A450" s="25"/>
      <c r="B450" s="24"/>
      <c r="C450" s="20"/>
      <c r="D450" s="55"/>
      <c r="E450" s="48"/>
      <c r="F450" s="48">
        <v>4222</v>
      </c>
      <c r="H450" s="1"/>
    </row>
    <row r="451" spans="1:8" s="2" customFormat="1" hidden="1" x14ac:dyDescent="0.25">
      <c r="A451" s="25"/>
      <c r="B451" s="23"/>
      <c r="C451" s="20"/>
      <c r="D451" s="55"/>
      <c r="E451" s="48"/>
      <c r="F451" s="48">
        <v>4222</v>
      </c>
    </row>
    <row r="452" spans="1:8" s="2" customFormat="1" hidden="1" x14ac:dyDescent="0.25">
      <c r="A452" s="25"/>
      <c r="B452" s="23"/>
      <c r="C452" s="20"/>
      <c r="D452" s="55"/>
      <c r="E452" s="48"/>
      <c r="F452" s="48">
        <v>4222</v>
      </c>
    </row>
    <row r="453" spans="1:8" s="2" customFormat="1" hidden="1" x14ac:dyDescent="0.25">
      <c r="A453" s="25"/>
      <c r="B453" s="23"/>
      <c r="C453" s="20"/>
      <c r="D453" s="55"/>
      <c r="E453" s="48"/>
      <c r="F453" s="48">
        <v>4222</v>
      </c>
    </row>
    <row r="454" spans="1:8" s="2" customFormat="1" hidden="1" x14ac:dyDescent="0.25">
      <c r="A454" s="25"/>
      <c r="B454" s="23"/>
      <c r="C454" s="20"/>
      <c r="D454" s="55"/>
      <c r="E454" s="48"/>
      <c r="F454" s="48">
        <v>4222</v>
      </c>
    </row>
    <row r="455" spans="1:8" s="2" customFormat="1" hidden="1" x14ac:dyDescent="0.25">
      <c r="A455" s="25"/>
      <c r="B455" s="23"/>
      <c r="C455" s="46"/>
      <c r="D455" s="55"/>
      <c r="E455" s="48"/>
      <c r="F455" s="48">
        <v>4222</v>
      </c>
    </row>
    <row r="456" spans="1:8" s="2" customFormat="1" hidden="1" x14ac:dyDescent="0.25">
      <c r="A456" s="25"/>
      <c r="B456" s="23"/>
      <c r="C456" s="20"/>
      <c r="D456" s="55"/>
      <c r="E456" s="48"/>
      <c r="F456" s="48">
        <v>4222</v>
      </c>
    </row>
    <row r="457" spans="1:8" x14ac:dyDescent="0.25">
      <c r="A457" s="50"/>
      <c r="B457" s="83"/>
      <c r="C457" s="84"/>
      <c r="D457" s="55"/>
      <c r="E457" s="85"/>
      <c r="F457" s="63"/>
      <c r="G457" s="2"/>
      <c r="H457" s="2"/>
    </row>
    <row r="458" spans="1:8" s="2" customFormat="1" x14ac:dyDescent="0.25">
      <c r="A458" s="25"/>
      <c r="B458" s="30" t="s">
        <v>50</v>
      </c>
      <c r="C458" s="30">
        <f>+SUM(C459:C472)</f>
        <v>48137.60989</v>
      </c>
      <c r="D458" s="31">
        <f>+SUM(D459:D472)</f>
        <v>52328804.299999997</v>
      </c>
      <c r="E458" s="48"/>
      <c r="F458" s="48"/>
    </row>
    <row r="459" spans="1:8" s="2" customFormat="1" x14ac:dyDescent="0.25">
      <c r="A459" s="25">
        <v>42073</v>
      </c>
      <c r="B459" s="24" t="s">
        <v>112</v>
      </c>
      <c r="C459" s="20">
        <v>24568.326000000001</v>
      </c>
      <c r="D459" s="21">
        <v>24568326</v>
      </c>
      <c r="E459" s="48">
        <v>86505</v>
      </c>
      <c r="F459" s="48">
        <v>4223</v>
      </c>
    </row>
    <row r="460" spans="1:8" s="2" customFormat="1" x14ac:dyDescent="0.25">
      <c r="A460" s="25">
        <v>42073</v>
      </c>
      <c r="B460" s="24" t="s">
        <v>112</v>
      </c>
      <c r="C460" s="20">
        <v>2167.7934799999998</v>
      </c>
      <c r="D460" s="21">
        <v>2167793.48</v>
      </c>
      <c r="E460" s="48">
        <v>86501</v>
      </c>
      <c r="F460" s="48">
        <v>4223</v>
      </c>
    </row>
    <row r="461" spans="1:8" s="2" customFormat="1" x14ac:dyDescent="0.25">
      <c r="A461" s="25">
        <v>42087</v>
      </c>
      <c r="B461" s="23" t="s">
        <v>123</v>
      </c>
      <c r="C461" s="46">
        <v>17507.565600000002</v>
      </c>
      <c r="D461" s="47">
        <v>17507565.600000001</v>
      </c>
      <c r="E461" s="22">
        <v>86505</v>
      </c>
      <c r="F461" s="48">
        <v>4223</v>
      </c>
    </row>
    <row r="462" spans="1:8" s="2" customFormat="1" x14ac:dyDescent="0.25">
      <c r="A462" s="25">
        <v>42101</v>
      </c>
      <c r="B462" s="23" t="s">
        <v>138</v>
      </c>
      <c r="C462" s="46">
        <v>3893.92481</v>
      </c>
      <c r="D462" s="47">
        <v>3893924.81</v>
      </c>
      <c r="E462" s="22">
        <v>86505</v>
      </c>
      <c r="F462" s="48">
        <v>4223</v>
      </c>
    </row>
    <row r="463" spans="1:8" s="2" customFormat="1" x14ac:dyDescent="0.25">
      <c r="A463" s="25">
        <v>42122</v>
      </c>
      <c r="B463" s="23" t="s">
        <v>152</v>
      </c>
      <c r="C463" s="46">
        <v>0</v>
      </c>
      <c r="D463" s="47">
        <v>4191194.41</v>
      </c>
      <c r="E463" s="22">
        <v>86505</v>
      </c>
      <c r="F463" s="48">
        <v>4223</v>
      </c>
    </row>
    <row r="464" spans="1:8" s="2" customFormat="1" hidden="1" x14ac:dyDescent="0.25">
      <c r="A464" s="25"/>
      <c r="B464" s="23"/>
      <c r="C464" s="46"/>
      <c r="D464" s="21"/>
      <c r="E464" s="22"/>
      <c r="F464" s="48">
        <v>4223</v>
      </c>
    </row>
    <row r="465" spans="1:7" s="2" customFormat="1" hidden="1" x14ac:dyDescent="0.25">
      <c r="A465" s="25"/>
      <c r="B465" s="23"/>
      <c r="C465" s="46"/>
      <c r="D465" s="21"/>
      <c r="E465" s="22"/>
      <c r="F465" s="48">
        <v>4223</v>
      </c>
    </row>
    <row r="466" spans="1:7" s="2" customFormat="1" hidden="1" x14ac:dyDescent="0.25">
      <c r="A466" s="25"/>
      <c r="B466" s="23"/>
      <c r="C466" s="46"/>
      <c r="D466" s="21"/>
      <c r="E466" s="22"/>
      <c r="F466" s="48">
        <v>4223</v>
      </c>
    </row>
    <row r="467" spans="1:7" s="2" customFormat="1" hidden="1" x14ac:dyDescent="0.25">
      <c r="A467" s="25"/>
      <c r="B467" s="23"/>
      <c r="C467" s="46"/>
      <c r="D467" s="21"/>
      <c r="E467" s="22"/>
      <c r="F467" s="48">
        <v>4223</v>
      </c>
    </row>
    <row r="468" spans="1:7" s="2" customFormat="1" hidden="1" x14ac:dyDescent="0.25">
      <c r="A468" s="25"/>
      <c r="B468" s="23"/>
      <c r="C468" s="46"/>
      <c r="D468" s="21"/>
      <c r="E468" s="22"/>
      <c r="F468" s="48">
        <v>4223</v>
      </c>
    </row>
    <row r="469" spans="1:7" s="2" customFormat="1" hidden="1" x14ac:dyDescent="0.25">
      <c r="A469" s="25"/>
      <c r="B469" s="23"/>
      <c r="C469" s="46"/>
      <c r="D469" s="21"/>
      <c r="E469" s="22"/>
      <c r="F469" s="48">
        <v>4223</v>
      </c>
    </row>
    <row r="470" spans="1:7" s="2" customFormat="1" hidden="1" x14ac:dyDescent="0.25">
      <c r="A470" s="25"/>
      <c r="B470" s="23"/>
      <c r="C470" s="46"/>
      <c r="D470" s="21"/>
      <c r="E470" s="22"/>
      <c r="F470" s="48">
        <v>4223</v>
      </c>
    </row>
    <row r="471" spans="1:7" s="2" customFormat="1" hidden="1" x14ac:dyDescent="0.25">
      <c r="A471" s="25"/>
      <c r="B471" s="23"/>
      <c r="C471" s="46"/>
      <c r="D471" s="21"/>
      <c r="E471" s="22"/>
      <c r="F471" s="48">
        <v>4223</v>
      </c>
    </row>
    <row r="472" spans="1:7" s="2" customFormat="1" hidden="1" x14ac:dyDescent="0.25">
      <c r="A472" s="25"/>
      <c r="B472" s="23"/>
      <c r="C472" s="46"/>
      <c r="D472" s="21"/>
      <c r="E472" s="22"/>
      <c r="F472" s="48"/>
      <c r="G472" s="1"/>
    </row>
    <row r="473" spans="1:7" s="2" customFormat="1" x14ac:dyDescent="0.25">
      <c r="A473" s="25"/>
      <c r="B473" s="23"/>
      <c r="C473" s="46"/>
      <c r="D473" s="21"/>
      <c r="E473" s="22"/>
      <c r="F473" s="48"/>
      <c r="G473" s="1"/>
    </row>
    <row r="474" spans="1:7" s="2" customFormat="1" x14ac:dyDescent="0.25">
      <c r="A474" s="25"/>
      <c r="B474" s="23"/>
      <c r="C474" s="46"/>
      <c r="D474" s="21"/>
      <c r="E474" s="22"/>
      <c r="F474" s="48"/>
      <c r="G474" s="1"/>
    </row>
    <row r="475" spans="1:7" s="2" customFormat="1" x14ac:dyDescent="0.25">
      <c r="A475" s="25"/>
      <c r="B475" s="23"/>
      <c r="C475" s="46"/>
      <c r="D475" s="21"/>
      <c r="E475" s="22"/>
      <c r="F475" s="48"/>
      <c r="G475" s="1"/>
    </row>
    <row r="476" spans="1:7" s="2" customFormat="1" x14ac:dyDescent="0.25">
      <c r="A476" s="25"/>
      <c r="B476" s="24"/>
      <c r="C476" s="46"/>
      <c r="D476" s="86"/>
      <c r="E476" s="48"/>
      <c r="F476" s="48"/>
      <c r="G476" s="1"/>
    </row>
    <row r="477" spans="1:7" s="2" customFormat="1" x14ac:dyDescent="0.25">
      <c r="A477" s="25"/>
      <c r="B477" s="70" t="s">
        <v>55</v>
      </c>
      <c r="C477" s="26">
        <f>+C441+C458+C344+C379+C434+C431+C438</f>
        <v>53860.034829999997</v>
      </c>
      <c r="D477" s="26">
        <f>+D441+D458+D344+D379+D434+D431+D438</f>
        <v>59349349.459999993</v>
      </c>
      <c r="E477" s="71"/>
      <c r="F477" s="28"/>
      <c r="G477" s="1"/>
    </row>
    <row r="478" spans="1:7" s="2" customFormat="1" ht="16.5" thickBot="1" x14ac:dyDescent="0.3">
      <c r="A478" s="72"/>
      <c r="B478" s="73"/>
      <c r="C478" s="74"/>
      <c r="D478" s="75"/>
      <c r="E478" s="76"/>
      <c r="F478" s="76"/>
      <c r="G478" s="1"/>
    </row>
    <row r="479" spans="1:7" s="2" customFormat="1" x14ac:dyDescent="0.25">
      <c r="A479" s="87"/>
      <c r="D479" s="45"/>
      <c r="E479" s="88"/>
      <c r="F479" s="88"/>
      <c r="G479" s="1"/>
    </row>
    <row r="480" spans="1:7" s="2" customFormat="1" ht="16.5" thickBot="1" x14ac:dyDescent="0.3">
      <c r="A480" s="89"/>
      <c r="B480" s="90"/>
      <c r="C480" s="90"/>
      <c r="D480" s="91"/>
      <c r="E480" s="92"/>
      <c r="F480" s="92"/>
      <c r="G480" s="1"/>
    </row>
    <row r="481" spans="1:13" s="2" customFormat="1" x14ac:dyDescent="0.25">
      <c r="A481" s="93"/>
      <c r="B481" s="94"/>
      <c r="C481" s="94"/>
      <c r="D481" s="5"/>
      <c r="E481" s="95"/>
      <c r="F481" s="165"/>
      <c r="G481" s="88"/>
      <c r="H481" s="1"/>
    </row>
    <row r="482" spans="1:13" s="2" customFormat="1" ht="16.5" thickBot="1" x14ac:dyDescent="0.3">
      <c r="A482" s="93"/>
      <c r="B482" s="9" t="s">
        <v>56</v>
      </c>
      <c r="C482" s="9" t="s">
        <v>3</v>
      </c>
      <c r="D482" s="10" t="s">
        <v>4</v>
      </c>
      <c r="E482" s="95"/>
      <c r="F482" s="165"/>
      <c r="G482" s="88"/>
      <c r="H482" s="1"/>
    </row>
    <row r="483" spans="1:13" s="2" customFormat="1" x14ac:dyDescent="0.25">
      <c r="A483" s="93"/>
      <c r="B483" s="96"/>
      <c r="C483" s="96"/>
      <c r="D483" s="97"/>
      <c r="E483" s="95"/>
      <c r="F483" s="165"/>
      <c r="G483" s="88"/>
      <c r="H483" s="1"/>
    </row>
    <row r="484" spans="1:13" s="2" customFormat="1" x14ac:dyDescent="0.25">
      <c r="A484" s="98"/>
      <c r="B484" s="99" t="s">
        <v>57</v>
      </c>
      <c r="C484" s="99">
        <f>+C338</f>
        <v>24903.431180000003</v>
      </c>
      <c r="D484" s="56">
        <f>+D338</f>
        <v>87906482.979999989</v>
      </c>
      <c r="E484" s="100"/>
      <c r="F484" s="80"/>
      <c r="G484" s="88" t="s">
        <v>61</v>
      </c>
      <c r="H484" s="1">
        <f>'[1]Vstupni Seznam'!$M$1</f>
        <v>951693271.66000009</v>
      </c>
      <c r="J484" s="2" t="s">
        <v>157</v>
      </c>
    </row>
    <row r="485" spans="1:13" s="2" customFormat="1" x14ac:dyDescent="0.25">
      <c r="A485" s="98"/>
      <c r="B485" s="99" t="s">
        <v>58</v>
      </c>
      <c r="C485" s="99">
        <f>+C477</f>
        <v>53860.034829999997</v>
      </c>
      <c r="D485" s="122">
        <f>+D477</f>
        <v>59349349.459999993</v>
      </c>
      <c r="E485" s="101"/>
      <c r="F485" s="92"/>
      <c r="G485" s="88" t="s">
        <v>62</v>
      </c>
      <c r="H485" s="1">
        <f>27388800*4</f>
        <v>109555200</v>
      </c>
      <c r="J485" s="2">
        <v>45000</v>
      </c>
      <c r="K485" s="2" t="s">
        <v>158</v>
      </c>
    </row>
    <row r="486" spans="1:13" s="2" customFormat="1" x14ac:dyDescent="0.25">
      <c r="A486" s="98"/>
      <c r="B486" s="99"/>
      <c r="C486" s="99"/>
      <c r="D486" s="56"/>
      <c r="E486" s="101"/>
      <c r="F486" s="92"/>
      <c r="G486" s="88" t="s">
        <v>64</v>
      </c>
      <c r="H486" s="1">
        <f>+D39+D40+D41+D42+D43+D44+D45+D46+D47+D48+D49+D50+D51+D52+D53+D54+D55+D56+D57+D58+D373</f>
        <v>5549347</v>
      </c>
      <c r="J486" s="2">
        <v>65342</v>
      </c>
      <c r="K486" s="2" t="s">
        <v>159</v>
      </c>
    </row>
    <row r="487" spans="1:13" s="2" customFormat="1" x14ac:dyDescent="0.25">
      <c r="A487" s="98"/>
      <c r="B487" s="102" t="s">
        <v>59</v>
      </c>
      <c r="C487" s="102">
        <f>+C484+C485</f>
        <v>78763.466010000004</v>
      </c>
      <c r="D487" s="27">
        <f>SUM(D484:D485)</f>
        <v>147255832.44</v>
      </c>
      <c r="E487" s="101"/>
      <c r="F487" s="92"/>
      <c r="G487" s="2" t="s">
        <v>63</v>
      </c>
      <c r="H487" s="1">
        <f>H484-H485-H482-H483+H486</f>
        <v>847687418.66000009</v>
      </c>
      <c r="J487" s="2">
        <v>27388800</v>
      </c>
      <c r="K487" s="2">
        <v>4112</v>
      </c>
    </row>
    <row r="488" spans="1:13" s="2" customFormat="1" ht="16.5" thickBot="1" x14ac:dyDescent="0.3">
      <c r="A488" s="98"/>
      <c r="B488" s="103"/>
      <c r="C488" s="103"/>
      <c r="D488" s="75"/>
      <c r="E488" s="100"/>
      <c r="F488" s="80"/>
      <c r="H488" s="1">
        <f>+H487-D487</f>
        <v>700431586.22000003</v>
      </c>
      <c r="I488" s="109" t="s">
        <v>101</v>
      </c>
      <c r="J488" s="2">
        <v>853733.28</v>
      </c>
      <c r="K488" s="2" t="s">
        <v>162</v>
      </c>
      <c r="L488" s="2" t="s">
        <v>165</v>
      </c>
    </row>
    <row r="489" spans="1:13" s="2" customFormat="1" x14ac:dyDescent="0.25">
      <c r="A489" s="87"/>
      <c r="D489" s="45"/>
      <c r="E489" s="1"/>
      <c r="G489" s="1"/>
      <c r="H489" s="1">
        <v>0</v>
      </c>
      <c r="I489" s="180"/>
      <c r="J489" s="2">
        <v>592210.29</v>
      </c>
      <c r="K489" s="2" t="s">
        <v>163</v>
      </c>
      <c r="L489" s="198" t="s">
        <v>164</v>
      </c>
      <c r="M489" s="2" t="s">
        <v>167</v>
      </c>
    </row>
    <row r="490" spans="1:13" ht="16.5" thickBot="1" x14ac:dyDescent="0.3">
      <c r="B490" s="130"/>
      <c r="C490" s="131"/>
      <c r="D490" s="154"/>
      <c r="E490" s="104"/>
      <c r="F490" s="104"/>
      <c r="G490" s="1"/>
      <c r="H490" s="1">
        <f>+H488-H489</f>
        <v>700431586.22000003</v>
      </c>
      <c r="I490" s="45" t="s">
        <v>166</v>
      </c>
      <c r="J490" s="2">
        <f>SUM(J485:J489)</f>
        <v>28945085.57</v>
      </c>
    </row>
    <row r="491" spans="1:13" ht="16.5" thickBot="1" x14ac:dyDescent="0.3">
      <c r="B491" s="170" t="s">
        <v>79</v>
      </c>
      <c r="C491" s="137" t="s">
        <v>80</v>
      </c>
      <c r="D491" s="137" t="s">
        <v>80</v>
      </c>
      <c r="E491" s="140" t="s">
        <v>82</v>
      </c>
      <c r="F491" s="140" t="s">
        <v>81</v>
      </c>
      <c r="G491" s="138" t="s">
        <v>83</v>
      </c>
      <c r="H491" s="139" t="s">
        <v>84</v>
      </c>
      <c r="J491" s="2">
        <f>+H488-J490</f>
        <v>671486500.64999998</v>
      </c>
      <c r="K491" s="42" t="s">
        <v>160</v>
      </c>
    </row>
    <row r="492" spans="1:13" s="185" customFormat="1" x14ac:dyDescent="0.25">
      <c r="A492" s="183" t="e">
        <f>IF(#REF!=#REF!,1,IF(#REF!&gt;#REF!,0,-1))</f>
        <v>#REF!</v>
      </c>
      <c r="B492" s="184">
        <v>4111</v>
      </c>
      <c r="C492" s="143"/>
      <c r="D492" s="155">
        <f>SUMIF(C510:C538,B492,G510:G538)</f>
        <v>0</v>
      </c>
      <c r="E492" s="141">
        <f t="shared" ref="E492:E503" si="0">SUMIF($F$7:$F$540,B492,$C$7:$C$540)</f>
        <v>0</v>
      </c>
      <c r="F492" s="141">
        <f t="shared" ref="F492:F503" si="1">SUMIF($F$7:$F$490,B492,$D$7:$D$490)</f>
        <v>0</v>
      </c>
      <c r="G492" s="141">
        <f>C492-E492*1000</f>
        <v>0</v>
      </c>
      <c r="H492" s="141">
        <f>+D492-F492</f>
        <v>0</v>
      </c>
    </row>
    <row r="493" spans="1:13" x14ac:dyDescent="0.25">
      <c r="B493" s="186">
        <v>4113</v>
      </c>
      <c r="C493" s="144">
        <v>5906744.8200000003</v>
      </c>
      <c r="D493" s="155">
        <v>1960242.97</v>
      </c>
      <c r="E493" s="142">
        <f t="shared" si="0"/>
        <v>5906.7448200000008</v>
      </c>
      <c r="F493" s="141">
        <f t="shared" si="1"/>
        <v>1960242.97</v>
      </c>
      <c r="G493" s="141">
        <f t="shared" ref="G493:G503" si="2">C493-E493*1000</f>
        <v>0</v>
      </c>
      <c r="H493" s="141">
        <f t="shared" ref="H493:H503" si="3">+D493-F493</f>
        <v>0</v>
      </c>
      <c r="I493" s="185"/>
    </row>
    <row r="494" spans="1:13" x14ac:dyDescent="0.25">
      <c r="B494" s="186">
        <v>4116</v>
      </c>
      <c r="C494" s="144">
        <v>17172260.280000001</v>
      </c>
      <c r="D494" s="155">
        <v>22186368.879999999</v>
      </c>
      <c r="E494" s="142">
        <f t="shared" si="0"/>
        <v>17172.260280000002</v>
      </c>
      <c r="F494" s="141">
        <f t="shared" si="1"/>
        <v>22186368.880000003</v>
      </c>
      <c r="G494" s="141">
        <f t="shared" si="2"/>
        <v>0</v>
      </c>
      <c r="H494" s="141">
        <f t="shared" si="3"/>
        <v>0</v>
      </c>
      <c r="I494" s="185"/>
    </row>
    <row r="495" spans="1:13" x14ac:dyDescent="0.25">
      <c r="B495" s="186">
        <v>4119</v>
      </c>
      <c r="C495" s="144"/>
      <c r="D495" s="155">
        <f>SUMIF(C515:C541,B495,G513:G541)</f>
        <v>0</v>
      </c>
      <c r="E495" s="142">
        <f t="shared" si="0"/>
        <v>0</v>
      </c>
      <c r="F495" s="141">
        <f t="shared" si="1"/>
        <v>0</v>
      </c>
      <c r="G495" s="141">
        <f t="shared" si="2"/>
        <v>0</v>
      </c>
      <c r="H495" s="141">
        <f t="shared" si="3"/>
        <v>0</v>
      </c>
      <c r="I495" s="185"/>
    </row>
    <row r="496" spans="1:13" x14ac:dyDescent="0.25">
      <c r="B496" s="186">
        <v>4122</v>
      </c>
      <c r="C496" s="144">
        <v>1111362.3899999999</v>
      </c>
      <c r="D496" s="155">
        <v>63047093.200000003</v>
      </c>
      <c r="E496" s="142">
        <f t="shared" si="0"/>
        <v>1111.36239</v>
      </c>
      <c r="F496" s="141">
        <f t="shared" si="1"/>
        <v>63047093.200000003</v>
      </c>
      <c r="G496" s="141">
        <f t="shared" si="2"/>
        <v>0</v>
      </c>
      <c r="H496" s="141">
        <f t="shared" si="3"/>
        <v>0</v>
      </c>
      <c r="I496" s="185"/>
    </row>
    <row r="497" spans="1:9" x14ac:dyDescent="0.25">
      <c r="B497" s="186">
        <v>4123</v>
      </c>
      <c r="C497" s="144">
        <v>131063.69</v>
      </c>
      <c r="D497" s="155">
        <v>131063.69</v>
      </c>
      <c r="E497" s="142">
        <f t="shared" si="0"/>
        <v>131.06369000000001</v>
      </c>
      <c r="F497" s="141">
        <f t="shared" si="1"/>
        <v>131063.69</v>
      </c>
      <c r="G497" s="141">
        <f t="shared" si="2"/>
        <v>0</v>
      </c>
      <c r="H497" s="141">
        <f t="shared" si="3"/>
        <v>0</v>
      </c>
      <c r="I497" s="185"/>
    </row>
    <row r="498" spans="1:9" x14ac:dyDescent="0.25">
      <c r="B498" s="186">
        <v>4151</v>
      </c>
      <c r="C498" s="144"/>
      <c r="D498" s="155">
        <f t="shared" ref="D498:D502" si="4">SUMIF(C516:C544,B498,G516:G544)</f>
        <v>0</v>
      </c>
      <c r="E498" s="142">
        <f t="shared" si="0"/>
        <v>0</v>
      </c>
      <c r="F498" s="141">
        <f t="shared" si="1"/>
        <v>0</v>
      </c>
      <c r="G498" s="141">
        <f t="shared" si="2"/>
        <v>0</v>
      </c>
      <c r="H498" s="141">
        <f t="shared" si="3"/>
        <v>0</v>
      </c>
      <c r="I498" s="185"/>
    </row>
    <row r="499" spans="1:9" x14ac:dyDescent="0.25">
      <c r="B499" s="186">
        <v>4152</v>
      </c>
      <c r="C499" s="144">
        <v>582000</v>
      </c>
      <c r="D499" s="155">
        <v>581714.24</v>
      </c>
      <c r="E499" s="142">
        <f t="shared" si="0"/>
        <v>582</v>
      </c>
      <c r="F499" s="141">
        <f t="shared" si="1"/>
        <v>581714.24</v>
      </c>
      <c r="G499" s="141">
        <f t="shared" si="2"/>
        <v>0</v>
      </c>
      <c r="H499" s="141">
        <f t="shared" si="3"/>
        <v>0</v>
      </c>
      <c r="I499" s="185"/>
    </row>
    <row r="500" spans="1:9" x14ac:dyDescent="0.25">
      <c r="B500" s="186">
        <v>4213</v>
      </c>
      <c r="C500" s="144">
        <v>534564.72</v>
      </c>
      <c r="D500" s="155">
        <v>581682.51</v>
      </c>
      <c r="E500" s="142">
        <f t="shared" si="0"/>
        <v>534.56471999999997</v>
      </c>
      <c r="F500" s="141">
        <f t="shared" si="1"/>
        <v>581682.51</v>
      </c>
      <c r="G500" s="141">
        <f t="shared" si="2"/>
        <v>0</v>
      </c>
      <c r="H500" s="141">
        <f t="shared" si="3"/>
        <v>0</v>
      </c>
      <c r="I500" s="185"/>
    </row>
    <row r="501" spans="1:9" x14ac:dyDescent="0.25">
      <c r="B501" s="186">
        <v>4216</v>
      </c>
      <c r="C501" s="144">
        <v>5187860.22</v>
      </c>
      <c r="D501" s="155">
        <v>6438862.6500000004</v>
      </c>
      <c r="E501" s="142">
        <f t="shared" si="0"/>
        <v>5187.8602200000005</v>
      </c>
      <c r="F501" s="141">
        <f t="shared" si="1"/>
        <v>6438862.6500000004</v>
      </c>
      <c r="G501" s="141">
        <f t="shared" si="2"/>
        <v>0</v>
      </c>
      <c r="H501" s="141">
        <f t="shared" si="3"/>
        <v>0</v>
      </c>
      <c r="I501" s="185"/>
    </row>
    <row r="502" spans="1:9" x14ac:dyDescent="0.25">
      <c r="B502" s="186">
        <v>4222</v>
      </c>
      <c r="C502" s="144"/>
      <c r="D502" s="155">
        <f t="shared" si="4"/>
        <v>0</v>
      </c>
      <c r="E502" s="142">
        <f t="shared" si="0"/>
        <v>0</v>
      </c>
      <c r="F502" s="141">
        <f t="shared" si="1"/>
        <v>0</v>
      </c>
      <c r="G502" s="141">
        <f t="shared" si="2"/>
        <v>0</v>
      </c>
      <c r="H502" s="141">
        <f t="shared" si="3"/>
        <v>0</v>
      </c>
      <c r="I502" s="185"/>
    </row>
    <row r="503" spans="1:9" x14ac:dyDescent="0.25">
      <c r="B503" s="186">
        <v>4223</v>
      </c>
      <c r="C503" s="144">
        <v>48137609.890000001</v>
      </c>
      <c r="D503" s="155">
        <v>52328804.299999997</v>
      </c>
      <c r="E503" s="142">
        <f t="shared" si="0"/>
        <v>48137.60989</v>
      </c>
      <c r="F503" s="141">
        <f t="shared" si="1"/>
        <v>52328804.299999997</v>
      </c>
      <c r="G503" s="141">
        <f t="shared" si="2"/>
        <v>0</v>
      </c>
      <c r="H503" s="141">
        <f t="shared" si="3"/>
        <v>0</v>
      </c>
      <c r="I503" s="185"/>
    </row>
    <row r="504" spans="1:9" x14ac:dyDescent="0.25">
      <c r="B504" s="132"/>
      <c r="C504" s="144">
        <f t="shared" ref="C504:H504" si="5">+SUM(C492:C503)</f>
        <v>78763466.010000005</v>
      </c>
      <c r="D504" s="156">
        <f t="shared" si="5"/>
        <v>147255832.44</v>
      </c>
      <c r="E504" s="144">
        <f t="shared" si="5"/>
        <v>78763.466010000004</v>
      </c>
      <c r="F504" s="144">
        <f t="shared" si="5"/>
        <v>147255832.44</v>
      </c>
      <c r="G504" s="141">
        <f t="shared" si="5"/>
        <v>0</v>
      </c>
      <c r="H504" s="141">
        <f t="shared" si="5"/>
        <v>0</v>
      </c>
      <c r="I504" s="185"/>
    </row>
    <row r="505" spans="1:9" ht="16.5" thickBot="1" x14ac:dyDescent="0.3">
      <c r="B505" s="133"/>
      <c r="C505" s="145"/>
      <c r="D505" s="157"/>
      <c r="E505" s="134"/>
      <c r="F505" s="134"/>
      <c r="G505" s="135"/>
      <c r="H505" s="136"/>
      <c r="I505" s="185"/>
    </row>
    <row r="506" spans="1:9" x14ac:dyDescent="0.25">
      <c r="H506" s="2"/>
    </row>
    <row r="507" spans="1:9" x14ac:dyDescent="0.25">
      <c r="B507" s="177"/>
      <c r="C507" s="2" t="s">
        <v>120</v>
      </c>
      <c r="H507" s="2"/>
    </row>
    <row r="508" spans="1:9" x14ac:dyDescent="0.25">
      <c r="H508" s="2"/>
    </row>
    <row r="509" spans="1:9" x14ac:dyDescent="0.25">
      <c r="B509" s="187"/>
      <c r="C509" s="187"/>
      <c r="D509" s="187"/>
      <c r="E509" s="188"/>
      <c r="F509" s="188"/>
      <c r="G509" s="188"/>
      <c r="H509" s="187"/>
    </row>
    <row r="510" spans="1:9" x14ac:dyDescent="0.25">
      <c r="A510" s="265">
        <v>92241</v>
      </c>
      <c r="B510" s="13" t="s">
        <v>8</v>
      </c>
      <c r="C510" s="187"/>
      <c r="D510" s="187"/>
      <c r="E510" s="188"/>
      <c r="F510" s="188"/>
      <c r="G510" s="188"/>
      <c r="H510" s="187"/>
    </row>
    <row r="511" spans="1:9" x14ac:dyDescent="0.25">
      <c r="B511" s="187"/>
      <c r="C511" s="187"/>
      <c r="D511" s="187"/>
      <c r="E511" s="188"/>
      <c r="F511" s="188"/>
      <c r="G511" s="188"/>
      <c r="H511" s="187"/>
    </row>
    <row r="512" spans="1:9" x14ac:dyDescent="0.25">
      <c r="B512" s="187"/>
      <c r="C512" s="187"/>
      <c r="D512" s="187"/>
      <c r="E512" s="188"/>
      <c r="F512" s="188"/>
      <c r="G512" s="188"/>
      <c r="H512" s="187"/>
    </row>
    <row r="513" spans="2:8" x14ac:dyDescent="0.25">
      <c r="B513" s="187"/>
      <c r="D513" s="187"/>
      <c r="E513" s="188"/>
      <c r="F513" s="188"/>
      <c r="G513" s="187"/>
      <c r="H513" s="187"/>
    </row>
    <row r="514" spans="2:8" x14ac:dyDescent="0.25">
      <c r="B514" s="187"/>
      <c r="D514" s="187"/>
      <c r="E514" s="188"/>
      <c r="F514" s="188"/>
      <c r="G514" s="188"/>
    </row>
    <row r="515" spans="2:8" x14ac:dyDescent="0.25">
      <c r="B515" s="187"/>
      <c r="C515" s="187"/>
      <c r="D515" s="187"/>
      <c r="E515" s="188"/>
      <c r="F515" s="188"/>
      <c r="G515" s="188"/>
    </row>
    <row r="516" spans="2:8" x14ac:dyDescent="0.25">
      <c r="B516" s="187"/>
      <c r="C516" s="187"/>
      <c r="D516" s="187"/>
      <c r="E516" s="188"/>
      <c r="F516" s="188"/>
      <c r="G516" s="188"/>
      <c r="H516" s="187"/>
    </row>
    <row r="517" spans="2:8" x14ac:dyDescent="0.25">
      <c r="B517" s="187"/>
      <c r="C517" s="187"/>
      <c r="D517" s="187"/>
      <c r="E517" s="188"/>
      <c r="F517" s="188"/>
      <c r="G517" s="187"/>
      <c r="H517" s="187"/>
    </row>
    <row r="518" spans="2:8" x14ac:dyDescent="0.25">
      <c r="B518" s="187"/>
      <c r="C518" s="187"/>
      <c r="D518" s="187"/>
      <c r="E518" s="188"/>
      <c r="F518" s="188"/>
      <c r="G518" s="188"/>
      <c r="H518" s="187"/>
    </row>
    <row r="519" spans="2:8" x14ac:dyDescent="0.25">
      <c r="B519" s="187"/>
      <c r="C519" s="187"/>
      <c r="D519" s="187"/>
      <c r="E519" s="188"/>
      <c r="F519" s="188"/>
      <c r="G519" s="188"/>
      <c r="H519" s="187"/>
    </row>
    <row r="520" spans="2:8" x14ac:dyDescent="0.25">
      <c r="B520" s="187"/>
      <c r="C520" s="187"/>
      <c r="D520" s="187"/>
      <c r="E520" s="188"/>
      <c r="F520" s="188"/>
      <c r="G520" s="188"/>
      <c r="H520" s="187"/>
    </row>
    <row r="521" spans="2:8" x14ac:dyDescent="0.25">
      <c r="B521" s="187"/>
      <c r="C521" s="187"/>
      <c r="D521" s="187"/>
      <c r="E521" s="188"/>
      <c r="F521" s="188"/>
      <c r="G521" s="188"/>
      <c r="H521" s="187"/>
    </row>
    <row r="522" spans="2:8" x14ac:dyDescent="0.25">
      <c r="B522" s="187"/>
      <c r="C522" s="187"/>
      <c r="D522" s="187"/>
      <c r="E522" s="188"/>
      <c r="F522" s="188"/>
      <c r="G522" s="188"/>
      <c r="H522" s="187"/>
    </row>
    <row r="523" spans="2:8" x14ac:dyDescent="0.25">
      <c r="B523" s="187"/>
      <c r="C523" s="187"/>
      <c r="D523" s="187"/>
      <c r="E523" s="187"/>
      <c r="F523" s="187"/>
      <c r="G523" s="188"/>
      <c r="H523" s="187"/>
    </row>
    <row r="524" spans="2:8" x14ac:dyDescent="0.25">
      <c r="B524" s="187"/>
      <c r="C524" s="187"/>
      <c r="D524" s="187"/>
      <c r="E524" s="188"/>
      <c r="F524" s="188"/>
      <c r="G524" s="188"/>
      <c r="H524" s="187"/>
    </row>
    <row r="525" spans="2:8" x14ac:dyDescent="0.25">
      <c r="B525" s="187"/>
      <c r="C525" s="187"/>
      <c r="D525" s="187"/>
      <c r="E525" s="188"/>
      <c r="F525" s="188"/>
      <c r="G525" s="188"/>
      <c r="H525" s="187"/>
    </row>
    <row r="526" spans="2:8" x14ac:dyDescent="0.25">
      <c r="B526" s="187"/>
      <c r="C526" s="187"/>
      <c r="D526" s="187"/>
      <c r="E526" s="188"/>
      <c r="F526" s="188"/>
      <c r="G526" s="188"/>
      <c r="H526" s="187"/>
    </row>
    <row r="527" spans="2:8" x14ac:dyDescent="0.25">
      <c r="B527" s="187"/>
      <c r="C527" s="187"/>
      <c r="D527" s="187"/>
      <c r="E527" s="187"/>
      <c r="F527" s="187"/>
      <c r="G527" s="187"/>
      <c r="H527" s="187"/>
    </row>
    <row r="528" spans="2:8" x14ac:dyDescent="0.25">
      <c r="B528" s="187"/>
      <c r="C528" s="187"/>
      <c r="D528" s="187"/>
      <c r="E528" s="188"/>
      <c r="F528" s="188"/>
      <c r="G528" s="187"/>
      <c r="H528" s="187"/>
    </row>
    <row r="529" spans="2:8" x14ac:dyDescent="0.25">
      <c r="B529" s="187"/>
      <c r="C529" s="187"/>
      <c r="D529" s="187"/>
      <c r="E529" s="188"/>
      <c r="F529" s="188"/>
      <c r="G529" s="188"/>
      <c r="H529" s="187"/>
    </row>
    <row r="530" spans="2:8" x14ac:dyDescent="0.25">
      <c r="B530" s="187"/>
      <c r="C530" s="187"/>
      <c r="D530" s="187"/>
      <c r="E530" s="188"/>
      <c r="F530" s="188"/>
      <c r="G530" s="188"/>
      <c r="H530" s="187"/>
    </row>
    <row r="531" spans="2:8" x14ac:dyDescent="0.25">
      <c r="B531" s="187"/>
      <c r="C531" s="187"/>
      <c r="D531" s="187"/>
      <c r="E531" s="187"/>
      <c r="F531" s="187"/>
      <c r="G531" s="188"/>
      <c r="H531" s="187"/>
    </row>
    <row r="532" spans="2:8" x14ac:dyDescent="0.25">
      <c r="B532" s="187"/>
      <c r="C532" s="187"/>
      <c r="D532" s="187"/>
      <c r="E532" s="187"/>
      <c r="F532" s="187"/>
      <c r="G532" s="188"/>
      <c r="H532" s="187"/>
    </row>
    <row r="533" spans="2:8" x14ac:dyDescent="0.25">
      <c r="B533" s="187"/>
      <c r="C533" s="187"/>
      <c r="D533" s="187"/>
      <c r="E533" s="188"/>
      <c r="F533" s="188"/>
      <c r="G533" s="188"/>
      <c r="H533" s="187"/>
    </row>
    <row r="534" spans="2:8" x14ac:dyDescent="0.25">
      <c r="B534" s="187"/>
      <c r="C534" s="187"/>
      <c r="D534" s="187"/>
      <c r="E534" s="187"/>
      <c r="F534" s="187"/>
      <c r="G534" s="188"/>
      <c r="H534" s="187"/>
    </row>
    <row r="535" spans="2:8" x14ac:dyDescent="0.25">
      <c r="B535" s="187"/>
      <c r="C535" s="187"/>
      <c r="D535" s="187"/>
      <c r="E535" s="187"/>
      <c r="F535" s="187"/>
      <c r="G535" s="187"/>
      <c r="H535" s="187"/>
    </row>
    <row r="536" spans="2:8" x14ac:dyDescent="0.25">
      <c r="B536" s="187"/>
      <c r="C536" s="187"/>
      <c r="D536" s="187"/>
      <c r="E536" s="187"/>
      <c r="F536" s="187"/>
      <c r="G536" s="187"/>
      <c r="H536" s="187"/>
    </row>
    <row r="537" spans="2:8" x14ac:dyDescent="0.25">
      <c r="B537" s="187"/>
      <c r="C537" s="187"/>
      <c r="D537" s="187"/>
      <c r="E537" s="187"/>
      <c r="F537" s="187"/>
      <c r="G537" s="188"/>
      <c r="H537" s="187"/>
    </row>
    <row r="538" spans="2:8" x14ac:dyDescent="0.25">
      <c r="B538" s="187"/>
      <c r="C538" s="187"/>
      <c r="D538" s="187"/>
      <c r="E538" s="187"/>
      <c r="F538" s="187"/>
      <c r="G538" s="187"/>
      <c r="H538" s="187"/>
    </row>
    <row r="539" spans="2:8" x14ac:dyDescent="0.25">
      <c r="B539" s="187"/>
      <c r="C539" s="187"/>
      <c r="D539" s="187"/>
      <c r="E539" s="187"/>
      <c r="F539" s="187"/>
      <c r="G539" s="187"/>
      <c r="H539" s="187"/>
    </row>
    <row r="576" spans="1:8" x14ac:dyDescent="0.25">
      <c r="A576" s="189"/>
      <c r="B576" s="190"/>
      <c r="C576" s="190"/>
      <c r="D576" s="191"/>
      <c r="E576" s="192"/>
      <c r="F576" s="193"/>
      <c r="G576" s="191"/>
      <c r="H576" s="194"/>
    </row>
    <row r="577" spans="1:8" x14ac:dyDescent="0.25">
      <c r="A577" s="189"/>
      <c r="B577" s="190"/>
      <c r="C577" s="190"/>
      <c r="D577" s="191"/>
      <c r="E577" s="192"/>
      <c r="F577" s="193"/>
      <c r="G577" s="191"/>
      <c r="H577" s="194"/>
    </row>
    <row r="578" spans="1:8" x14ac:dyDescent="0.25">
      <c r="A578" s="189"/>
      <c r="B578" s="190"/>
      <c r="C578" s="190"/>
      <c r="D578" s="191"/>
      <c r="E578" s="192"/>
      <c r="F578" s="193"/>
      <c r="G578" s="191"/>
      <c r="H578" s="194"/>
    </row>
    <row r="579" spans="1:8" x14ac:dyDescent="0.25">
      <c r="A579" s="189"/>
      <c r="B579" s="190"/>
      <c r="C579" s="190"/>
      <c r="D579" s="191"/>
      <c r="E579" s="192"/>
      <c r="F579" s="193"/>
      <c r="G579" s="191"/>
      <c r="H579" s="194"/>
    </row>
    <row r="580" spans="1:8" x14ac:dyDescent="0.25">
      <c r="A580" s="189"/>
      <c r="B580" s="190"/>
      <c r="C580" s="190"/>
      <c r="D580" s="191"/>
      <c r="E580" s="192"/>
      <c r="F580" s="193"/>
      <c r="G580" s="191"/>
      <c r="H580" s="194"/>
    </row>
    <row r="581" spans="1:8" x14ac:dyDescent="0.25">
      <c r="A581" s="189"/>
      <c r="B581" s="190"/>
      <c r="C581" s="190"/>
      <c r="D581" s="191"/>
      <c r="E581" s="192"/>
      <c r="F581" s="193"/>
      <c r="G581" s="191"/>
      <c r="H581" s="194"/>
    </row>
    <row r="582" spans="1:8" x14ac:dyDescent="0.25">
      <c r="A582" s="189"/>
      <c r="B582" s="190"/>
      <c r="C582" s="190"/>
      <c r="D582" s="191"/>
      <c r="E582" s="192"/>
      <c r="F582" s="193"/>
      <c r="G582" s="191"/>
      <c r="H582" s="194"/>
    </row>
    <row r="583" spans="1:8" x14ac:dyDescent="0.25">
      <c r="A583" s="189"/>
      <c r="B583" s="190"/>
      <c r="C583" s="190"/>
      <c r="D583" s="191"/>
      <c r="E583" s="192"/>
      <c r="F583" s="193"/>
      <c r="G583" s="191"/>
      <c r="H583" s="194"/>
    </row>
    <row r="584" spans="1:8" x14ac:dyDescent="0.25">
      <c r="A584" s="189"/>
      <c r="B584" s="190"/>
      <c r="C584" s="190"/>
      <c r="D584" s="191"/>
      <c r="E584" s="192"/>
      <c r="F584" s="193"/>
      <c r="G584" s="191"/>
      <c r="H584" s="194"/>
    </row>
    <row r="585" spans="1:8" x14ac:dyDescent="0.25">
      <c r="A585" s="189"/>
      <c r="B585" s="190"/>
      <c r="C585" s="190"/>
      <c r="D585" s="191"/>
      <c r="E585" s="192"/>
      <c r="F585" s="193"/>
      <c r="G585" s="191"/>
      <c r="H585" s="194"/>
    </row>
    <row r="586" spans="1:8" x14ac:dyDescent="0.25">
      <c r="A586" s="189"/>
      <c r="B586" s="190"/>
      <c r="C586" s="190"/>
      <c r="D586" s="191"/>
      <c r="E586" s="192"/>
      <c r="F586" s="193"/>
      <c r="G586" s="191"/>
      <c r="H586" s="194"/>
    </row>
    <row r="587" spans="1:8" x14ac:dyDescent="0.25">
      <c r="A587" s="189"/>
      <c r="B587" s="190"/>
      <c r="C587" s="190"/>
      <c r="D587" s="191"/>
      <c r="E587" s="192"/>
      <c r="F587" s="193"/>
      <c r="G587" s="191"/>
      <c r="H587" s="194"/>
    </row>
    <row r="588" spans="1:8" x14ac:dyDescent="0.25">
      <c r="A588" s="189"/>
      <c r="B588" s="190"/>
      <c r="C588" s="190"/>
      <c r="D588" s="191"/>
      <c r="E588" s="192"/>
      <c r="F588" s="193"/>
      <c r="G588" s="191"/>
      <c r="H588" s="194"/>
    </row>
    <row r="589" spans="1:8" x14ac:dyDescent="0.25">
      <c r="A589" s="189"/>
      <c r="B589" s="190"/>
      <c r="C589" s="190"/>
      <c r="D589" s="191"/>
      <c r="E589" s="192"/>
      <c r="F589" s="193"/>
      <c r="G589" s="191"/>
      <c r="H589" s="194"/>
    </row>
    <row r="590" spans="1:8" x14ac:dyDescent="0.25">
      <c r="A590" s="189"/>
      <c r="B590" s="190"/>
      <c r="C590" s="190"/>
      <c r="D590" s="191"/>
      <c r="E590" s="192"/>
      <c r="F590" s="193"/>
      <c r="G590" s="191"/>
      <c r="H590" s="194"/>
    </row>
    <row r="591" spans="1:8" x14ac:dyDescent="0.25">
      <c r="A591" s="189"/>
      <c r="B591" s="190"/>
      <c r="C591" s="190"/>
      <c r="D591" s="191"/>
      <c r="E591" s="192"/>
      <c r="F591" s="193"/>
      <c r="G591" s="191"/>
      <c r="H591" s="194"/>
    </row>
    <row r="592" spans="1:8" x14ac:dyDescent="0.25">
      <c r="A592" s="189"/>
      <c r="B592" s="190"/>
      <c r="C592" s="190"/>
      <c r="D592" s="191"/>
      <c r="E592" s="192"/>
      <c r="F592" s="193"/>
      <c r="G592" s="191"/>
      <c r="H592" s="194"/>
    </row>
    <row r="593" spans="1:8" x14ac:dyDescent="0.25">
      <c r="A593" s="189"/>
      <c r="B593" s="190"/>
      <c r="C593" s="190"/>
      <c r="D593" s="191"/>
      <c r="E593" s="192"/>
      <c r="F593" s="193"/>
      <c r="G593" s="191"/>
      <c r="H593" s="194"/>
    </row>
    <row r="594" spans="1:8" x14ac:dyDescent="0.25">
      <c r="A594" s="189"/>
      <c r="B594" s="190"/>
      <c r="C594" s="190"/>
      <c r="D594" s="191"/>
      <c r="E594" s="192"/>
      <c r="F594" s="193"/>
      <c r="G594" s="191"/>
      <c r="H594" s="194"/>
    </row>
    <row r="595" spans="1:8" x14ac:dyDescent="0.25">
      <c r="A595" s="189"/>
      <c r="B595" s="190"/>
      <c r="C595" s="190"/>
      <c r="D595" s="191"/>
      <c r="E595" s="192"/>
      <c r="F595" s="193"/>
      <c r="G595" s="191"/>
      <c r="H595" s="194"/>
    </row>
    <row r="596" spans="1:8" x14ac:dyDescent="0.25">
      <c r="A596" s="189"/>
      <c r="B596" s="190"/>
      <c r="C596" s="190"/>
      <c r="D596" s="191"/>
      <c r="E596" s="192"/>
      <c r="F596" s="193"/>
      <c r="G596" s="191"/>
      <c r="H596" s="194"/>
    </row>
    <row r="597" spans="1:8" x14ac:dyDescent="0.25">
      <c r="A597" s="189"/>
      <c r="B597" s="190"/>
      <c r="C597" s="190"/>
      <c r="D597" s="191"/>
      <c r="E597" s="192"/>
      <c r="F597" s="193"/>
      <c r="G597" s="191"/>
      <c r="H597" s="194"/>
    </row>
    <row r="598" spans="1:8" x14ac:dyDescent="0.25">
      <c r="A598" s="189"/>
      <c r="B598" s="190"/>
      <c r="C598" s="190"/>
      <c r="D598" s="191"/>
      <c r="E598" s="192"/>
      <c r="F598" s="193"/>
      <c r="G598" s="191"/>
      <c r="H598" s="194"/>
    </row>
    <row r="599" spans="1:8" x14ac:dyDescent="0.25">
      <c r="A599" s="189"/>
      <c r="B599" s="190"/>
      <c r="C599" s="190"/>
      <c r="D599" s="191"/>
      <c r="E599" s="192"/>
      <c r="F599" s="193"/>
      <c r="G599" s="191"/>
      <c r="H599" s="194"/>
    </row>
    <row r="600" spans="1:8" x14ac:dyDescent="0.25">
      <c r="A600" s="189"/>
      <c r="B600" s="190"/>
      <c r="C600" s="190"/>
      <c r="D600" s="191"/>
      <c r="E600" s="192"/>
      <c r="F600" s="193"/>
      <c r="G600" s="191"/>
      <c r="H600" s="194"/>
    </row>
    <row r="601" spans="1:8" x14ac:dyDescent="0.25">
      <c r="A601" s="189"/>
      <c r="B601" s="190"/>
      <c r="C601" s="190"/>
      <c r="D601" s="191"/>
      <c r="E601" s="192"/>
      <c r="F601" s="193"/>
      <c r="G601" s="191"/>
      <c r="H601" s="194"/>
    </row>
    <row r="602" spans="1:8" x14ac:dyDescent="0.25">
      <c r="A602" s="189"/>
      <c r="B602" s="190"/>
      <c r="C602" s="190"/>
      <c r="D602" s="191"/>
      <c r="E602" s="192"/>
      <c r="F602" s="193"/>
      <c r="G602" s="191"/>
      <c r="H602" s="194"/>
    </row>
    <row r="603" spans="1:8" x14ac:dyDescent="0.25">
      <c r="A603" s="189"/>
      <c r="B603" s="190"/>
      <c r="C603" s="190"/>
      <c r="D603" s="191"/>
      <c r="E603" s="192"/>
      <c r="F603" s="193"/>
      <c r="G603" s="191"/>
      <c r="H603" s="194"/>
    </row>
    <row r="604" spans="1:8" x14ac:dyDescent="0.25">
      <c r="A604" s="189"/>
      <c r="B604" s="190"/>
      <c r="C604" s="190"/>
      <c r="D604" s="191"/>
      <c r="E604" s="192"/>
      <c r="F604" s="193"/>
      <c r="G604" s="191"/>
      <c r="H604" s="194"/>
    </row>
    <row r="605" spans="1:8" x14ac:dyDescent="0.25">
      <c r="A605" s="189"/>
      <c r="B605" s="190"/>
      <c r="C605" s="190"/>
      <c r="D605" s="191"/>
      <c r="E605" s="192"/>
      <c r="F605" s="193"/>
      <c r="G605" s="191"/>
      <c r="H605" s="194"/>
    </row>
    <row r="606" spans="1:8" x14ac:dyDescent="0.25">
      <c r="A606" s="189"/>
      <c r="B606" s="190"/>
      <c r="C606" s="190"/>
      <c r="D606" s="191"/>
      <c r="E606" s="192"/>
      <c r="F606" s="193"/>
      <c r="G606" s="191"/>
      <c r="H606" s="194"/>
    </row>
    <row r="607" spans="1:8" x14ac:dyDescent="0.25">
      <c r="A607" s="189"/>
      <c r="B607" s="190"/>
      <c r="C607" s="190"/>
      <c r="D607" s="191"/>
      <c r="E607" s="192"/>
      <c r="F607" s="193"/>
      <c r="G607" s="191"/>
      <c r="H607" s="194"/>
    </row>
    <row r="608" spans="1:8" x14ac:dyDescent="0.25">
      <c r="A608" s="189"/>
      <c r="B608" s="190"/>
      <c r="C608" s="190"/>
      <c r="D608" s="191"/>
      <c r="E608" s="192"/>
      <c r="F608" s="193"/>
      <c r="G608" s="191"/>
      <c r="H608" s="194"/>
    </row>
    <row r="609" spans="1:8" x14ac:dyDescent="0.25">
      <c r="A609" s="189"/>
      <c r="B609" s="190"/>
      <c r="C609" s="190"/>
      <c r="D609" s="191"/>
      <c r="E609" s="192"/>
      <c r="F609" s="193"/>
      <c r="G609" s="191"/>
      <c r="H609" s="194"/>
    </row>
    <row r="610" spans="1:8" x14ac:dyDescent="0.25">
      <c r="A610" s="189"/>
      <c r="B610" s="190"/>
      <c r="C610" s="190"/>
      <c r="D610" s="191"/>
      <c r="E610" s="192"/>
      <c r="F610" s="193"/>
      <c r="G610" s="191"/>
      <c r="H610" s="194"/>
    </row>
    <row r="611" spans="1:8" x14ac:dyDescent="0.25">
      <c r="A611" s="189"/>
      <c r="B611" s="190"/>
      <c r="C611" s="190"/>
      <c r="D611" s="191"/>
      <c r="E611" s="192"/>
      <c r="F611" s="193"/>
      <c r="G611" s="191"/>
      <c r="H611" s="194"/>
    </row>
    <row r="612" spans="1:8" x14ac:dyDescent="0.25">
      <c r="A612" s="189"/>
      <c r="B612" s="190"/>
      <c r="C612" s="190"/>
      <c r="D612" s="191"/>
      <c r="E612" s="192"/>
      <c r="F612" s="193"/>
      <c r="G612" s="191"/>
      <c r="H612" s="194"/>
    </row>
    <row r="613" spans="1:8" x14ac:dyDescent="0.25">
      <c r="A613" s="189"/>
      <c r="B613" s="190"/>
      <c r="C613" s="190"/>
      <c r="D613" s="191"/>
      <c r="E613" s="192"/>
      <c r="F613" s="193"/>
      <c r="G613" s="191"/>
      <c r="H613" s="194"/>
    </row>
    <row r="614" spans="1:8" x14ac:dyDescent="0.25">
      <c r="A614" s="189"/>
      <c r="B614" s="190"/>
      <c r="C614" s="190"/>
      <c r="D614" s="191"/>
      <c r="E614" s="192"/>
      <c r="F614" s="193"/>
      <c r="G614" s="191"/>
      <c r="H614" s="194"/>
    </row>
    <row r="615" spans="1:8" x14ac:dyDescent="0.25">
      <c r="A615" s="189"/>
      <c r="B615" s="190"/>
      <c r="C615" s="190"/>
      <c r="D615" s="191"/>
      <c r="E615" s="192"/>
      <c r="F615" s="193"/>
      <c r="G615" s="191"/>
      <c r="H615" s="194"/>
    </row>
    <row r="616" spans="1:8" x14ac:dyDescent="0.25">
      <c r="A616" s="189"/>
      <c r="B616" s="190"/>
      <c r="C616" s="190"/>
      <c r="D616" s="191"/>
      <c r="E616" s="192"/>
      <c r="F616" s="193"/>
      <c r="G616" s="191"/>
      <c r="H616" s="194"/>
    </row>
    <row r="617" spans="1:8" x14ac:dyDescent="0.25">
      <c r="A617" s="189"/>
      <c r="B617" s="190"/>
      <c r="C617" s="190"/>
      <c r="D617" s="191"/>
      <c r="E617" s="192"/>
      <c r="F617" s="193"/>
      <c r="G617" s="191"/>
      <c r="H617" s="194"/>
    </row>
    <row r="618" spans="1:8" x14ac:dyDescent="0.25">
      <c r="A618" s="189"/>
      <c r="B618" s="190"/>
      <c r="C618" s="190"/>
      <c r="D618" s="191"/>
      <c r="E618" s="192"/>
      <c r="F618" s="193"/>
      <c r="G618" s="191"/>
      <c r="H618" s="194"/>
    </row>
    <row r="619" spans="1:8" x14ac:dyDescent="0.25">
      <c r="A619" s="189"/>
      <c r="B619" s="190"/>
      <c r="C619" s="190"/>
      <c r="D619" s="191"/>
      <c r="E619" s="192"/>
      <c r="F619" s="193"/>
      <c r="G619" s="191"/>
      <c r="H619" s="194"/>
    </row>
    <row r="620" spans="1:8" x14ac:dyDescent="0.25">
      <c r="A620" s="189"/>
      <c r="B620" s="190"/>
      <c r="C620" s="190"/>
      <c r="D620" s="191"/>
      <c r="E620" s="192"/>
      <c r="F620" s="193"/>
      <c r="G620" s="191"/>
      <c r="H620" s="194"/>
    </row>
    <row r="621" spans="1:8" x14ac:dyDescent="0.25">
      <c r="A621" s="189"/>
      <c r="B621" s="190"/>
      <c r="C621" s="190"/>
      <c r="D621" s="191"/>
      <c r="E621" s="192"/>
      <c r="F621" s="193"/>
      <c r="G621" s="191"/>
      <c r="H621" s="194"/>
    </row>
    <row r="622" spans="1:8" x14ac:dyDescent="0.25">
      <c r="A622" s="189"/>
      <c r="B622" s="190"/>
      <c r="C622" s="190"/>
      <c r="D622" s="191"/>
      <c r="E622" s="192"/>
      <c r="F622" s="193"/>
      <c r="G622" s="191"/>
      <c r="H622" s="194"/>
    </row>
    <row r="623" spans="1:8" x14ac:dyDescent="0.25">
      <c r="A623" s="189"/>
      <c r="B623" s="190"/>
      <c r="C623" s="190"/>
      <c r="D623" s="191"/>
      <c r="E623" s="192"/>
      <c r="F623" s="193"/>
      <c r="G623" s="191"/>
      <c r="H623" s="194"/>
    </row>
    <row r="624" spans="1:8" x14ac:dyDescent="0.25">
      <c r="A624" s="189"/>
      <c r="B624" s="190"/>
      <c r="C624" s="190"/>
      <c r="D624" s="191"/>
      <c r="E624" s="192"/>
      <c r="F624" s="193"/>
      <c r="G624" s="191"/>
      <c r="H624" s="194"/>
    </row>
    <row r="625" spans="1:8" x14ac:dyDescent="0.25">
      <c r="A625" s="189"/>
      <c r="B625" s="190"/>
      <c r="C625" s="190"/>
      <c r="D625" s="191"/>
      <c r="E625" s="192"/>
      <c r="F625" s="193"/>
      <c r="G625" s="191"/>
      <c r="H625" s="194"/>
    </row>
    <row r="626" spans="1:8" x14ac:dyDescent="0.25">
      <c r="A626" s="189"/>
      <c r="B626" s="190"/>
      <c r="C626" s="190"/>
      <c r="D626" s="191"/>
      <c r="E626" s="192"/>
      <c r="F626" s="193"/>
      <c r="G626" s="191"/>
      <c r="H626" s="194"/>
    </row>
    <row r="627" spans="1:8" x14ac:dyDescent="0.25">
      <c r="A627" s="189"/>
      <c r="B627" s="190"/>
      <c r="C627" s="190"/>
      <c r="D627" s="191"/>
      <c r="E627" s="192"/>
      <c r="F627" s="193"/>
      <c r="G627" s="191"/>
      <c r="H627" s="194"/>
    </row>
    <row r="628" spans="1:8" x14ac:dyDescent="0.25">
      <c r="A628" s="189"/>
      <c r="B628" s="190"/>
      <c r="C628" s="190"/>
      <c r="D628" s="191"/>
      <c r="E628" s="192"/>
      <c r="F628" s="193"/>
      <c r="G628" s="191"/>
      <c r="H628" s="194"/>
    </row>
    <row r="629" spans="1:8" x14ac:dyDescent="0.25">
      <c r="A629" s="189"/>
      <c r="B629" s="190"/>
      <c r="C629" s="190"/>
      <c r="D629" s="191"/>
      <c r="E629" s="192"/>
      <c r="F629" s="193"/>
      <c r="G629" s="191"/>
      <c r="H629" s="194"/>
    </row>
    <row r="630" spans="1:8" x14ac:dyDescent="0.25">
      <c r="A630" s="189"/>
      <c r="B630" s="190"/>
      <c r="C630" s="190"/>
      <c r="D630" s="191"/>
      <c r="E630" s="192"/>
      <c r="F630" s="193"/>
      <c r="G630" s="191"/>
      <c r="H630" s="194"/>
    </row>
    <row r="631" spans="1:8" x14ac:dyDescent="0.25">
      <c r="A631" s="189"/>
      <c r="B631" s="190"/>
      <c r="C631" s="190"/>
      <c r="D631" s="191"/>
      <c r="E631" s="192"/>
      <c r="F631" s="193"/>
      <c r="G631" s="191"/>
      <c r="H631" s="194"/>
    </row>
    <row r="632" spans="1:8" x14ac:dyDescent="0.25">
      <c r="A632" s="189"/>
      <c r="B632" s="190"/>
      <c r="C632" s="190"/>
      <c r="D632" s="191"/>
      <c r="E632" s="192"/>
      <c r="F632" s="193"/>
      <c r="G632" s="191"/>
      <c r="H632" s="194"/>
    </row>
    <row r="633" spans="1:8" x14ac:dyDescent="0.25">
      <c r="A633" s="189"/>
      <c r="B633" s="190"/>
      <c r="C633" s="190"/>
      <c r="D633" s="191"/>
      <c r="E633" s="192"/>
      <c r="F633" s="193"/>
      <c r="G633" s="191"/>
      <c r="H633" s="194"/>
    </row>
    <row r="634" spans="1:8" x14ac:dyDescent="0.25">
      <c r="A634" s="189"/>
      <c r="B634" s="190"/>
      <c r="C634" s="190"/>
      <c r="D634" s="191"/>
      <c r="E634" s="192"/>
      <c r="F634" s="193"/>
      <c r="G634" s="191"/>
      <c r="H634" s="194"/>
    </row>
    <row r="635" spans="1:8" x14ac:dyDescent="0.25">
      <c r="A635" s="189"/>
      <c r="B635" s="190"/>
      <c r="C635" s="190"/>
      <c r="D635" s="191"/>
      <c r="E635" s="192"/>
      <c r="F635" s="193"/>
      <c r="G635" s="191"/>
      <c r="H635" s="194"/>
    </row>
    <row r="636" spans="1:8" x14ac:dyDescent="0.25">
      <c r="A636" s="189"/>
      <c r="B636" s="190"/>
      <c r="C636" s="190"/>
      <c r="D636" s="191"/>
      <c r="E636" s="192"/>
      <c r="F636" s="193"/>
      <c r="G636" s="191"/>
      <c r="H636" s="194"/>
    </row>
    <row r="637" spans="1:8" x14ac:dyDescent="0.25">
      <c r="A637" s="189"/>
      <c r="B637" s="190"/>
      <c r="C637" s="190"/>
      <c r="D637" s="191"/>
      <c r="E637" s="192"/>
      <c r="F637" s="193"/>
      <c r="G637" s="191"/>
      <c r="H637" s="194"/>
    </row>
    <row r="638" spans="1:8" x14ac:dyDescent="0.25">
      <c r="A638" s="189"/>
      <c r="B638" s="190"/>
      <c r="C638" s="190"/>
      <c r="D638" s="191"/>
      <c r="E638" s="192"/>
      <c r="F638" s="193"/>
      <c r="G638" s="191"/>
      <c r="H638" s="194"/>
    </row>
    <row r="639" spans="1:8" x14ac:dyDescent="0.25">
      <c r="A639" s="189"/>
      <c r="B639" s="190"/>
      <c r="C639" s="190"/>
      <c r="D639" s="191"/>
      <c r="E639" s="192"/>
      <c r="F639" s="193"/>
      <c r="G639" s="191"/>
      <c r="H639" s="194"/>
    </row>
    <row r="640" spans="1:8" x14ac:dyDescent="0.25">
      <c r="A640" s="189"/>
      <c r="B640" s="190"/>
      <c r="C640" s="190"/>
      <c r="D640" s="191"/>
      <c r="E640" s="192"/>
      <c r="F640" s="193"/>
      <c r="G640" s="191"/>
      <c r="H640" s="194"/>
    </row>
    <row r="641" spans="1:8" x14ac:dyDescent="0.25">
      <c r="A641" s="189"/>
      <c r="B641" s="190"/>
      <c r="C641" s="190"/>
      <c r="D641" s="191"/>
      <c r="E641" s="192"/>
      <c r="F641" s="193"/>
      <c r="G641" s="191"/>
      <c r="H641" s="194"/>
    </row>
    <row r="642" spans="1:8" x14ac:dyDescent="0.25">
      <c r="A642" s="189"/>
      <c r="B642" s="190"/>
      <c r="C642" s="190"/>
      <c r="D642" s="191"/>
      <c r="E642" s="192"/>
      <c r="F642" s="193"/>
      <c r="G642" s="191"/>
      <c r="H642" s="194"/>
    </row>
    <row r="643" spans="1:8" x14ac:dyDescent="0.25">
      <c r="A643" s="189"/>
      <c r="B643" s="190"/>
      <c r="C643" s="190"/>
      <c r="D643" s="191"/>
      <c r="E643" s="192"/>
      <c r="F643" s="193"/>
      <c r="G643" s="191"/>
      <c r="H643" s="194"/>
    </row>
    <row r="644" spans="1:8" x14ac:dyDescent="0.25">
      <c r="A644" s="189"/>
      <c r="B644" s="190"/>
      <c r="C644" s="190"/>
      <c r="D644" s="191"/>
      <c r="E644" s="192"/>
      <c r="F644" s="193"/>
      <c r="G644" s="191"/>
      <c r="H644" s="194"/>
    </row>
    <row r="645" spans="1:8" x14ac:dyDescent="0.25">
      <c r="A645" s="189"/>
      <c r="B645" s="190"/>
      <c r="C645" s="190"/>
      <c r="D645" s="191"/>
      <c r="E645" s="192"/>
      <c r="F645" s="193"/>
      <c r="G645" s="191"/>
      <c r="H645" s="194"/>
    </row>
    <row r="646" spans="1:8" x14ac:dyDescent="0.25">
      <c r="A646" s="189"/>
      <c r="B646" s="190"/>
      <c r="C646" s="190"/>
      <c r="D646" s="191"/>
      <c r="E646" s="192"/>
      <c r="F646" s="193"/>
      <c r="G646" s="191"/>
      <c r="H646" s="194"/>
    </row>
    <row r="647" spans="1:8" x14ac:dyDescent="0.25">
      <c r="A647" s="189"/>
      <c r="B647" s="190"/>
      <c r="C647" s="190"/>
      <c r="D647" s="191"/>
      <c r="E647" s="192"/>
      <c r="F647" s="193"/>
      <c r="G647" s="191"/>
      <c r="H647" s="194"/>
    </row>
    <row r="648" spans="1:8" x14ac:dyDescent="0.25">
      <c r="A648" s="189"/>
      <c r="B648" s="190"/>
      <c r="C648" s="190"/>
      <c r="D648" s="191"/>
      <c r="E648" s="192"/>
      <c r="F648" s="193"/>
      <c r="G648" s="191"/>
      <c r="H648" s="194"/>
    </row>
    <row r="649" spans="1:8" x14ac:dyDescent="0.25">
      <c r="A649" s="189"/>
      <c r="B649" s="190"/>
      <c r="C649" s="190"/>
      <c r="D649" s="191"/>
      <c r="E649" s="192"/>
      <c r="F649" s="193"/>
      <c r="G649" s="191"/>
      <c r="H649" s="194"/>
    </row>
    <row r="650" spans="1:8" x14ac:dyDescent="0.25">
      <c r="A650" s="189"/>
      <c r="B650" s="190"/>
      <c r="C650" s="190"/>
      <c r="D650" s="191"/>
      <c r="E650" s="192"/>
      <c r="F650" s="193"/>
      <c r="G650" s="191"/>
      <c r="H650" s="194"/>
    </row>
    <row r="651" spans="1:8" x14ac:dyDescent="0.25">
      <c r="A651" s="189"/>
      <c r="B651" s="190"/>
      <c r="C651" s="190"/>
      <c r="D651" s="191"/>
      <c r="E651" s="192"/>
      <c r="F651" s="193"/>
      <c r="G651" s="191"/>
      <c r="H651" s="194"/>
    </row>
    <row r="652" spans="1:8" x14ac:dyDescent="0.25">
      <c r="A652" s="189"/>
      <c r="B652" s="190"/>
      <c r="C652" s="190"/>
      <c r="D652" s="191"/>
      <c r="E652" s="192"/>
      <c r="F652" s="193"/>
      <c r="G652" s="191"/>
      <c r="H652" s="194"/>
    </row>
    <row r="653" spans="1:8" x14ac:dyDescent="0.25">
      <c r="A653" s="189"/>
      <c r="B653" s="190"/>
      <c r="C653" s="190"/>
      <c r="D653" s="191"/>
      <c r="E653" s="192"/>
      <c r="F653" s="193"/>
      <c r="G653" s="191"/>
      <c r="H653" s="194"/>
    </row>
    <row r="654" spans="1:8" x14ac:dyDescent="0.25">
      <c r="A654" s="189"/>
      <c r="B654" s="190"/>
      <c r="C654" s="190"/>
      <c r="D654" s="191"/>
      <c r="E654" s="192"/>
      <c r="F654" s="193"/>
      <c r="G654" s="191"/>
      <c r="H654" s="194"/>
    </row>
    <row r="655" spans="1:8" x14ac:dyDescent="0.25">
      <c r="A655" s="189"/>
      <c r="B655" s="190"/>
      <c r="C655" s="190"/>
      <c r="D655" s="191"/>
      <c r="E655" s="192"/>
      <c r="F655" s="193"/>
      <c r="G655" s="191"/>
      <c r="H655" s="194"/>
    </row>
    <row r="656" spans="1:8" x14ac:dyDescent="0.25">
      <c r="A656" s="189"/>
      <c r="B656" s="190"/>
      <c r="C656" s="190"/>
      <c r="D656" s="191"/>
      <c r="E656" s="192"/>
      <c r="F656" s="193"/>
      <c r="G656" s="191"/>
      <c r="H656" s="194"/>
    </row>
    <row r="657" spans="1:8" x14ac:dyDescent="0.25">
      <c r="A657" s="189"/>
      <c r="B657" s="190"/>
      <c r="C657" s="190"/>
      <c r="D657" s="191"/>
      <c r="E657" s="192"/>
      <c r="F657" s="193"/>
      <c r="G657" s="191"/>
      <c r="H657" s="194"/>
    </row>
    <row r="658" spans="1:8" x14ac:dyDescent="0.25">
      <c r="A658" s="189"/>
      <c r="B658" s="190"/>
      <c r="C658" s="190"/>
      <c r="D658" s="191"/>
      <c r="E658" s="192"/>
      <c r="F658" s="193"/>
      <c r="G658" s="191"/>
      <c r="H658" s="194"/>
    </row>
    <row r="659" spans="1:8" x14ac:dyDescent="0.25">
      <c r="A659" s="189"/>
      <c r="B659" s="190"/>
      <c r="C659" s="190"/>
      <c r="D659" s="191"/>
      <c r="E659" s="192"/>
      <c r="F659" s="193"/>
      <c r="G659" s="191"/>
      <c r="H659" s="194"/>
    </row>
    <row r="660" spans="1:8" x14ac:dyDescent="0.25">
      <c r="A660" s="189"/>
      <c r="B660" s="190"/>
      <c r="C660" s="190"/>
      <c r="D660" s="191"/>
      <c r="E660" s="192"/>
      <c r="F660" s="193"/>
      <c r="G660" s="191"/>
      <c r="H660" s="194"/>
    </row>
    <row r="661" spans="1:8" x14ac:dyDescent="0.25">
      <c r="A661" s="189"/>
      <c r="B661" s="190"/>
      <c r="C661" s="190"/>
      <c r="D661" s="191"/>
      <c r="E661" s="192"/>
      <c r="F661" s="193"/>
      <c r="G661" s="191"/>
      <c r="H661" s="194"/>
    </row>
    <row r="662" spans="1:8" x14ac:dyDescent="0.25">
      <c r="A662" s="189"/>
      <c r="B662" s="190"/>
      <c r="C662" s="190"/>
      <c r="D662" s="191"/>
      <c r="E662" s="192"/>
      <c r="F662" s="193"/>
      <c r="G662" s="191"/>
      <c r="H662" s="194"/>
    </row>
    <row r="663" spans="1:8" x14ac:dyDescent="0.25">
      <c r="A663" s="189"/>
      <c r="B663" s="190"/>
      <c r="C663" s="190"/>
      <c r="D663" s="191"/>
      <c r="E663" s="192"/>
      <c r="F663" s="193"/>
      <c r="G663" s="191"/>
      <c r="H663" s="194"/>
    </row>
    <row r="664" spans="1:8" x14ac:dyDescent="0.25">
      <c r="A664" s="189"/>
      <c r="B664" s="190"/>
      <c r="C664" s="190"/>
      <c r="D664" s="191"/>
      <c r="E664" s="192"/>
      <c r="F664" s="193"/>
      <c r="G664" s="191"/>
      <c r="H664" s="194"/>
    </row>
    <row r="665" spans="1:8" x14ac:dyDescent="0.25">
      <c r="A665" s="189"/>
      <c r="B665" s="190"/>
      <c r="C665" s="190"/>
      <c r="D665" s="191"/>
      <c r="E665" s="192"/>
      <c r="F665" s="193"/>
      <c r="G665" s="191"/>
      <c r="H665" s="194"/>
    </row>
    <row r="666" spans="1:8" x14ac:dyDescent="0.25">
      <c r="A666" s="189"/>
      <c r="B666" s="190"/>
      <c r="C666" s="190"/>
      <c r="D666" s="191"/>
      <c r="E666" s="192"/>
      <c r="F666" s="193"/>
      <c r="G666" s="191"/>
      <c r="H666" s="194"/>
    </row>
    <row r="667" spans="1:8" x14ac:dyDescent="0.25">
      <c r="A667" s="189"/>
      <c r="B667" s="190"/>
      <c r="C667" s="190"/>
      <c r="D667" s="191"/>
      <c r="E667" s="192"/>
      <c r="F667" s="193"/>
      <c r="G667" s="191"/>
      <c r="H667" s="194"/>
    </row>
    <row r="668" spans="1:8" x14ac:dyDescent="0.25">
      <c r="A668" s="189"/>
      <c r="B668" s="190"/>
      <c r="C668" s="190"/>
      <c r="D668" s="191"/>
      <c r="E668" s="192"/>
      <c r="F668" s="193"/>
      <c r="G668" s="191"/>
      <c r="H668" s="194"/>
    </row>
    <row r="669" spans="1:8" x14ac:dyDescent="0.25">
      <c r="A669" s="189"/>
      <c r="B669" s="190"/>
      <c r="C669" s="190"/>
      <c r="D669" s="191"/>
      <c r="E669" s="192"/>
      <c r="F669" s="193"/>
      <c r="G669" s="191"/>
      <c r="H669" s="194"/>
    </row>
    <row r="670" spans="1:8" x14ac:dyDescent="0.25">
      <c r="A670" s="189"/>
      <c r="B670" s="190"/>
      <c r="C670" s="190"/>
      <c r="D670" s="191"/>
      <c r="E670" s="192"/>
      <c r="F670" s="193"/>
      <c r="G670" s="191"/>
      <c r="H670" s="194"/>
    </row>
    <row r="671" spans="1:8" x14ac:dyDescent="0.25">
      <c r="A671" s="189"/>
      <c r="B671" s="190"/>
      <c r="C671" s="190"/>
      <c r="D671" s="191"/>
      <c r="E671" s="192"/>
      <c r="F671" s="193"/>
      <c r="G671" s="191"/>
      <c r="H671" s="194"/>
    </row>
    <row r="672" spans="1:8" x14ac:dyDescent="0.25">
      <c r="A672" s="189"/>
      <c r="B672" s="190"/>
      <c r="C672" s="190"/>
      <c r="D672" s="191"/>
      <c r="E672" s="192"/>
      <c r="F672" s="193"/>
      <c r="G672" s="191"/>
      <c r="H672" s="194"/>
    </row>
    <row r="673" spans="1:8" x14ac:dyDescent="0.25">
      <c r="A673" s="189"/>
      <c r="B673" s="190"/>
      <c r="C673" s="190"/>
      <c r="D673" s="191"/>
      <c r="E673" s="192"/>
      <c r="F673" s="193"/>
      <c r="G673" s="191"/>
      <c r="H673" s="194"/>
    </row>
    <row r="674" spans="1:8" x14ac:dyDescent="0.25">
      <c r="A674" s="189"/>
      <c r="B674" s="190"/>
      <c r="C674" s="190"/>
      <c r="D674" s="191"/>
      <c r="E674" s="192"/>
      <c r="F674" s="193"/>
      <c r="G674" s="191"/>
      <c r="H674" s="194"/>
    </row>
    <row r="675" spans="1:8" x14ac:dyDescent="0.25">
      <c r="A675" s="189"/>
      <c r="B675" s="190"/>
      <c r="C675" s="190"/>
      <c r="D675" s="191"/>
      <c r="E675" s="192"/>
      <c r="F675" s="193"/>
      <c r="G675" s="191"/>
      <c r="H675" s="194"/>
    </row>
    <row r="676" spans="1:8" x14ac:dyDescent="0.25">
      <c r="A676" s="189"/>
      <c r="B676" s="190"/>
      <c r="C676" s="190"/>
      <c r="D676" s="191"/>
      <c r="E676" s="192"/>
      <c r="F676" s="193"/>
      <c r="G676" s="191"/>
      <c r="H676" s="194"/>
    </row>
    <row r="677" spans="1:8" x14ac:dyDescent="0.25">
      <c r="A677" s="189"/>
      <c r="B677" s="190"/>
      <c r="C677" s="190"/>
      <c r="D677" s="191"/>
      <c r="E677" s="192"/>
      <c r="F677" s="193"/>
      <c r="G677" s="191"/>
      <c r="H677" s="194"/>
    </row>
    <row r="678" spans="1:8" x14ac:dyDescent="0.25">
      <c r="A678" s="189"/>
      <c r="B678" s="190"/>
      <c r="C678" s="190"/>
      <c r="D678" s="191"/>
      <c r="E678" s="192"/>
      <c r="F678" s="193"/>
      <c r="G678" s="191"/>
      <c r="H678" s="194"/>
    </row>
    <row r="679" spans="1:8" x14ac:dyDescent="0.25">
      <c r="A679" s="189"/>
      <c r="B679" s="190"/>
      <c r="C679" s="190"/>
      <c r="D679" s="191"/>
      <c r="E679" s="192"/>
      <c r="F679" s="193"/>
      <c r="G679" s="191"/>
      <c r="H679" s="194"/>
    </row>
    <row r="680" spans="1:8" x14ac:dyDescent="0.25">
      <c r="A680" s="189"/>
      <c r="B680" s="190"/>
      <c r="C680" s="190"/>
      <c r="D680" s="191"/>
      <c r="E680" s="192"/>
      <c r="F680" s="193"/>
      <c r="G680" s="191"/>
      <c r="H680" s="194"/>
    </row>
    <row r="681" spans="1:8" x14ac:dyDescent="0.25">
      <c r="A681" s="189"/>
      <c r="B681" s="190"/>
      <c r="C681" s="190"/>
      <c r="D681" s="191"/>
      <c r="E681" s="192"/>
      <c r="F681" s="193"/>
      <c r="G681" s="191"/>
      <c r="H681" s="194"/>
    </row>
    <row r="682" spans="1:8" x14ac:dyDescent="0.25">
      <c r="A682" s="189"/>
      <c r="B682" s="190"/>
      <c r="C682" s="190"/>
      <c r="D682" s="191"/>
      <c r="E682" s="192"/>
      <c r="F682" s="193"/>
      <c r="G682" s="191"/>
      <c r="H682" s="194"/>
    </row>
    <row r="683" spans="1:8" x14ac:dyDescent="0.25">
      <c r="A683" s="189"/>
      <c r="B683" s="190"/>
      <c r="C683" s="190"/>
      <c r="D683" s="191"/>
      <c r="E683" s="192"/>
      <c r="F683" s="193"/>
      <c r="G683" s="191"/>
      <c r="H683" s="194"/>
    </row>
    <row r="684" spans="1:8" x14ac:dyDescent="0.25">
      <c r="A684" s="189"/>
      <c r="B684" s="190"/>
      <c r="C684" s="190"/>
      <c r="D684" s="191"/>
      <c r="E684" s="192"/>
      <c r="F684" s="193"/>
      <c r="G684" s="191"/>
      <c r="H684" s="194"/>
    </row>
    <row r="685" spans="1:8" x14ac:dyDescent="0.25">
      <c r="A685" s="189"/>
      <c r="B685" s="190"/>
      <c r="C685" s="190"/>
      <c r="D685" s="191"/>
      <c r="E685" s="192"/>
      <c r="F685" s="193"/>
      <c r="G685" s="191"/>
      <c r="H685" s="194"/>
    </row>
    <row r="686" spans="1:8" x14ac:dyDescent="0.25">
      <c r="A686" s="189"/>
      <c r="B686" s="190"/>
      <c r="C686" s="190"/>
      <c r="D686" s="191"/>
      <c r="E686" s="192"/>
      <c r="F686" s="193"/>
      <c r="G686" s="191"/>
      <c r="H686" s="194"/>
    </row>
    <row r="687" spans="1:8" x14ac:dyDescent="0.25">
      <c r="A687" s="189"/>
      <c r="B687" s="190"/>
      <c r="C687" s="190"/>
      <c r="D687" s="191"/>
      <c r="E687" s="192"/>
      <c r="F687" s="193"/>
      <c r="G687" s="191"/>
      <c r="H687" s="194"/>
    </row>
    <row r="688" spans="1:8" x14ac:dyDescent="0.25">
      <c r="A688" s="189"/>
      <c r="B688" s="190"/>
      <c r="C688" s="190"/>
      <c r="D688" s="191"/>
      <c r="E688" s="192"/>
      <c r="F688" s="193"/>
      <c r="G688" s="191"/>
      <c r="H688" s="194"/>
    </row>
    <row r="689" spans="1:8" x14ac:dyDescent="0.25">
      <c r="A689" s="189"/>
      <c r="B689" s="190"/>
      <c r="C689" s="190"/>
      <c r="D689" s="191"/>
      <c r="E689" s="192"/>
      <c r="F689" s="193"/>
      <c r="G689" s="191"/>
      <c r="H689" s="194"/>
    </row>
    <row r="690" spans="1:8" x14ac:dyDescent="0.25">
      <c r="A690" s="189"/>
      <c r="B690" s="190"/>
      <c r="C690" s="190"/>
      <c r="D690" s="191"/>
      <c r="E690" s="192"/>
      <c r="F690" s="193"/>
      <c r="G690" s="191"/>
      <c r="H690" s="194"/>
    </row>
    <row r="691" spans="1:8" x14ac:dyDescent="0.25">
      <c r="A691" s="189"/>
      <c r="B691" s="190"/>
      <c r="C691" s="190"/>
      <c r="D691" s="191"/>
      <c r="E691" s="192"/>
      <c r="F691" s="193"/>
      <c r="G691" s="191"/>
      <c r="H691" s="194"/>
    </row>
    <row r="692" spans="1:8" x14ac:dyDescent="0.25">
      <c r="A692" s="189"/>
      <c r="B692" s="190"/>
      <c r="C692" s="190"/>
      <c r="D692" s="191"/>
      <c r="E692" s="192"/>
      <c r="F692" s="193"/>
      <c r="G692" s="191"/>
      <c r="H692" s="194"/>
    </row>
    <row r="693" spans="1:8" x14ac:dyDescent="0.25">
      <c r="A693" s="189"/>
      <c r="B693" s="190"/>
      <c r="C693" s="190"/>
      <c r="D693" s="191"/>
      <c r="E693" s="192"/>
      <c r="F693" s="193"/>
      <c r="G693" s="191"/>
      <c r="H693" s="194"/>
    </row>
    <row r="694" spans="1:8" x14ac:dyDescent="0.25">
      <c r="A694" s="189"/>
      <c r="B694" s="190"/>
      <c r="C694" s="190"/>
      <c r="D694" s="191"/>
      <c r="E694" s="192"/>
      <c r="F694" s="193"/>
      <c r="G694" s="191"/>
      <c r="H694" s="194"/>
    </row>
    <row r="695" spans="1:8" x14ac:dyDescent="0.25">
      <c r="A695" s="189"/>
      <c r="B695" s="190"/>
      <c r="C695" s="190"/>
      <c r="D695" s="191"/>
      <c r="E695" s="192"/>
      <c r="F695" s="193"/>
      <c r="G695" s="191"/>
      <c r="H695" s="194"/>
    </row>
    <row r="696" spans="1:8" x14ac:dyDescent="0.25">
      <c r="A696" s="189"/>
      <c r="B696" s="190"/>
      <c r="C696" s="190"/>
      <c r="D696" s="191"/>
      <c r="E696" s="192"/>
      <c r="F696" s="193"/>
      <c r="G696" s="191"/>
      <c r="H696" s="194"/>
    </row>
    <row r="697" spans="1:8" x14ac:dyDescent="0.25">
      <c r="A697" s="189"/>
      <c r="B697" s="190"/>
      <c r="C697" s="190"/>
      <c r="D697" s="191"/>
      <c r="E697" s="192"/>
      <c r="F697" s="193"/>
      <c r="G697" s="191"/>
      <c r="H697" s="194"/>
    </row>
    <row r="698" spans="1:8" x14ac:dyDescent="0.25">
      <c r="A698" s="189"/>
      <c r="B698" s="190"/>
      <c r="C698" s="190"/>
      <c r="D698" s="191"/>
      <c r="E698" s="192"/>
      <c r="F698" s="193"/>
      <c r="G698" s="191"/>
      <c r="H698" s="194"/>
    </row>
    <row r="699" spans="1:8" x14ac:dyDescent="0.25">
      <c r="A699" s="189"/>
      <c r="B699" s="190"/>
      <c r="C699" s="190"/>
      <c r="D699" s="191"/>
      <c r="E699" s="192"/>
      <c r="F699" s="193"/>
      <c r="G699" s="191"/>
      <c r="H699" s="194"/>
    </row>
    <row r="700" spans="1:8" x14ac:dyDescent="0.25">
      <c r="A700" s="189"/>
      <c r="B700" s="190"/>
      <c r="C700" s="190"/>
      <c r="D700" s="191"/>
      <c r="E700" s="192"/>
      <c r="F700" s="193"/>
      <c r="G700" s="191"/>
      <c r="H700" s="194"/>
    </row>
    <row r="701" spans="1:8" x14ac:dyDescent="0.25">
      <c r="A701" s="189"/>
      <c r="B701" s="190"/>
      <c r="C701" s="190"/>
      <c r="D701" s="191"/>
      <c r="E701" s="192"/>
      <c r="F701" s="193"/>
      <c r="G701" s="191"/>
      <c r="H701" s="194"/>
    </row>
    <row r="702" spans="1:8" x14ac:dyDescent="0.25">
      <c r="A702" s="189"/>
      <c r="B702" s="190"/>
      <c r="C702" s="190"/>
      <c r="D702" s="191"/>
      <c r="E702" s="192"/>
      <c r="F702" s="193"/>
      <c r="G702" s="191"/>
      <c r="H702" s="194"/>
    </row>
    <row r="703" spans="1:8" x14ac:dyDescent="0.25">
      <c r="A703" s="189"/>
      <c r="B703" s="190"/>
      <c r="C703" s="190"/>
      <c r="D703" s="191"/>
      <c r="E703" s="192"/>
      <c r="F703" s="193"/>
      <c r="G703" s="191"/>
      <c r="H703" s="194"/>
    </row>
    <row r="704" spans="1:8" x14ac:dyDescent="0.25">
      <c r="A704" s="189"/>
      <c r="B704" s="190"/>
      <c r="C704" s="190"/>
      <c r="D704" s="191"/>
      <c r="E704" s="192"/>
      <c r="F704" s="193"/>
      <c r="G704" s="191"/>
      <c r="H704" s="194"/>
    </row>
    <row r="705" spans="1:8" x14ac:dyDescent="0.25">
      <c r="A705" s="189"/>
      <c r="B705" s="190"/>
      <c r="C705" s="190"/>
      <c r="D705" s="191"/>
      <c r="E705" s="192"/>
      <c r="F705" s="193"/>
      <c r="G705" s="191"/>
      <c r="H705" s="194"/>
    </row>
    <row r="706" spans="1:8" x14ac:dyDescent="0.25">
      <c r="A706" s="189"/>
      <c r="B706" s="190"/>
      <c r="C706" s="190"/>
      <c r="D706" s="191"/>
      <c r="E706" s="192"/>
      <c r="F706" s="193"/>
      <c r="G706" s="191"/>
      <c r="H706" s="194"/>
    </row>
    <row r="707" spans="1:8" x14ac:dyDescent="0.25">
      <c r="A707" s="189"/>
      <c r="B707" s="190"/>
      <c r="C707" s="190"/>
      <c r="D707" s="191"/>
      <c r="E707" s="192"/>
      <c r="F707" s="193"/>
      <c r="G707" s="191"/>
      <c r="H707" s="194"/>
    </row>
    <row r="708" spans="1:8" x14ac:dyDescent="0.25">
      <c r="A708" s="189"/>
      <c r="B708" s="190"/>
      <c r="C708" s="190"/>
      <c r="D708" s="191"/>
      <c r="E708" s="192"/>
      <c r="F708" s="193"/>
      <c r="G708" s="191"/>
      <c r="H708" s="194"/>
    </row>
    <row r="709" spans="1:8" x14ac:dyDescent="0.25">
      <c r="A709" s="189"/>
      <c r="B709" s="190"/>
      <c r="C709" s="190"/>
      <c r="D709" s="191"/>
      <c r="E709" s="192"/>
      <c r="F709" s="193"/>
      <c r="G709" s="191"/>
      <c r="H709" s="194"/>
    </row>
    <row r="710" spans="1:8" x14ac:dyDescent="0.25">
      <c r="A710" s="189"/>
      <c r="B710" s="190"/>
      <c r="C710" s="190"/>
      <c r="D710" s="191"/>
      <c r="E710" s="192"/>
      <c r="F710" s="193"/>
      <c r="G710" s="191"/>
      <c r="H710" s="194"/>
    </row>
    <row r="711" spans="1:8" x14ac:dyDescent="0.25">
      <c r="A711" s="189"/>
      <c r="B711" s="190"/>
      <c r="C711" s="190"/>
      <c r="D711" s="191"/>
      <c r="E711" s="192"/>
      <c r="F711" s="193"/>
      <c r="G711" s="191"/>
      <c r="H711" s="194"/>
    </row>
    <row r="712" spans="1:8" x14ac:dyDescent="0.25">
      <c r="A712" s="189"/>
      <c r="B712" s="190"/>
      <c r="C712" s="190"/>
      <c r="D712" s="191"/>
      <c r="E712" s="192"/>
      <c r="F712" s="193"/>
      <c r="G712" s="191"/>
      <c r="H712" s="194"/>
    </row>
    <row r="713" spans="1:8" x14ac:dyDescent="0.25">
      <c r="A713" s="189"/>
      <c r="B713" s="190"/>
      <c r="C713" s="190"/>
      <c r="D713" s="191"/>
      <c r="E713" s="192"/>
      <c r="F713" s="193"/>
      <c r="G713" s="191"/>
      <c r="H713" s="194"/>
    </row>
    <row r="714" spans="1:8" x14ac:dyDescent="0.25">
      <c r="A714" s="189"/>
      <c r="B714" s="190"/>
      <c r="C714" s="190"/>
      <c r="D714" s="191"/>
      <c r="E714" s="192"/>
      <c r="F714" s="193"/>
      <c r="G714" s="191"/>
      <c r="H714" s="194"/>
    </row>
    <row r="715" spans="1:8" x14ac:dyDescent="0.25">
      <c r="A715" s="189"/>
      <c r="B715" s="190"/>
      <c r="C715" s="190"/>
      <c r="D715" s="191"/>
      <c r="E715" s="192"/>
      <c r="F715" s="193"/>
      <c r="G715" s="191"/>
      <c r="H715" s="194"/>
    </row>
    <row r="716" spans="1:8" x14ac:dyDescent="0.25">
      <c r="A716" s="189"/>
      <c r="B716" s="190"/>
      <c r="C716" s="190"/>
      <c r="D716" s="191"/>
      <c r="E716" s="192"/>
      <c r="F716" s="193"/>
      <c r="G716" s="191"/>
      <c r="H716" s="194"/>
    </row>
    <row r="717" spans="1:8" x14ac:dyDescent="0.25">
      <c r="A717" s="189"/>
      <c r="B717" s="190"/>
      <c r="C717" s="190"/>
      <c r="D717" s="191"/>
      <c r="E717" s="192"/>
      <c r="F717" s="193"/>
      <c r="G717" s="191"/>
      <c r="H717" s="194"/>
    </row>
    <row r="718" spans="1:8" x14ac:dyDescent="0.25">
      <c r="A718" s="189"/>
      <c r="B718" s="190"/>
      <c r="C718" s="190"/>
      <c r="D718" s="191"/>
      <c r="E718" s="192"/>
      <c r="F718" s="193"/>
      <c r="G718" s="191"/>
      <c r="H718" s="194"/>
    </row>
    <row r="719" spans="1:8" x14ac:dyDescent="0.25">
      <c r="A719" s="189"/>
      <c r="B719" s="190"/>
      <c r="C719" s="190"/>
      <c r="D719" s="191"/>
      <c r="E719" s="192"/>
      <c r="F719" s="193"/>
      <c r="G719" s="191"/>
      <c r="H719" s="194"/>
    </row>
    <row r="720" spans="1:8" x14ac:dyDescent="0.25">
      <c r="A720" s="189"/>
      <c r="B720" s="190"/>
      <c r="C720" s="190"/>
      <c r="D720" s="191"/>
      <c r="E720" s="192"/>
      <c r="F720" s="193"/>
      <c r="G720" s="191"/>
      <c r="H720" s="194"/>
    </row>
    <row r="721" spans="1:8" x14ac:dyDescent="0.25">
      <c r="A721" s="189"/>
      <c r="B721" s="190"/>
      <c r="C721" s="190"/>
      <c r="D721" s="191"/>
      <c r="E721" s="192"/>
      <c r="F721" s="193"/>
      <c r="G721" s="191"/>
      <c r="H721" s="194"/>
    </row>
    <row r="722" spans="1:8" x14ac:dyDescent="0.25">
      <c r="A722" s="189"/>
      <c r="B722" s="190"/>
      <c r="C722" s="190"/>
      <c r="D722" s="191"/>
      <c r="E722" s="192"/>
      <c r="F722" s="193"/>
      <c r="G722" s="191"/>
      <c r="H722" s="194"/>
    </row>
    <row r="723" spans="1:8" x14ac:dyDescent="0.25">
      <c r="A723" s="189"/>
      <c r="B723" s="190"/>
      <c r="C723" s="190"/>
      <c r="D723" s="191"/>
      <c r="E723" s="192"/>
      <c r="F723" s="193"/>
      <c r="G723" s="191"/>
      <c r="H723" s="194"/>
    </row>
    <row r="724" spans="1:8" x14ac:dyDescent="0.25">
      <c r="A724" s="189"/>
      <c r="B724" s="190"/>
      <c r="C724" s="190"/>
      <c r="D724" s="191"/>
      <c r="E724" s="192"/>
      <c r="F724" s="193"/>
      <c r="G724" s="191"/>
      <c r="H724" s="194"/>
    </row>
    <row r="725" spans="1:8" x14ac:dyDescent="0.25">
      <c r="A725" s="189"/>
      <c r="B725" s="190"/>
      <c r="C725" s="190"/>
      <c r="D725" s="191"/>
      <c r="E725" s="192"/>
      <c r="F725" s="193"/>
      <c r="G725" s="191"/>
      <c r="H725" s="194"/>
    </row>
    <row r="726" spans="1:8" x14ac:dyDescent="0.25">
      <c r="A726" s="189"/>
      <c r="B726" s="190"/>
      <c r="C726" s="190"/>
      <c r="D726" s="191"/>
      <c r="E726" s="192"/>
      <c r="F726" s="193"/>
      <c r="G726" s="191"/>
      <c r="H726" s="194"/>
    </row>
    <row r="727" spans="1:8" x14ac:dyDescent="0.25">
      <c r="A727" s="189"/>
      <c r="B727" s="190"/>
      <c r="C727" s="190"/>
      <c r="D727" s="191"/>
      <c r="E727" s="192"/>
      <c r="F727" s="193"/>
      <c r="G727" s="191"/>
      <c r="H727" s="194"/>
    </row>
    <row r="728" spans="1:8" x14ac:dyDescent="0.25">
      <c r="A728" s="189"/>
      <c r="B728" s="190"/>
      <c r="C728" s="190"/>
      <c r="D728" s="191"/>
      <c r="E728" s="192"/>
      <c r="F728" s="193"/>
      <c r="G728" s="191"/>
      <c r="H728" s="194"/>
    </row>
    <row r="729" spans="1:8" x14ac:dyDescent="0.25">
      <c r="A729" s="189"/>
      <c r="B729" s="190"/>
      <c r="C729" s="190"/>
      <c r="D729" s="191"/>
      <c r="E729" s="192"/>
      <c r="F729" s="193"/>
      <c r="G729" s="191"/>
      <c r="H729" s="194"/>
    </row>
    <row r="730" spans="1:8" x14ac:dyDescent="0.25">
      <c r="A730" s="189"/>
      <c r="B730" s="190"/>
      <c r="C730" s="190"/>
      <c r="D730" s="191"/>
      <c r="E730" s="192"/>
      <c r="F730" s="193"/>
      <c r="G730" s="191"/>
      <c r="H730" s="194"/>
    </row>
    <row r="731" spans="1:8" x14ac:dyDescent="0.25">
      <c r="A731" s="189"/>
      <c r="B731" s="190"/>
      <c r="C731" s="190"/>
      <c r="D731" s="191"/>
      <c r="E731" s="192"/>
      <c r="F731" s="193"/>
      <c r="G731" s="191"/>
      <c r="H731" s="194"/>
    </row>
    <row r="732" spans="1:8" x14ac:dyDescent="0.25">
      <c r="A732" s="189"/>
      <c r="B732" s="190"/>
      <c r="C732" s="190"/>
      <c r="D732" s="191"/>
      <c r="E732" s="192"/>
      <c r="F732" s="193"/>
      <c r="G732" s="191"/>
      <c r="H732" s="194"/>
    </row>
    <row r="733" spans="1:8" x14ac:dyDescent="0.25">
      <c r="A733" s="189"/>
      <c r="B733" s="190"/>
      <c r="C733" s="190"/>
      <c r="D733" s="191"/>
      <c r="E733" s="192"/>
      <c r="F733" s="193"/>
      <c r="G733" s="191"/>
      <c r="H733" s="194"/>
    </row>
    <row r="734" spans="1:8" x14ac:dyDescent="0.25">
      <c r="A734" s="189"/>
      <c r="B734" s="190"/>
      <c r="C734" s="190"/>
      <c r="D734" s="191"/>
      <c r="E734" s="192"/>
      <c r="F734" s="193"/>
      <c r="G734" s="191"/>
      <c r="H734" s="194"/>
    </row>
    <row r="735" spans="1:8" x14ac:dyDescent="0.25">
      <c r="A735" s="189"/>
      <c r="B735" s="190"/>
      <c r="C735" s="190"/>
      <c r="D735" s="191"/>
      <c r="E735" s="192"/>
      <c r="F735" s="193"/>
      <c r="G735" s="191"/>
      <c r="H735" s="194"/>
    </row>
    <row r="736" spans="1:8" x14ac:dyDescent="0.25">
      <c r="A736" s="189"/>
      <c r="B736" s="190"/>
      <c r="C736" s="190"/>
      <c r="D736" s="191"/>
      <c r="E736" s="192"/>
      <c r="F736" s="193"/>
      <c r="G736" s="191"/>
      <c r="H736" s="194"/>
    </row>
    <row r="737" spans="1:8" x14ac:dyDescent="0.25">
      <c r="A737" s="189"/>
      <c r="B737" s="190"/>
      <c r="C737" s="190"/>
      <c r="D737" s="191"/>
      <c r="E737" s="192"/>
      <c r="F737" s="193"/>
      <c r="G737" s="191"/>
      <c r="H737" s="194"/>
    </row>
    <row r="738" spans="1:8" x14ac:dyDescent="0.25">
      <c r="A738" s="189"/>
      <c r="B738" s="190"/>
      <c r="C738" s="190"/>
      <c r="D738" s="191"/>
      <c r="E738" s="192"/>
      <c r="F738" s="193"/>
      <c r="G738" s="191"/>
      <c r="H738" s="194"/>
    </row>
    <row r="739" spans="1:8" x14ac:dyDescent="0.25">
      <c r="A739" s="189"/>
      <c r="B739" s="190"/>
      <c r="C739" s="190"/>
      <c r="D739" s="191"/>
      <c r="E739" s="192"/>
      <c r="F739" s="193"/>
      <c r="G739" s="191"/>
      <c r="H739" s="194"/>
    </row>
    <row r="740" spans="1:8" x14ac:dyDescent="0.25">
      <c r="A740" s="189"/>
      <c r="B740" s="190"/>
      <c r="C740" s="190"/>
      <c r="D740" s="191"/>
      <c r="E740" s="192"/>
      <c r="F740" s="193"/>
      <c r="G740" s="191"/>
      <c r="H740" s="194"/>
    </row>
    <row r="741" spans="1:8" x14ac:dyDescent="0.25">
      <c r="A741" s="189"/>
      <c r="B741" s="190"/>
      <c r="C741" s="190"/>
      <c r="D741" s="191"/>
      <c r="E741" s="192"/>
      <c r="F741" s="193"/>
      <c r="G741" s="191"/>
      <c r="H741" s="194"/>
    </row>
    <row r="742" spans="1:8" x14ac:dyDescent="0.25">
      <c r="A742" s="189"/>
      <c r="B742" s="190"/>
      <c r="C742" s="190"/>
      <c r="D742" s="191"/>
      <c r="E742" s="192"/>
      <c r="F742" s="193"/>
      <c r="G742" s="191"/>
      <c r="H742" s="194"/>
    </row>
    <row r="743" spans="1:8" x14ac:dyDescent="0.25">
      <c r="A743" s="189"/>
      <c r="B743" s="190"/>
      <c r="C743" s="190"/>
      <c r="D743" s="191"/>
      <c r="E743" s="192"/>
      <c r="F743" s="193"/>
      <c r="G743" s="191"/>
      <c r="H743" s="194"/>
    </row>
    <row r="744" spans="1:8" x14ac:dyDescent="0.25">
      <c r="A744" s="189"/>
      <c r="B744" s="190"/>
      <c r="C744" s="190"/>
      <c r="D744" s="191"/>
      <c r="E744" s="192"/>
      <c r="F744" s="193"/>
      <c r="G744" s="191"/>
      <c r="H744" s="194"/>
    </row>
    <row r="745" spans="1:8" x14ac:dyDescent="0.25">
      <c r="A745" s="189"/>
      <c r="B745" s="190"/>
      <c r="C745" s="190"/>
      <c r="D745" s="191"/>
      <c r="E745" s="192"/>
      <c r="F745" s="193"/>
      <c r="G745" s="191"/>
      <c r="H745" s="194"/>
    </row>
    <row r="746" spans="1:8" x14ac:dyDescent="0.25">
      <c r="A746" s="189"/>
      <c r="B746" s="190"/>
      <c r="C746" s="190"/>
      <c r="D746" s="191"/>
      <c r="E746" s="192"/>
      <c r="F746" s="193"/>
      <c r="G746" s="191"/>
      <c r="H746" s="194"/>
    </row>
    <row r="747" spans="1:8" x14ac:dyDescent="0.25">
      <c r="A747" s="189"/>
      <c r="B747" s="190"/>
      <c r="C747" s="190"/>
      <c r="D747" s="191"/>
      <c r="E747" s="192"/>
      <c r="F747" s="193"/>
      <c r="G747" s="191"/>
      <c r="H747" s="194"/>
    </row>
    <row r="748" spans="1:8" x14ac:dyDescent="0.25">
      <c r="A748" s="189"/>
      <c r="B748" s="190"/>
      <c r="C748" s="190"/>
      <c r="D748" s="191"/>
      <c r="E748" s="192"/>
      <c r="F748" s="193"/>
      <c r="G748" s="191"/>
      <c r="H748" s="194"/>
    </row>
    <row r="749" spans="1:8" x14ac:dyDescent="0.25">
      <c r="A749" s="189"/>
      <c r="B749" s="190"/>
      <c r="C749" s="190"/>
      <c r="D749" s="191"/>
      <c r="E749" s="192"/>
      <c r="F749" s="193"/>
      <c r="G749" s="191"/>
      <c r="H749" s="194"/>
    </row>
    <row r="750" spans="1:8" x14ac:dyDescent="0.25">
      <c r="A750" s="189"/>
      <c r="B750" s="190"/>
      <c r="C750" s="190"/>
      <c r="D750" s="191"/>
      <c r="E750" s="192"/>
      <c r="F750" s="193"/>
      <c r="G750" s="191"/>
      <c r="H750" s="194"/>
    </row>
    <row r="751" spans="1:8" x14ac:dyDescent="0.25">
      <c r="A751" s="189"/>
      <c r="B751" s="190"/>
      <c r="C751" s="190"/>
      <c r="D751" s="191"/>
      <c r="E751" s="192"/>
      <c r="F751" s="193"/>
      <c r="G751" s="191"/>
      <c r="H751" s="194"/>
    </row>
    <row r="752" spans="1:8" x14ac:dyDescent="0.25">
      <c r="A752" s="189"/>
      <c r="B752" s="190"/>
      <c r="C752" s="190"/>
      <c r="D752" s="191"/>
      <c r="E752" s="192"/>
      <c r="F752" s="193"/>
      <c r="G752" s="191"/>
      <c r="H752" s="194"/>
    </row>
    <row r="753" spans="1:8" x14ac:dyDescent="0.25">
      <c r="A753" s="189"/>
      <c r="B753" s="190"/>
      <c r="C753" s="190"/>
      <c r="D753" s="191"/>
      <c r="E753" s="192"/>
      <c r="F753" s="193"/>
      <c r="G753" s="191"/>
      <c r="H753" s="194"/>
    </row>
    <row r="754" spans="1:8" x14ac:dyDescent="0.25">
      <c r="A754" s="189"/>
      <c r="B754" s="190"/>
      <c r="C754" s="190"/>
      <c r="D754" s="191"/>
      <c r="E754" s="192"/>
      <c r="F754" s="193"/>
      <c r="G754" s="191"/>
      <c r="H754" s="194"/>
    </row>
    <row r="755" spans="1:8" x14ac:dyDescent="0.25">
      <c r="A755" s="189"/>
      <c r="B755" s="190"/>
      <c r="C755" s="190"/>
      <c r="D755" s="191"/>
      <c r="E755" s="192"/>
      <c r="F755" s="193"/>
      <c r="G755" s="191"/>
      <c r="H755" s="194"/>
    </row>
    <row r="756" spans="1:8" x14ac:dyDescent="0.25">
      <c r="A756" s="189"/>
      <c r="B756" s="190"/>
      <c r="C756" s="190"/>
      <c r="D756" s="191"/>
      <c r="E756" s="192"/>
      <c r="F756" s="193"/>
      <c r="G756" s="191"/>
      <c r="H756" s="194"/>
    </row>
    <row r="757" spans="1:8" x14ac:dyDescent="0.25">
      <c r="A757" s="189"/>
      <c r="B757" s="190"/>
      <c r="C757" s="190"/>
      <c r="D757" s="191"/>
      <c r="E757" s="192"/>
      <c r="F757" s="193"/>
      <c r="G757" s="191"/>
      <c r="H757" s="194"/>
    </row>
    <row r="758" spans="1:8" x14ac:dyDescent="0.25">
      <c r="A758" s="189"/>
      <c r="B758" s="190"/>
      <c r="C758" s="190"/>
      <c r="D758" s="191"/>
      <c r="E758" s="192"/>
      <c r="F758" s="193"/>
      <c r="G758" s="191"/>
      <c r="H758" s="194"/>
    </row>
    <row r="759" spans="1:8" x14ac:dyDescent="0.25">
      <c r="A759" s="189"/>
      <c r="B759" s="190"/>
      <c r="C759" s="190"/>
      <c r="D759" s="191"/>
      <c r="E759" s="192"/>
      <c r="F759" s="193"/>
      <c r="G759" s="191"/>
      <c r="H759" s="194"/>
    </row>
    <row r="760" spans="1:8" x14ac:dyDescent="0.25">
      <c r="A760" s="189"/>
      <c r="B760" s="190"/>
      <c r="C760" s="190"/>
      <c r="D760" s="191"/>
      <c r="E760" s="192"/>
      <c r="F760" s="193"/>
      <c r="G760" s="191"/>
      <c r="H760" s="194"/>
    </row>
    <row r="761" spans="1:8" x14ac:dyDescent="0.25">
      <c r="A761" s="189"/>
      <c r="B761" s="190"/>
      <c r="C761" s="190"/>
      <c r="D761" s="191"/>
      <c r="E761" s="192"/>
      <c r="F761" s="193"/>
      <c r="G761" s="191"/>
      <c r="H761" s="194"/>
    </row>
    <row r="762" spans="1:8" x14ac:dyDescent="0.25">
      <c r="A762" s="189"/>
      <c r="B762" s="190"/>
      <c r="C762" s="190"/>
      <c r="D762" s="191"/>
      <c r="E762" s="192"/>
      <c r="F762" s="193"/>
      <c r="G762" s="191"/>
      <c r="H762" s="194"/>
    </row>
    <row r="763" spans="1:8" x14ac:dyDescent="0.25">
      <c r="A763" s="189"/>
      <c r="B763" s="190"/>
      <c r="C763" s="190"/>
      <c r="D763" s="191"/>
      <c r="E763" s="192"/>
      <c r="F763" s="193"/>
      <c r="G763" s="191"/>
      <c r="H763" s="194"/>
    </row>
    <row r="764" spans="1:8" x14ac:dyDescent="0.25">
      <c r="A764" s="189"/>
      <c r="B764" s="190"/>
      <c r="C764" s="190"/>
      <c r="D764" s="191"/>
      <c r="E764" s="192"/>
      <c r="F764" s="193"/>
      <c r="G764" s="191"/>
      <c r="H764" s="194"/>
    </row>
    <row r="765" spans="1:8" x14ac:dyDescent="0.25">
      <c r="A765" s="189"/>
      <c r="B765" s="190"/>
      <c r="C765" s="190"/>
      <c r="D765" s="191"/>
      <c r="E765" s="192"/>
      <c r="F765" s="193"/>
      <c r="G765" s="191"/>
      <c r="H765" s="194"/>
    </row>
    <row r="766" spans="1:8" x14ac:dyDescent="0.25">
      <c r="A766" s="189"/>
      <c r="B766" s="190"/>
      <c r="C766" s="190"/>
      <c r="D766" s="191"/>
      <c r="E766" s="192"/>
      <c r="F766" s="193"/>
      <c r="G766" s="191"/>
      <c r="H766" s="194"/>
    </row>
    <row r="767" spans="1:8" x14ac:dyDescent="0.25">
      <c r="A767" s="189"/>
      <c r="B767" s="190"/>
      <c r="C767" s="190"/>
      <c r="D767" s="191"/>
      <c r="E767" s="192"/>
      <c r="F767" s="193"/>
      <c r="G767" s="191"/>
      <c r="H767" s="194"/>
    </row>
    <row r="768" spans="1:8" x14ac:dyDescent="0.25">
      <c r="A768" s="189"/>
      <c r="B768" s="190"/>
      <c r="C768" s="190"/>
      <c r="D768" s="191"/>
      <c r="E768" s="192"/>
      <c r="F768" s="193"/>
      <c r="G768" s="191"/>
      <c r="H768" s="194"/>
    </row>
    <row r="769" spans="1:8" x14ac:dyDescent="0.25">
      <c r="A769" s="189"/>
      <c r="B769" s="190"/>
      <c r="C769" s="190"/>
      <c r="D769" s="191"/>
      <c r="E769" s="192"/>
      <c r="F769" s="193"/>
      <c r="G769" s="191"/>
      <c r="H769" s="194"/>
    </row>
    <row r="770" spans="1:8" x14ac:dyDescent="0.25">
      <c r="A770" s="189"/>
      <c r="B770" s="190"/>
      <c r="C770" s="190"/>
      <c r="D770" s="191"/>
      <c r="E770" s="192"/>
      <c r="F770" s="193"/>
      <c r="G770" s="191"/>
      <c r="H770" s="194"/>
    </row>
    <row r="771" spans="1:8" x14ac:dyDescent="0.25">
      <c r="A771" s="189"/>
      <c r="B771" s="190"/>
      <c r="C771" s="190"/>
      <c r="D771" s="191"/>
      <c r="E771" s="192"/>
      <c r="F771" s="193"/>
      <c r="G771" s="191"/>
      <c r="H771" s="194"/>
    </row>
    <row r="772" spans="1:8" x14ac:dyDescent="0.25">
      <c r="A772" s="189"/>
      <c r="B772" s="190"/>
      <c r="C772" s="190"/>
      <c r="D772" s="191"/>
      <c r="E772" s="192"/>
      <c r="F772" s="193"/>
      <c r="G772" s="191"/>
      <c r="H772" s="194"/>
    </row>
    <row r="773" spans="1:8" x14ac:dyDescent="0.25">
      <c r="A773" s="189"/>
      <c r="B773" s="190"/>
      <c r="C773" s="190"/>
      <c r="D773" s="191"/>
      <c r="E773" s="192"/>
      <c r="F773" s="193"/>
      <c r="G773" s="191"/>
      <c r="H773" s="194"/>
    </row>
    <row r="774" spans="1:8" x14ac:dyDescent="0.25">
      <c r="A774" s="189"/>
      <c r="B774" s="190"/>
      <c r="C774" s="190"/>
      <c r="D774" s="191"/>
      <c r="E774" s="192"/>
      <c r="F774" s="193"/>
      <c r="G774" s="191"/>
      <c r="H774" s="194"/>
    </row>
    <row r="775" spans="1:8" x14ac:dyDescent="0.25">
      <c r="A775" s="189"/>
      <c r="B775" s="190"/>
      <c r="C775" s="190"/>
      <c r="D775" s="191"/>
      <c r="E775" s="192"/>
      <c r="F775" s="193"/>
      <c r="G775" s="191"/>
      <c r="H775" s="194"/>
    </row>
    <row r="776" spans="1:8" x14ac:dyDescent="0.25">
      <c r="A776" s="189"/>
      <c r="B776" s="190"/>
      <c r="C776" s="190"/>
      <c r="D776" s="191"/>
      <c r="E776" s="192"/>
      <c r="F776" s="193"/>
      <c r="G776" s="191"/>
      <c r="H776" s="194"/>
    </row>
    <row r="777" spans="1:8" x14ac:dyDescent="0.25">
      <c r="A777" s="189"/>
      <c r="B777" s="190"/>
      <c r="C777" s="190"/>
      <c r="D777" s="191"/>
      <c r="E777" s="192"/>
      <c r="F777" s="193"/>
      <c r="G777" s="191"/>
      <c r="H777" s="194"/>
    </row>
    <row r="778" spans="1:8" x14ac:dyDescent="0.25">
      <c r="A778" s="189"/>
      <c r="B778" s="190"/>
      <c r="C778" s="190"/>
      <c r="D778" s="191"/>
      <c r="E778" s="192"/>
      <c r="F778" s="193"/>
      <c r="G778" s="191"/>
      <c r="H778" s="194"/>
    </row>
    <row r="779" spans="1:8" x14ac:dyDescent="0.25">
      <c r="A779" s="189"/>
      <c r="B779" s="190"/>
      <c r="C779" s="190"/>
      <c r="D779" s="191"/>
      <c r="E779" s="192"/>
      <c r="F779" s="193"/>
      <c r="G779" s="191"/>
      <c r="H779" s="194"/>
    </row>
    <row r="780" spans="1:8" x14ac:dyDescent="0.25">
      <c r="A780" s="189"/>
      <c r="B780" s="190"/>
      <c r="C780" s="190"/>
      <c r="D780" s="191"/>
      <c r="E780" s="192"/>
      <c r="F780" s="193"/>
      <c r="G780" s="191"/>
      <c r="H780" s="194"/>
    </row>
    <row r="781" spans="1:8" x14ac:dyDescent="0.25">
      <c r="A781" s="189"/>
      <c r="B781" s="190"/>
      <c r="C781" s="190"/>
      <c r="D781" s="191"/>
      <c r="E781" s="192"/>
      <c r="F781" s="193"/>
      <c r="G781" s="191"/>
      <c r="H781" s="194"/>
    </row>
    <row r="782" spans="1:8" x14ac:dyDescent="0.25">
      <c r="A782" s="189"/>
      <c r="B782" s="190"/>
      <c r="C782" s="190"/>
      <c r="D782" s="191"/>
      <c r="E782" s="192"/>
      <c r="F782" s="193"/>
      <c r="G782" s="191"/>
      <c r="H782" s="194"/>
    </row>
    <row r="783" spans="1:8" x14ac:dyDescent="0.25">
      <c r="A783" s="189"/>
      <c r="B783" s="190"/>
      <c r="C783" s="190"/>
      <c r="D783" s="191"/>
      <c r="E783" s="192"/>
      <c r="F783" s="193"/>
      <c r="G783" s="191"/>
      <c r="H783" s="194"/>
    </row>
    <row r="784" spans="1:8" x14ac:dyDescent="0.25">
      <c r="A784" s="189"/>
      <c r="B784" s="190"/>
      <c r="C784" s="190"/>
      <c r="D784" s="191"/>
      <c r="E784" s="192"/>
      <c r="F784" s="193"/>
      <c r="G784" s="191"/>
      <c r="H784" s="194"/>
    </row>
    <row r="785" spans="1:8" x14ac:dyDescent="0.25">
      <c r="A785" s="189"/>
      <c r="B785" s="190"/>
      <c r="C785" s="190"/>
      <c r="D785" s="191"/>
      <c r="E785" s="192"/>
      <c r="F785" s="193"/>
      <c r="G785" s="191"/>
      <c r="H785" s="194"/>
    </row>
    <row r="786" spans="1:8" x14ac:dyDescent="0.25">
      <c r="A786" s="189"/>
      <c r="B786" s="190"/>
      <c r="C786" s="190"/>
      <c r="D786" s="191"/>
      <c r="E786" s="192"/>
      <c r="F786" s="193"/>
      <c r="G786" s="191"/>
      <c r="H786" s="194"/>
    </row>
    <row r="787" spans="1:8" x14ac:dyDescent="0.25">
      <c r="A787" s="189"/>
      <c r="B787" s="190"/>
      <c r="C787" s="190"/>
      <c r="D787" s="191"/>
      <c r="E787" s="192"/>
      <c r="F787" s="193"/>
      <c r="G787" s="191"/>
      <c r="H787" s="194"/>
    </row>
    <row r="788" spans="1:8" x14ac:dyDescent="0.25">
      <c r="A788" s="189"/>
      <c r="B788" s="190"/>
      <c r="C788" s="190"/>
      <c r="D788" s="191"/>
      <c r="E788" s="192"/>
      <c r="F788" s="193"/>
      <c r="G788" s="191"/>
      <c r="H788" s="194"/>
    </row>
    <row r="789" spans="1:8" x14ac:dyDescent="0.25">
      <c r="A789" s="189"/>
      <c r="B789" s="190"/>
      <c r="C789" s="190"/>
      <c r="D789" s="191"/>
      <c r="E789" s="192"/>
      <c r="F789" s="193"/>
      <c r="G789" s="191"/>
      <c r="H789" s="194"/>
    </row>
  </sheetData>
  <mergeCells count="4">
    <mergeCell ref="A1:F1"/>
    <mergeCell ref="A2:F2"/>
    <mergeCell ref="A5:A6"/>
    <mergeCell ref="A342:A343"/>
  </mergeCells>
  <conditionalFormatting sqref="A492">
    <cfRule type="cellIs" dxfId="493" priority="8" operator="equal">
      <formula>"x"</formula>
    </cfRule>
  </conditionalFormatting>
  <conditionalFormatting sqref="D141:D142 D63:D64 D144:D146 D66:D101">
    <cfRule type="cellIs" dxfId="492" priority="7" operator="notEqual">
      <formula>#REF!</formula>
    </cfRule>
  </conditionalFormatting>
  <conditionalFormatting sqref="A492">
    <cfRule type="iconSet" priority="6">
      <iconSet iconSet="3Flags" showValue="0">
        <cfvo type="percent" val="0"/>
        <cfvo type="num" val="0"/>
        <cfvo type="num" val="1"/>
      </iconSet>
    </cfRule>
  </conditionalFormatting>
  <conditionalFormatting sqref="D155:D170">
    <cfRule type="cellIs" dxfId="491" priority="5" operator="notEqual">
      <formula>#REF!</formula>
    </cfRule>
  </conditionalFormatting>
  <conditionalFormatting sqref="H318">
    <cfRule type="cellIs" dxfId="490" priority="4" operator="notEqual">
      <formula>A318</formula>
    </cfRule>
  </conditionalFormatting>
  <conditionalFormatting sqref="D147:D148 D150:D151">
    <cfRule type="cellIs" dxfId="489" priority="3" operator="notEqual">
      <formula>#REF!</formula>
    </cfRule>
  </conditionalFormatting>
  <conditionalFormatting sqref="D149">
    <cfRule type="cellIs" dxfId="488" priority="2" operator="notEqual">
      <formula>#REF!</formula>
    </cfRule>
  </conditionalFormatting>
  <conditionalFormatting sqref="D143">
    <cfRule type="cellIs" dxfId="487" priority="1" operator="notEqual">
      <formula>#REF!</formula>
    </cfRule>
  </conditionalFormatting>
  <pageMargins left="0.70866141732283472" right="0.70866141732283472" top="0.78740157480314965" bottom="0.78740157480314965" header="0.31496062992125984" footer="0.31496062992125984"/>
  <pageSetup paperSize="9" scale="54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E29"/>
  <sheetViews>
    <sheetView workbookViewId="0">
      <selection activeCell="I23" sqref="I23"/>
    </sheetView>
  </sheetViews>
  <sheetFormatPr defaultRowHeight="12.75" x14ac:dyDescent="0.2"/>
  <cols>
    <col min="1" max="1" width="60.5703125" bestFit="1" customWidth="1"/>
    <col min="2" max="2" width="26.140625" bestFit="1" customWidth="1"/>
    <col min="3" max="3" width="17.7109375" customWidth="1"/>
    <col min="4" max="4" width="11.140625" bestFit="1" customWidth="1"/>
    <col min="5" max="5" width="15.42578125" bestFit="1" customWidth="1"/>
  </cols>
  <sheetData>
    <row r="2" spans="1:5" ht="13.5" thickBot="1" x14ac:dyDescent="0.25">
      <c r="A2">
        <v>12</v>
      </c>
    </row>
    <row r="3" spans="1:5" x14ac:dyDescent="0.2">
      <c r="B3" s="682" t="s">
        <v>71</v>
      </c>
      <c r="C3" s="683"/>
      <c r="D3" s="151" t="s">
        <v>3</v>
      </c>
      <c r="E3" s="146" t="s">
        <v>4</v>
      </c>
    </row>
    <row r="4" spans="1:5" ht="13.5" thickBot="1" x14ac:dyDescent="0.25">
      <c r="B4" s="684" t="str">
        <f>INDEX($A$16:$A$27,A2)</f>
        <v>4223 Investiční přijaté transfery od regionálních rad</v>
      </c>
      <c r="C4" s="685"/>
      <c r="D4" s="124">
        <f>SUMIF('MB 5'!F7:F476,INDEX('MB 4'!B492:B503,$A$2),'MB 4'!$C$7:$C$477)</f>
        <v>21401.490410000002</v>
      </c>
      <c r="E4" s="124">
        <f>SUMIF('MB 4'!F$7:F$477, INDEX('MB 4'!$B492:$B503,$A$2),'MB 4'!$D7:$D477)</f>
        <v>52328804.299999997</v>
      </c>
    </row>
    <row r="14" spans="1:5" ht="13.5" thickBot="1" x14ac:dyDescent="0.25"/>
    <row r="15" spans="1:5" ht="13.5" thickBot="1" x14ac:dyDescent="0.25">
      <c r="A15" s="127" t="s">
        <v>71</v>
      </c>
      <c r="B15" s="152" t="s">
        <v>90</v>
      </c>
      <c r="C15" s="153" t="s">
        <v>4</v>
      </c>
    </row>
    <row r="16" spans="1:5" x14ac:dyDescent="0.2">
      <c r="A16" s="125" t="s">
        <v>70</v>
      </c>
      <c r="B16" s="126">
        <f>+SUMIF('MB 4'!$F$7:$F$477,'MB 4'!$B492,'MB 4'!$C$7:$C$477)</f>
        <v>0</v>
      </c>
      <c r="C16" s="126">
        <f>+SUMIF('MB 4'!$F$7:$F$477,'MB 4'!$B492,'MB 4'!$D$7:$D$477)</f>
        <v>0</v>
      </c>
    </row>
    <row r="17" spans="1:3" x14ac:dyDescent="0.2">
      <c r="A17" s="123" t="s">
        <v>87</v>
      </c>
      <c r="B17" s="126">
        <f>+SUMIF('MB 4'!$F$7:$F$477,'MB 4'!$B493,'MB 4'!$C$7:$C$477)</f>
        <v>5906.7448200000008</v>
      </c>
      <c r="C17" s="126">
        <f>+SUMIF('MB 4'!$F$7:$F$477,'MB 4'!$B493,'MB 4'!$D$7:$D$477)</f>
        <v>1960242.97</v>
      </c>
    </row>
    <row r="18" spans="1:3" x14ac:dyDescent="0.2">
      <c r="A18" s="123" t="s">
        <v>88</v>
      </c>
      <c r="B18" s="126">
        <f>+SUMIF('MB 4'!$F$7:$F$477,'MB 4'!$B494,'MB 4'!$C$7:$C$477)</f>
        <v>17172.260280000002</v>
      </c>
      <c r="C18" s="126">
        <f>+SUMIF('MB 4'!$F$7:$F$477,'MB 4'!$B494,'MB 4'!$D$7:$D$477)</f>
        <v>22186368.880000003</v>
      </c>
    </row>
    <row r="19" spans="1:3" x14ac:dyDescent="0.2">
      <c r="A19" s="123" t="s">
        <v>89</v>
      </c>
      <c r="B19" s="126">
        <f>+SUMIF('MB 4'!$F$7:$F$477,'MB 4'!$B495,'MB 4'!$C$7:$C$477)</f>
        <v>0</v>
      </c>
      <c r="C19" s="126">
        <f>+SUMIF('MB 4'!$F$7:$F$477,'MB 4'!$B495,'MB 4'!$D$7:$D$477)</f>
        <v>0</v>
      </c>
    </row>
    <row r="20" spans="1:3" x14ac:dyDescent="0.2">
      <c r="A20" s="123" t="s">
        <v>72</v>
      </c>
      <c r="B20" s="126">
        <f>+SUMIF('MB 4'!$F$7:$F$477,'MB 4'!$B496,'MB 4'!$C$7:$C$477)</f>
        <v>1111.36239</v>
      </c>
      <c r="C20" s="126">
        <f>+SUMIF('MB 4'!$F$7:$F$477,'MB 4'!$B496,'MB 4'!$D$7:$D$477)</f>
        <v>63047093.200000003</v>
      </c>
    </row>
    <row r="21" spans="1:3" x14ac:dyDescent="0.2">
      <c r="A21" s="123" t="s">
        <v>73</v>
      </c>
      <c r="B21" s="126">
        <f>+SUMIF('MB 4'!$F$7:$F$477,'MB 4'!$B497,'MB 4'!$C$7:$C$477)</f>
        <v>131.06369000000001</v>
      </c>
      <c r="C21" s="126">
        <f>+SUMIF('MB 4'!$F$7:$F$477,'MB 4'!$B497,'MB 4'!$D$7:$D$477)</f>
        <v>131063.69</v>
      </c>
    </row>
    <row r="22" spans="1:3" x14ac:dyDescent="0.2">
      <c r="A22" s="123" t="s">
        <v>74</v>
      </c>
      <c r="B22" s="126">
        <f>+SUMIF('MB 4'!$F$7:$F$477,'MB 4'!$B498,'MB 4'!$C$7:$C$477)</f>
        <v>0</v>
      </c>
      <c r="C22" s="126">
        <f>+SUMIF('MB 4'!$F$7:$F$477,'MB 4'!$B498,'MB 4'!$D$7:$D$477)</f>
        <v>0</v>
      </c>
    </row>
    <row r="23" spans="1:3" x14ac:dyDescent="0.2">
      <c r="A23" s="123" t="s">
        <v>75</v>
      </c>
      <c r="B23" s="126">
        <f>+SUMIF('MB 4'!$F$7:$F$477,'MB 4'!$B499,'MB 4'!$C$7:$C$477)</f>
        <v>582</v>
      </c>
      <c r="C23" s="126">
        <f>+SUMIF('MB 4'!$F$7:$F$477,'MB 4'!$B499,'MB 4'!$D$7:$D$477)</f>
        <v>581714.24</v>
      </c>
    </row>
    <row r="24" spans="1:3" x14ac:dyDescent="0.2">
      <c r="A24" s="123" t="s">
        <v>86</v>
      </c>
      <c r="B24" s="126">
        <f>+SUMIF('MB 4'!$F$7:$F$477,'MB 4'!$B500,'MB 4'!$C$7:$C$477)</f>
        <v>534.56471999999997</v>
      </c>
      <c r="C24" s="126">
        <f>+SUMIF('MB 4'!$F$7:$F$477,'MB 4'!$B500,'MB 4'!$D$7:$D$477)</f>
        <v>581682.51</v>
      </c>
    </row>
    <row r="25" spans="1:3" x14ac:dyDescent="0.2">
      <c r="A25" s="123" t="s">
        <v>76</v>
      </c>
      <c r="B25" s="126">
        <f>+SUMIF('MB 4'!$F$7:$F$477,'MB 4'!$B501,'MB 4'!$C$7:$C$477)</f>
        <v>5187.8602200000005</v>
      </c>
      <c r="C25" s="126">
        <f>+SUMIF('MB 4'!$F$7:$F$477,'MB 4'!$B501,'MB 4'!$D$7:$D$477)</f>
        <v>6438862.6500000004</v>
      </c>
    </row>
    <row r="26" spans="1:3" x14ac:dyDescent="0.2">
      <c r="A26" s="123" t="s">
        <v>77</v>
      </c>
      <c r="B26" s="126">
        <f>+SUMIF('MB 4'!$F$7:$F$477,'MB 4'!$B502,'MB 4'!$C$7:$C$477)</f>
        <v>0</v>
      </c>
      <c r="C26" s="126">
        <f>+SUMIF('MB 4'!$F$7:$F$477,'MB 4'!$B502,'MB 4'!$D$7:$D$477)</f>
        <v>0</v>
      </c>
    </row>
    <row r="27" spans="1:3" x14ac:dyDescent="0.2">
      <c r="A27" s="123" t="s">
        <v>78</v>
      </c>
      <c r="B27" s="126">
        <f>+SUMIF('MB 4'!$F$7:$F$477,'MB 4'!$B503,'MB 4'!$C$7:$C$477)</f>
        <v>48137.60989</v>
      </c>
      <c r="C27" s="126">
        <f>+SUMIF('MB 4'!$F$7:$F$477,'MB 4'!$B503,'MB 4'!$D$7:$D$477)</f>
        <v>52328804.299999997</v>
      </c>
    </row>
    <row r="28" spans="1:3" ht="13.5" thickBot="1" x14ac:dyDescent="0.25">
      <c r="A28" s="148"/>
      <c r="B28" s="149"/>
      <c r="C28" s="150"/>
    </row>
    <row r="29" spans="1:3" s="147" customFormat="1" ht="13.5" thickBot="1" x14ac:dyDescent="0.25">
      <c r="A29" s="127" t="s">
        <v>85</v>
      </c>
      <c r="B29" s="128">
        <f>+SUM(B16:B28)</f>
        <v>78763.466010000004</v>
      </c>
      <c r="C29" s="129">
        <f>+SUM(C16:C28)</f>
        <v>147255832.44</v>
      </c>
    </row>
  </sheetData>
  <mergeCells count="2">
    <mergeCell ref="B3:C3"/>
    <mergeCell ref="B4:C4"/>
  </mergeCells>
  <pageMargins left="0.7" right="0.7" top="0.78740157499999996" bottom="0.78740157499999996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9153" r:id="rId3" name="Drop Down 1">
              <controlPr defaultSize="0" autoLine="0" autoPict="0">
                <anchor moveWithCells="1">
                  <from>
                    <xdr:col>0</xdr:col>
                    <xdr:colOff>47625</xdr:colOff>
                    <xdr:row>6</xdr:row>
                    <xdr:rowOff>0</xdr:rowOff>
                  </from>
                  <to>
                    <xdr:col>0</xdr:col>
                    <xdr:colOff>2695575</xdr:colOff>
                    <xdr:row>11</xdr:row>
                    <xdr:rowOff>104775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36"/>
  <sheetViews>
    <sheetView workbookViewId="0">
      <selection activeCell="I23" sqref="I23"/>
    </sheetView>
  </sheetViews>
  <sheetFormatPr defaultRowHeight="12.75" x14ac:dyDescent="0.2"/>
  <cols>
    <col min="1" max="1" width="23.85546875" bestFit="1" customWidth="1"/>
    <col min="2" max="2" width="17.7109375" customWidth="1"/>
    <col min="3" max="4" width="12.7109375" bestFit="1" customWidth="1"/>
    <col min="5" max="7" width="10.140625" bestFit="1" customWidth="1"/>
    <col min="8" max="8" width="11.7109375" bestFit="1" customWidth="1"/>
    <col min="9" max="9" width="12.7109375" bestFit="1" customWidth="1"/>
    <col min="10" max="10" width="11.7109375" customWidth="1"/>
    <col min="11" max="11" width="11.7109375" bestFit="1" customWidth="1"/>
    <col min="12" max="12" width="10.140625" bestFit="1" customWidth="1"/>
    <col min="13" max="13" width="14.42578125" bestFit="1" customWidth="1"/>
  </cols>
  <sheetData>
    <row r="3" spans="1:13" x14ac:dyDescent="0.2">
      <c r="A3" s="200" t="s">
        <v>182</v>
      </c>
      <c r="B3" s="200" t="s">
        <v>185</v>
      </c>
    </row>
    <row r="4" spans="1:13" x14ac:dyDescent="0.2">
      <c r="A4" s="200" t="s">
        <v>186</v>
      </c>
      <c r="B4">
        <v>4113</v>
      </c>
      <c r="C4">
        <v>4116</v>
      </c>
      <c r="D4">
        <v>4122</v>
      </c>
      <c r="E4">
        <v>4123</v>
      </c>
      <c r="F4">
        <v>4152</v>
      </c>
      <c r="G4">
        <v>4213</v>
      </c>
      <c r="H4">
        <v>4216</v>
      </c>
      <c r="I4">
        <v>4223</v>
      </c>
      <c r="J4" t="s">
        <v>10</v>
      </c>
      <c r="K4" t="s">
        <v>18</v>
      </c>
      <c r="L4" t="s">
        <v>49</v>
      </c>
      <c r="M4" t="s">
        <v>184</v>
      </c>
    </row>
    <row r="5" spans="1:13" x14ac:dyDescent="0.2">
      <c r="A5" s="201">
        <v>13010</v>
      </c>
      <c r="B5" s="178"/>
      <c r="C5" s="178">
        <v>3752000</v>
      </c>
      <c r="D5" s="178"/>
      <c r="E5" s="178"/>
      <c r="F5" s="178"/>
      <c r="G5" s="178"/>
      <c r="H5" s="178"/>
      <c r="I5" s="178"/>
      <c r="J5" s="178"/>
      <c r="K5" s="178"/>
      <c r="L5" s="178"/>
      <c r="M5" s="178">
        <v>3752000</v>
      </c>
    </row>
    <row r="6" spans="1:13" x14ac:dyDescent="0.2">
      <c r="A6" s="201">
        <v>13101</v>
      </c>
      <c r="B6" s="178"/>
      <c r="C6" s="178">
        <v>440640</v>
      </c>
      <c r="D6" s="178"/>
      <c r="E6" s="178"/>
      <c r="F6" s="178"/>
      <c r="G6" s="178"/>
      <c r="H6" s="178"/>
      <c r="I6" s="178"/>
      <c r="J6" s="178"/>
      <c r="K6" s="178">
        <v>57762</v>
      </c>
      <c r="L6" s="178"/>
      <c r="M6" s="178">
        <v>498402</v>
      </c>
    </row>
    <row r="7" spans="1:13" x14ac:dyDescent="0.2">
      <c r="A7" s="201">
        <v>13234</v>
      </c>
      <c r="B7" s="178"/>
      <c r="C7" s="178">
        <v>4658911</v>
      </c>
      <c r="D7" s="178"/>
      <c r="E7" s="178"/>
      <c r="F7" s="178"/>
      <c r="G7" s="178"/>
      <c r="H7" s="178"/>
      <c r="I7" s="178"/>
      <c r="J7" s="178"/>
      <c r="K7" s="178"/>
      <c r="L7" s="178"/>
      <c r="M7" s="178">
        <v>4658911</v>
      </c>
    </row>
    <row r="8" spans="1:13" x14ac:dyDescent="0.2">
      <c r="A8" s="201">
        <v>13305</v>
      </c>
      <c r="B8" s="178"/>
      <c r="C8" s="178"/>
      <c r="D8" s="178">
        <v>61594320</v>
      </c>
      <c r="E8" s="178"/>
      <c r="F8" s="178"/>
      <c r="G8" s="178"/>
      <c r="H8" s="178"/>
      <c r="I8" s="178"/>
      <c r="J8" s="178"/>
      <c r="K8" s="178"/>
      <c r="L8" s="178"/>
      <c r="M8" s="178">
        <v>61594320</v>
      </c>
    </row>
    <row r="9" spans="1:13" x14ac:dyDescent="0.2">
      <c r="A9" s="201">
        <v>14023</v>
      </c>
      <c r="B9" s="178"/>
      <c r="C9" s="178">
        <v>201848</v>
      </c>
      <c r="D9" s="178"/>
      <c r="E9" s="178"/>
      <c r="F9" s="178"/>
      <c r="G9" s="178"/>
      <c r="H9" s="178"/>
      <c r="I9" s="178"/>
      <c r="J9" s="178"/>
      <c r="K9" s="178"/>
      <c r="L9" s="178"/>
      <c r="M9" s="178">
        <v>201848</v>
      </c>
    </row>
    <row r="10" spans="1:13" x14ac:dyDescent="0.2">
      <c r="A10" s="201">
        <v>14137</v>
      </c>
      <c r="B10" s="178"/>
      <c r="C10" s="178">
        <v>7480</v>
      </c>
      <c r="D10" s="178"/>
      <c r="E10" s="178"/>
      <c r="F10" s="178"/>
      <c r="G10" s="178"/>
      <c r="H10" s="178"/>
      <c r="I10" s="178"/>
      <c r="J10" s="178"/>
      <c r="K10" s="178"/>
      <c r="L10" s="178"/>
      <c r="M10" s="178">
        <v>7480</v>
      </c>
    </row>
    <row r="11" spans="1:13" x14ac:dyDescent="0.2">
      <c r="A11" s="201">
        <v>14336</v>
      </c>
      <c r="B11" s="178"/>
      <c r="C11" s="178">
        <v>288000</v>
      </c>
      <c r="D11" s="178"/>
      <c r="E11" s="178"/>
      <c r="F11" s="178"/>
      <c r="G11" s="178"/>
      <c r="H11" s="178"/>
      <c r="I11" s="178"/>
      <c r="J11" s="178"/>
      <c r="K11" s="178"/>
      <c r="L11" s="178"/>
      <c r="M11" s="178">
        <v>288000</v>
      </c>
    </row>
    <row r="12" spans="1:13" x14ac:dyDescent="0.2">
      <c r="A12" s="201">
        <v>15319</v>
      </c>
      <c r="B12" s="178"/>
      <c r="C12" s="178">
        <v>466286.1</v>
      </c>
      <c r="D12" s="178"/>
      <c r="E12" s="178"/>
      <c r="F12" s="178"/>
      <c r="G12" s="178"/>
      <c r="H12" s="178"/>
      <c r="I12" s="178"/>
      <c r="J12" s="178"/>
      <c r="K12" s="178"/>
      <c r="L12" s="178"/>
      <c r="M12" s="178">
        <v>466286.1</v>
      </c>
    </row>
    <row r="13" spans="1:13" x14ac:dyDescent="0.2">
      <c r="A13" s="201">
        <v>15827</v>
      </c>
      <c r="B13" s="178"/>
      <c r="C13" s="178"/>
      <c r="D13" s="178"/>
      <c r="E13" s="178"/>
      <c r="F13" s="178"/>
      <c r="G13" s="178"/>
      <c r="H13" s="178">
        <v>801002.43</v>
      </c>
      <c r="I13" s="178"/>
      <c r="J13" s="178"/>
      <c r="K13" s="178"/>
      <c r="L13" s="178"/>
      <c r="M13" s="178">
        <v>801002.43</v>
      </c>
    </row>
    <row r="14" spans="1:13" x14ac:dyDescent="0.2">
      <c r="A14" s="201">
        <v>15835</v>
      </c>
      <c r="B14" s="178"/>
      <c r="C14" s="178"/>
      <c r="D14" s="178"/>
      <c r="E14" s="178"/>
      <c r="F14" s="178"/>
      <c r="G14" s="178"/>
      <c r="H14" s="178">
        <v>16575</v>
      </c>
      <c r="I14" s="178"/>
      <c r="J14" s="178"/>
      <c r="K14" s="178"/>
      <c r="L14" s="178"/>
      <c r="M14" s="178">
        <v>16575</v>
      </c>
    </row>
    <row r="15" spans="1:13" x14ac:dyDescent="0.2">
      <c r="A15" s="201">
        <v>17002</v>
      </c>
      <c r="B15" s="178"/>
      <c r="C15" s="178">
        <v>33214.5</v>
      </c>
      <c r="D15" s="178"/>
      <c r="E15" s="178"/>
      <c r="F15" s="178"/>
      <c r="G15" s="178"/>
      <c r="H15" s="178"/>
      <c r="I15" s="178"/>
      <c r="J15" s="178"/>
      <c r="K15" s="178"/>
      <c r="L15" s="178"/>
      <c r="M15" s="178">
        <v>33214.5</v>
      </c>
    </row>
    <row r="16" spans="1:13" x14ac:dyDescent="0.2">
      <c r="A16" s="201">
        <v>17003</v>
      </c>
      <c r="B16" s="178"/>
      <c r="C16" s="178">
        <v>188215.5</v>
      </c>
      <c r="D16" s="178"/>
      <c r="E16" s="178"/>
      <c r="F16" s="178"/>
      <c r="G16" s="178"/>
      <c r="H16" s="178"/>
      <c r="I16" s="178"/>
      <c r="J16" s="178"/>
      <c r="K16" s="178">
        <v>2686667.87</v>
      </c>
      <c r="L16" s="178"/>
      <c r="M16" s="178">
        <v>2874883.37</v>
      </c>
    </row>
    <row r="17" spans="1:13" x14ac:dyDescent="0.2">
      <c r="A17" s="201">
        <v>17870</v>
      </c>
      <c r="B17" s="178"/>
      <c r="C17" s="178"/>
      <c r="D17" s="178"/>
      <c r="E17" s="178"/>
      <c r="F17" s="178"/>
      <c r="G17" s="178"/>
      <c r="H17" s="178">
        <v>775692.78</v>
      </c>
      <c r="I17" s="178"/>
      <c r="J17" s="178"/>
      <c r="K17" s="178"/>
      <c r="L17" s="178"/>
      <c r="M17" s="178">
        <v>775692.78</v>
      </c>
    </row>
    <row r="18" spans="1:13" x14ac:dyDescent="0.2">
      <c r="A18" s="201">
        <v>17871</v>
      </c>
      <c r="B18" s="178"/>
      <c r="C18" s="178"/>
      <c r="D18" s="178"/>
      <c r="E18" s="178"/>
      <c r="F18" s="178"/>
      <c r="G18" s="178"/>
      <c r="H18" s="178">
        <v>4395592.4400000004</v>
      </c>
      <c r="I18" s="178"/>
      <c r="J18" s="178"/>
      <c r="K18" s="178"/>
      <c r="L18" s="178"/>
      <c r="M18" s="178">
        <v>4395592.4400000004</v>
      </c>
    </row>
    <row r="19" spans="1:13" x14ac:dyDescent="0.2">
      <c r="A19" s="201">
        <v>22005</v>
      </c>
      <c r="B19" s="178"/>
      <c r="C19" s="178"/>
      <c r="D19" s="178"/>
      <c r="E19" s="178"/>
      <c r="F19" s="178"/>
      <c r="G19" s="178"/>
      <c r="H19" s="178"/>
      <c r="I19" s="178"/>
      <c r="J19" s="178"/>
      <c r="K19" s="178">
        <v>600000</v>
      </c>
      <c r="L19" s="178"/>
      <c r="M19" s="178">
        <v>600000</v>
      </c>
    </row>
    <row r="20" spans="1:13" x14ac:dyDescent="0.2">
      <c r="A20" s="201">
        <v>27003</v>
      </c>
      <c r="B20" s="178"/>
      <c r="C20" s="178">
        <v>36300</v>
      </c>
      <c r="D20" s="178"/>
      <c r="E20" s="178"/>
      <c r="F20" s="178"/>
      <c r="G20" s="178"/>
      <c r="H20" s="178"/>
      <c r="I20" s="178"/>
      <c r="J20" s="178"/>
      <c r="K20" s="178"/>
      <c r="L20" s="178"/>
      <c r="M20" s="178">
        <v>36300</v>
      </c>
    </row>
    <row r="21" spans="1:13" x14ac:dyDescent="0.2">
      <c r="A21" s="201">
        <v>33019</v>
      </c>
      <c r="B21" s="178"/>
      <c r="C21" s="178">
        <v>7276123.5</v>
      </c>
      <c r="D21" s="178"/>
      <c r="E21" s="178"/>
      <c r="F21" s="178"/>
      <c r="G21" s="178"/>
      <c r="H21" s="178"/>
      <c r="I21" s="178"/>
      <c r="J21" s="178"/>
      <c r="K21" s="178">
        <v>972546.41</v>
      </c>
      <c r="L21" s="178"/>
      <c r="M21" s="178">
        <v>8248669.9100000001</v>
      </c>
    </row>
    <row r="22" spans="1:13" x14ac:dyDescent="0.2">
      <c r="A22" s="201">
        <v>33030</v>
      </c>
      <c r="B22" s="178"/>
      <c r="C22" s="178"/>
      <c r="D22" s="178">
        <v>1016296.28</v>
      </c>
      <c r="E22" s="178"/>
      <c r="F22" s="178"/>
      <c r="G22" s="178"/>
      <c r="H22" s="178"/>
      <c r="I22" s="178"/>
      <c r="J22" s="178"/>
      <c r="K22" s="178"/>
      <c r="L22" s="178">
        <v>436476.92</v>
      </c>
      <c r="M22" s="178">
        <v>1452773.2</v>
      </c>
    </row>
    <row r="23" spans="1:13" x14ac:dyDescent="0.2">
      <c r="A23" s="201">
        <v>33339</v>
      </c>
      <c r="B23" s="178"/>
      <c r="C23" s="178">
        <v>192000</v>
      </c>
      <c r="D23" s="178"/>
      <c r="E23" s="178"/>
      <c r="F23" s="178"/>
      <c r="G23" s="178"/>
      <c r="H23" s="178"/>
      <c r="I23" s="178"/>
      <c r="J23" s="178"/>
      <c r="K23" s="178"/>
      <c r="L23" s="178"/>
      <c r="M23" s="178">
        <v>192000</v>
      </c>
    </row>
    <row r="24" spans="1:13" x14ac:dyDescent="0.2">
      <c r="A24" s="201">
        <v>34070</v>
      </c>
      <c r="B24" s="178"/>
      <c r="C24" s="178">
        <v>143000</v>
      </c>
      <c r="D24" s="178"/>
      <c r="E24" s="178"/>
      <c r="F24" s="178"/>
      <c r="G24" s="178"/>
      <c r="H24" s="178"/>
      <c r="I24" s="178"/>
      <c r="J24" s="178"/>
      <c r="K24" s="178"/>
      <c r="L24" s="178"/>
      <c r="M24" s="178">
        <v>143000</v>
      </c>
    </row>
    <row r="25" spans="1:13" x14ac:dyDescent="0.2">
      <c r="A25" s="201">
        <v>35019</v>
      </c>
      <c r="B25" s="178"/>
      <c r="C25" s="178">
        <v>185374</v>
      </c>
      <c r="D25" s="178"/>
      <c r="E25" s="178"/>
      <c r="F25" s="178"/>
      <c r="G25" s="178"/>
      <c r="H25" s="178"/>
      <c r="I25" s="178"/>
      <c r="J25" s="178"/>
      <c r="K25" s="178"/>
      <c r="L25" s="178"/>
      <c r="M25" s="178">
        <v>185374</v>
      </c>
    </row>
    <row r="26" spans="1:13" x14ac:dyDescent="0.2">
      <c r="A26" s="201">
        <v>35621</v>
      </c>
      <c r="B26" s="178"/>
      <c r="C26" s="178"/>
      <c r="D26" s="178"/>
      <c r="E26" s="178"/>
      <c r="F26" s="178"/>
      <c r="G26" s="178"/>
      <c r="H26" s="178">
        <v>450000</v>
      </c>
      <c r="I26" s="178"/>
      <c r="J26" s="178"/>
      <c r="K26" s="178"/>
      <c r="L26" s="178"/>
      <c r="M26" s="178">
        <v>450000</v>
      </c>
    </row>
    <row r="27" spans="1:13" x14ac:dyDescent="0.2">
      <c r="A27" s="201">
        <v>86005</v>
      </c>
      <c r="B27" s="178"/>
      <c r="C27" s="178"/>
      <c r="D27" s="178"/>
      <c r="E27" s="178">
        <v>131063.69</v>
      </c>
      <c r="F27" s="178"/>
      <c r="G27" s="178"/>
      <c r="H27" s="178"/>
      <c r="I27" s="178"/>
      <c r="J27" s="178"/>
      <c r="K27" s="178"/>
      <c r="L27" s="178"/>
      <c r="M27" s="178">
        <v>131063.69</v>
      </c>
    </row>
    <row r="28" spans="1:13" x14ac:dyDescent="0.2">
      <c r="A28" s="201">
        <v>86501</v>
      </c>
      <c r="B28" s="178"/>
      <c r="C28" s="178"/>
      <c r="D28" s="178"/>
      <c r="E28" s="178"/>
      <c r="F28" s="178"/>
      <c r="G28" s="178"/>
      <c r="H28" s="178"/>
      <c r="I28" s="178">
        <v>2167793.48</v>
      </c>
      <c r="J28" s="178"/>
      <c r="K28" s="178"/>
      <c r="L28" s="178"/>
      <c r="M28" s="178">
        <v>2167793.48</v>
      </c>
    </row>
    <row r="29" spans="1:13" x14ac:dyDescent="0.2">
      <c r="A29" s="201">
        <v>86505</v>
      </c>
      <c r="B29" s="178"/>
      <c r="C29" s="178"/>
      <c r="D29" s="178"/>
      <c r="E29" s="178"/>
      <c r="F29" s="178"/>
      <c r="G29" s="178"/>
      <c r="H29" s="178"/>
      <c r="I29" s="178">
        <v>50161010.820000008</v>
      </c>
      <c r="J29" s="178"/>
      <c r="K29" s="178"/>
      <c r="L29" s="178"/>
      <c r="M29" s="178">
        <v>50161010.820000008</v>
      </c>
    </row>
    <row r="30" spans="1:13" x14ac:dyDescent="0.2">
      <c r="A30" s="201">
        <v>89450</v>
      </c>
      <c r="B30" s="178">
        <v>4535.82</v>
      </c>
      <c r="C30" s="178"/>
      <c r="D30" s="178"/>
      <c r="E30" s="178"/>
      <c r="F30" s="178"/>
      <c r="G30" s="178"/>
      <c r="H30" s="178"/>
      <c r="I30" s="178"/>
      <c r="J30" s="178"/>
      <c r="K30" s="178"/>
      <c r="L30" s="178"/>
      <c r="M30" s="178">
        <v>4535.82</v>
      </c>
    </row>
    <row r="31" spans="1:13" x14ac:dyDescent="0.2">
      <c r="A31" s="201">
        <v>90001</v>
      </c>
      <c r="B31" s="178">
        <v>33306.15</v>
      </c>
      <c r="C31" s="178"/>
      <c r="D31" s="178"/>
      <c r="E31" s="178"/>
      <c r="F31" s="178"/>
      <c r="G31" s="178"/>
      <c r="H31" s="178"/>
      <c r="I31" s="178"/>
      <c r="J31" s="178"/>
      <c r="K31" s="178"/>
      <c r="L31" s="178"/>
      <c r="M31" s="178">
        <v>33306.15</v>
      </c>
    </row>
    <row r="32" spans="1:13" x14ac:dyDescent="0.2">
      <c r="A32" s="201">
        <v>90877</v>
      </c>
      <c r="B32" s="178"/>
      <c r="C32" s="178"/>
      <c r="D32" s="178"/>
      <c r="E32" s="178"/>
      <c r="F32" s="178"/>
      <c r="G32" s="178">
        <v>189648.51</v>
      </c>
      <c r="H32" s="178"/>
      <c r="I32" s="178"/>
      <c r="J32" s="178"/>
      <c r="K32" s="178"/>
      <c r="L32" s="178"/>
      <c r="M32" s="178">
        <v>189648.51</v>
      </c>
    </row>
    <row r="33" spans="1:13" x14ac:dyDescent="0.2">
      <c r="A33" s="201">
        <v>90909</v>
      </c>
      <c r="B33" s="178"/>
      <c r="C33" s="178"/>
      <c r="D33" s="178"/>
      <c r="E33" s="178"/>
      <c r="F33" s="178"/>
      <c r="G33" s="178">
        <v>392034</v>
      </c>
      <c r="H33" s="178"/>
      <c r="I33" s="178"/>
      <c r="J33" s="178"/>
      <c r="K33" s="178"/>
      <c r="L33" s="178"/>
      <c r="M33" s="178">
        <v>392034</v>
      </c>
    </row>
    <row r="34" spans="1:13" x14ac:dyDescent="0.2">
      <c r="A34" s="201">
        <v>92241</v>
      </c>
      <c r="B34" s="178"/>
      <c r="C34" s="178"/>
      <c r="D34" s="178"/>
      <c r="E34" s="178"/>
      <c r="F34" s="178"/>
      <c r="G34" s="178"/>
      <c r="H34" s="178"/>
      <c r="I34" s="178"/>
      <c r="J34" s="178">
        <v>1922401</v>
      </c>
      <c r="K34" s="178"/>
      <c r="L34" s="178"/>
      <c r="M34" s="178">
        <v>1922401</v>
      </c>
    </row>
    <row r="35" spans="1:13" x14ac:dyDescent="0.2">
      <c r="A35" s="201" t="s">
        <v>183</v>
      </c>
      <c r="B35" s="178"/>
      <c r="C35" s="178"/>
      <c r="D35" s="178"/>
      <c r="E35" s="178"/>
      <c r="F35" s="178">
        <v>581714.24</v>
      </c>
      <c r="G35" s="178"/>
      <c r="H35" s="178"/>
      <c r="I35" s="178"/>
      <c r="J35" s="178"/>
      <c r="K35" s="178"/>
      <c r="L35" s="178"/>
      <c r="M35" s="178">
        <v>581714.24</v>
      </c>
    </row>
    <row r="36" spans="1:13" x14ac:dyDescent="0.2">
      <c r="A36" s="201" t="s">
        <v>184</v>
      </c>
      <c r="B36" s="178">
        <v>37841.97</v>
      </c>
      <c r="C36" s="178">
        <v>17869392.600000001</v>
      </c>
      <c r="D36" s="178">
        <v>62610616.280000001</v>
      </c>
      <c r="E36" s="178">
        <v>131063.69</v>
      </c>
      <c r="F36" s="178">
        <v>581714.24</v>
      </c>
      <c r="G36" s="178">
        <v>581682.51</v>
      </c>
      <c r="H36" s="178">
        <v>6438862.6500000004</v>
      </c>
      <c r="I36" s="178">
        <v>52328804.300000004</v>
      </c>
      <c r="J36" s="178">
        <v>1922401</v>
      </c>
      <c r="K36" s="178">
        <v>4316976.28</v>
      </c>
      <c r="L36" s="178">
        <v>436476.92</v>
      </c>
      <c r="M36" s="178">
        <v>147255832.44000003</v>
      </c>
    </row>
  </sheetData>
  <pageMargins left="0.7" right="0.7" top="0.78740157499999996" bottom="0.78740157499999996" header="0.3" footer="0.3"/>
  <pageSetup paperSize="9" orientation="portrait"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8"/>
  <sheetViews>
    <sheetView workbookViewId="0">
      <selection activeCell="I23" sqref="I23"/>
    </sheetView>
  </sheetViews>
  <sheetFormatPr defaultColWidth="9.140625" defaultRowHeight="15.75" x14ac:dyDescent="0.25"/>
  <cols>
    <col min="1" max="1" width="86.5703125" style="42" customWidth="1"/>
    <col min="2" max="2" width="16.7109375" style="45" bestFit="1" customWidth="1"/>
    <col min="3" max="3" width="15" style="105" hidden="1" customWidth="1"/>
    <col min="4" max="4" width="17.140625" style="105" hidden="1" customWidth="1"/>
    <col min="5" max="5" width="55.5703125" style="42" hidden="1" customWidth="1"/>
    <col min="6" max="6" width="16.28515625" style="45" bestFit="1" customWidth="1"/>
    <col min="7" max="7" width="6.5703125" style="105" hidden="1" customWidth="1"/>
    <col min="8" max="8" width="5.42578125" style="105" hidden="1" customWidth="1"/>
    <col min="9" max="16384" width="9.140625" style="42"/>
  </cols>
  <sheetData>
    <row r="1" spans="1:8" s="2" customFormat="1" ht="22.5" x14ac:dyDescent="0.3">
      <c r="A1" s="681"/>
      <c r="B1" s="681"/>
      <c r="C1" s="681"/>
      <c r="D1" s="681"/>
      <c r="E1" s="681"/>
      <c r="F1" s="681"/>
      <c r="G1" s="681"/>
      <c r="H1" s="681"/>
    </row>
    <row r="2" spans="1:8" s="2" customFormat="1" ht="22.5" x14ac:dyDescent="0.3">
      <c r="A2" s="681"/>
      <c r="B2" s="681"/>
      <c r="C2" s="681"/>
      <c r="D2" s="681"/>
      <c r="E2" s="681"/>
      <c r="F2" s="681"/>
      <c r="G2" s="681"/>
      <c r="H2" s="681"/>
    </row>
    <row r="3" spans="1:8" s="2" customFormat="1" ht="22.5" x14ac:dyDescent="0.3">
      <c r="A3" s="120"/>
      <c r="B3" s="121"/>
      <c r="C3" s="199"/>
      <c r="D3" s="199"/>
      <c r="E3" s="120"/>
      <c r="F3" s="121"/>
      <c r="G3" s="199"/>
      <c r="H3" s="199"/>
    </row>
    <row r="4" spans="1:8" s="2" customFormat="1" ht="23.25" thickBot="1" x14ac:dyDescent="0.35">
      <c r="A4" s="199"/>
      <c r="B4" s="121"/>
      <c r="C4" s="199"/>
      <c r="D4" s="1"/>
      <c r="E4" s="199"/>
      <c r="F4" s="264" t="s">
        <v>189</v>
      </c>
      <c r="G4" s="199"/>
      <c r="H4" s="1"/>
    </row>
    <row r="5" spans="1:8" s="2" customFormat="1" x14ac:dyDescent="0.25">
      <c r="A5" s="243"/>
      <c r="B5" s="256" t="s">
        <v>190</v>
      </c>
      <c r="C5" s="257"/>
      <c r="D5" s="257"/>
      <c r="E5" s="258"/>
      <c r="F5" s="259" t="s">
        <v>192</v>
      </c>
      <c r="G5" s="231"/>
      <c r="H5" s="6"/>
    </row>
    <row r="6" spans="1:8" s="2" customFormat="1" ht="16.5" thickBot="1" x14ac:dyDescent="0.3">
      <c r="A6" s="244" t="s">
        <v>188</v>
      </c>
      <c r="B6" s="260" t="s">
        <v>191</v>
      </c>
      <c r="C6" s="261" t="s">
        <v>5</v>
      </c>
      <c r="D6" s="261" t="s">
        <v>6</v>
      </c>
      <c r="E6" s="262" t="s">
        <v>187</v>
      </c>
      <c r="F6" s="263" t="s">
        <v>191</v>
      </c>
      <c r="G6" s="232" t="s">
        <v>5</v>
      </c>
      <c r="H6" s="202" t="s">
        <v>6</v>
      </c>
    </row>
    <row r="7" spans="1:8" s="2" customFormat="1" x14ac:dyDescent="0.25">
      <c r="A7" s="227" t="s">
        <v>8</v>
      </c>
      <c r="B7" s="228">
        <f>+SUM(B8:B11)</f>
        <v>1922401</v>
      </c>
      <c r="C7" s="203"/>
      <c r="D7" s="204"/>
      <c r="E7" s="230"/>
      <c r="F7" s="245">
        <f>SUM(F8:F11)</f>
        <v>0</v>
      </c>
      <c r="G7" s="233"/>
      <c r="H7" s="205"/>
    </row>
    <row r="8" spans="1:8" s="2" customFormat="1" hidden="1" x14ac:dyDescent="0.25">
      <c r="A8" s="206" t="s">
        <v>9</v>
      </c>
      <c r="B8" s="21">
        <v>55520</v>
      </c>
      <c r="C8" s="22">
        <v>92241</v>
      </c>
      <c r="D8" s="29" t="s">
        <v>10</v>
      </c>
      <c r="E8" s="19"/>
      <c r="F8" s="246"/>
      <c r="G8" s="161"/>
      <c r="H8" s="207"/>
    </row>
    <row r="9" spans="1:8" s="2" customFormat="1" hidden="1" x14ac:dyDescent="0.25">
      <c r="A9" s="206" t="s">
        <v>11</v>
      </c>
      <c r="B9" s="21">
        <f>108171+109620+15221+509931</f>
        <v>742943</v>
      </c>
      <c r="C9" s="22">
        <v>92241</v>
      </c>
      <c r="D9" s="29" t="s">
        <v>10</v>
      </c>
      <c r="E9" s="19"/>
      <c r="F9" s="246"/>
      <c r="G9" s="161"/>
      <c r="H9" s="207"/>
    </row>
    <row r="10" spans="1:8" s="2" customFormat="1" hidden="1" x14ac:dyDescent="0.25">
      <c r="A10" s="206" t="s">
        <v>12</v>
      </c>
      <c r="B10" s="21">
        <v>345411</v>
      </c>
      <c r="C10" s="22">
        <v>92241</v>
      </c>
      <c r="D10" s="29" t="s">
        <v>10</v>
      </c>
      <c r="E10" s="19"/>
      <c r="F10" s="246"/>
      <c r="G10" s="161"/>
      <c r="H10" s="207"/>
    </row>
    <row r="11" spans="1:8" s="2" customFormat="1" hidden="1" x14ac:dyDescent="0.25">
      <c r="A11" s="206" t="s">
        <v>13</v>
      </c>
      <c r="B11" s="21">
        <v>778527</v>
      </c>
      <c r="C11" s="22">
        <v>92241</v>
      </c>
      <c r="D11" s="29" t="s">
        <v>10</v>
      </c>
      <c r="E11" s="19"/>
      <c r="F11" s="246"/>
      <c r="G11" s="161"/>
      <c r="H11" s="207"/>
    </row>
    <row r="12" spans="1:8" s="2" customFormat="1" hidden="1" x14ac:dyDescent="0.25">
      <c r="A12" s="206"/>
      <c r="B12" s="21"/>
      <c r="C12" s="22"/>
      <c r="D12" s="29"/>
      <c r="E12" s="19"/>
      <c r="F12" s="246"/>
      <c r="G12" s="161"/>
      <c r="H12" s="207"/>
    </row>
    <row r="13" spans="1:8" s="2" customFormat="1" x14ac:dyDescent="0.25">
      <c r="A13" s="206" t="s">
        <v>14</v>
      </c>
      <c r="B13" s="46">
        <f>+SUM(B14:B14)</f>
        <v>33306.15</v>
      </c>
      <c r="C13" s="22"/>
      <c r="D13" s="29"/>
      <c r="E13" s="19"/>
      <c r="F13" s="247">
        <f>+SUM(F14:F17)</f>
        <v>581682.51</v>
      </c>
      <c r="G13" s="161"/>
      <c r="H13" s="207"/>
    </row>
    <row r="14" spans="1:8" s="2" customFormat="1" hidden="1" x14ac:dyDescent="0.25">
      <c r="A14" s="208" t="s">
        <v>146</v>
      </c>
      <c r="B14" s="21">
        <v>33306.15</v>
      </c>
      <c r="C14" s="22">
        <v>90001</v>
      </c>
      <c r="D14" s="29">
        <v>4113</v>
      </c>
      <c r="E14" s="24" t="s">
        <v>114</v>
      </c>
      <c r="F14" s="246">
        <v>141555.72</v>
      </c>
      <c r="G14" s="161">
        <v>90877</v>
      </c>
      <c r="H14" s="207">
        <v>4213</v>
      </c>
    </row>
    <row r="15" spans="1:8" s="2" customFormat="1" hidden="1" x14ac:dyDescent="0.25">
      <c r="A15" s="208"/>
      <c r="B15" s="21"/>
      <c r="C15" s="22"/>
      <c r="D15" s="29"/>
      <c r="E15" s="24" t="s">
        <v>156</v>
      </c>
      <c r="F15" s="246">
        <v>47117.79</v>
      </c>
      <c r="G15" s="161">
        <v>90877</v>
      </c>
      <c r="H15" s="207">
        <v>4213</v>
      </c>
    </row>
    <row r="16" spans="1:8" s="2" customFormat="1" hidden="1" x14ac:dyDescent="0.25">
      <c r="A16" s="208"/>
      <c r="B16" s="21"/>
      <c r="C16" s="22"/>
      <c r="D16" s="29"/>
      <c r="E16" s="24" t="s">
        <v>121</v>
      </c>
      <c r="F16" s="246">
        <v>975</v>
      </c>
      <c r="G16" s="161">
        <v>90877</v>
      </c>
      <c r="H16" s="207">
        <v>4213</v>
      </c>
    </row>
    <row r="17" spans="1:8" s="2" customFormat="1" hidden="1" x14ac:dyDescent="0.25">
      <c r="A17" s="208"/>
      <c r="B17" s="21"/>
      <c r="C17" s="22"/>
      <c r="D17" s="29"/>
      <c r="E17" s="24" t="s">
        <v>110</v>
      </c>
      <c r="F17" s="246">
        <v>392034</v>
      </c>
      <c r="G17" s="161">
        <v>90909</v>
      </c>
      <c r="H17" s="207">
        <v>4213</v>
      </c>
    </row>
    <row r="18" spans="1:8" s="2" customFormat="1" hidden="1" x14ac:dyDescent="0.25">
      <c r="A18" s="208"/>
      <c r="B18" s="21"/>
      <c r="C18" s="22"/>
      <c r="D18" s="29"/>
      <c r="E18" s="24"/>
      <c r="F18" s="246"/>
      <c r="G18" s="161"/>
      <c r="H18" s="207"/>
    </row>
    <row r="19" spans="1:8" s="2" customFormat="1" hidden="1" x14ac:dyDescent="0.25">
      <c r="A19" s="206"/>
      <c r="B19" s="21"/>
      <c r="C19" s="22"/>
      <c r="D19" s="29"/>
      <c r="E19" s="19"/>
      <c r="F19" s="246"/>
      <c r="G19" s="161"/>
      <c r="H19" s="207"/>
    </row>
    <row r="20" spans="1:8" s="2" customFormat="1" x14ac:dyDescent="0.25">
      <c r="A20" s="206" t="s">
        <v>15</v>
      </c>
      <c r="B20" s="47">
        <f>+B21</f>
        <v>4535.82</v>
      </c>
      <c r="C20" s="22"/>
      <c r="D20" s="29"/>
      <c r="E20" s="19"/>
      <c r="F20" s="248"/>
      <c r="G20" s="161"/>
      <c r="H20" s="207"/>
    </row>
    <row r="21" spans="1:8" s="2" customFormat="1" hidden="1" x14ac:dyDescent="0.25">
      <c r="A21" s="206" t="s">
        <v>16</v>
      </c>
      <c r="B21" s="21">
        <v>4535.82</v>
      </c>
      <c r="C21" s="22">
        <v>89450</v>
      </c>
      <c r="D21" s="29">
        <v>4113</v>
      </c>
      <c r="E21" s="19"/>
      <c r="F21" s="246"/>
      <c r="G21" s="161"/>
      <c r="H21" s="207"/>
    </row>
    <row r="22" spans="1:8" s="2" customFormat="1" hidden="1" x14ac:dyDescent="0.25">
      <c r="A22" s="209"/>
      <c r="B22" s="163"/>
      <c r="C22" s="161"/>
      <c r="D22" s="22"/>
      <c r="E22" s="32"/>
      <c r="F22" s="249"/>
      <c r="G22" s="161"/>
      <c r="H22" s="210"/>
    </row>
    <row r="23" spans="1:8" s="18" customFormat="1" x14ac:dyDescent="0.25">
      <c r="A23" s="206" t="s">
        <v>17</v>
      </c>
      <c r="B23" s="47">
        <f>SUM(B24:B40)</f>
        <v>8909313</v>
      </c>
      <c r="C23" s="33"/>
      <c r="D23" s="16"/>
      <c r="E23" s="19"/>
      <c r="F23" s="248"/>
      <c r="G23" s="33"/>
      <c r="H23" s="211"/>
    </row>
    <row r="24" spans="1:8" s="2" customFormat="1" hidden="1" x14ac:dyDescent="0.25">
      <c r="A24" s="206" t="s">
        <v>37</v>
      </c>
      <c r="B24" s="21">
        <v>3744000</v>
      </c>
      <c r="C24" s="34">
        <v>13010</v>
      </c>
      <c r="D24" s="29">
        <v>4116</v>
      </c>
      <c r="E24" s="19"/>
      <c r="F24" s="246"/>
      <c r="G24" s="34"/>
      <c r="H24" s="207"/>
    </row>
    <row r="25" spans="1:8" s="2" customFormat="1" hidden="1" x14ac:dyDescent="0.25">
      <c r="A25" s="206" t="s">
        <v>37</v>
      </c>
      <c r="B25" s="21">
        <v>8000</v>
      </c>
      <c r="C25" s="34">
        <v>13010</v>
      </c>
      <c r="D25" s="29">
        <v>4116</v>
      </c>
      <c r="E25" s="19"/>
      <c r="F25" s="246"/>
      <c r="G25" s="34"/>
      <c r="H25" s="207"/>
    </row>
    <row r="26" spans="1:8" s="18" customFormat="1" hidden="1" x14ac:dyDescent="0.25">
      <c r="A26" s="206" t="s">
        <v>97</v>
      </c>
      <c r="B26" s="21">
        <f>102369+33000+33000</f>
        <v>168369</v>
      </c>
      <c r="C26" s="34">
        <v>13101</v>
      </c>
      <c r="D26" s="29">
        <v>4116</v>
      </c>
      <c r="E26" s="19"/>
      <c r="F26" s="246"/>
      <c r="G26" s="34"/>
      <c r="H26" s="207"/>
    </row>
    <row r="27" spans="1:8" s="2" customFormat="1" hidden="1" x14ac:dyDescent="0.25">
      <c r="A27" s="206" t="s">
        <v>65</v>
      </c>
      <c r="B27" s="21">
        <f>40896+16866</f>
        <v>57762</v>
      </c>
      <c r="C27" s="34">
        <v>13101</v>
      </c>
      <c r="D27" s="29" t="s">
        <v>18</v>
      </c>
      <c r="E27" s="19"/>
      <c r="F27" s="246"/>
      <c r="G27" s="34"/>
      <c r="H27" s="207"/>
    </row>
    <row r="28" spans="1:8" s="2" customFormat="1" hidden="1" x14ac:dyDescent="0.25">
      <c r="A28" s="212" t="s">
        <v>98</v>
      </c>
      <c r="B28" s="21">
        <f>130982+66000+53289</f>
        <v>250271</v>
      </c>
      <c r="C28" s="35">
        <v>13101</v>
      </c>
      <c r="D28" s="36">
        <v>4116</v>
      </c>
      <c r="E28" s="107"/>
      <c r="F28" s="246"/>
      <c r="G28" s="35"/>
      <c r="H28" s="213"/>
    </row>
    <row r="29" spans="1:8" s="2" customFormat="1" hidden="1" x14ac:dyDescent="0.25">
      <c r="A29" s="212" t="s">
        <v>99</v>
      </c>
      <c r="B29" s="21">
        <v>22000</v>
      </c>
      <c r="C29" s="35">
        <v>13101</v>
      </c>
      <c r="D29" s="36">
        <v>4116</v>
      </c>
      <c r="E29" s="107"/>
      <c r="F29" s="246"/>
      <c r="G29" s="35"/>
      <c r="H29" s="213"/>
    </row>
    <row r="30" spans="1:8" s="18" customFormat="1" hidden="1" x14ac:dyDescent="0.25">
      <c r="A30" s="206" t="s">
        <v>20</v>
      </c>
      <c r="B30" s="21">
        <f>58288+28935+29801</f>
        <v>117024</v>
      </c>
      <c r="C30" s="34">
        <v>13234</v>
      </c>
      <c r="D30" s="29">
        <v>4116</v>
      </c>
      <c r="E30" s="19"/>
      <c r="F30" s="246"/>
      <c r="G30" s="34"/>
      <c r="H30" s="207"/>
    </row>
    <row r="31" spans="1:8" s="18" customFormat="1" hidden="1" x14ac:dyDescent="0.25">
      <c r="A31" s="212" t="s">
        <v>23</v>
      </c>
      <c r="B31" s="21">
        <f>38094+8250+8250</f>
        <v>54594</v>
      </c>
      <c r="C31" s="108">
        <v>13234</v>
      </c>
      <c r="D31" s="29">
        <v>4116</v>
      </c>
      <c r="E31" s="107"/>
      <c r="F31" s="246"/>
      <c r="G31" s="108"/>
      <c r="H31" s="207"/>
    </row>
    <row r="32" spans="1:8" s="18" customFormat="1" hidden="1" x14ac:dyDescent="0.25">
      <c r="A32" s="206" t="s">
        <v>22</v>
      </c>
      <c r="B32" s="21">
        <f>44000+22000+22000</f>
        <v>88000</v>
      </c>
      <c r="C32" s="34">
        <v>13234</v>
      </c>
      <c r="D32" s="29">
        <v>4116</v>
      </c>
      <c r="E32" s="19"/>
      <c r="F32" s="246"/>
      <c r="G32" s="34"/>
      <c r="H32" s="207"/>
    </row>
    <row r="33" spans="1:8" s="18" customFormat="1" hidden="1" x14ac:dyDescent="0.25">
      <c r="A33" s="206" t="s">
        <v>19</v>
      </c>
      <c r="B33" s="21">
        <v>4643</v>
      </c>
      <c r="C33" s="108">
        <v>13234</v>
      </c>
      <c r="D33" s="29">
        <v>4116</v>
      </c>
      <c r="E33" s="19"/>
      <c r="F33" s="246"/>
      <c r="G33" s="108"/>
      <c r="H33" s="207"/>
    </row>
    <row r="34" spans="1:8" s="18" customFormat="1" hidden="1" x14ac:dyDescent="0.25">
      <c r="A34" s="212" t="s">
        <v>67</v>
      </c>
      <c r="B34" s="21">
        <f>86069+44000+41655</f>
        <v>171724</v>
      </c>
      <c r="C34" s="108">
        <v>13234</v>
      </c>
      <c r="D34" s="29">
        <v>4116</v>
      </c>
      <c r="E34" s="107"/>
      <c r="F34" s="246"/>
      <c r="G34" s="108"/>
      <c r="H34" s="207"/>
    </row>
    <row r="35" spans="1:8" s="18" customFormat="1" hidden="1" x14ac:dyDescent="0.25">
      <c r="A35" s="212" t="s">
        <v>25</v>
      </c>
      <c r="B35" s="21">
        <f>218760+65461</f>
        <v>284221</v>
      </c>
      <c r="C35" s="34">
        <v>13234</v>
      </c>
      <c r="D35" s="29">
        <v>4116</v>
      </c>
      <c r="E35" s="107"/>
      <c r="F35" s="246"/>
      <c r="G35" s="34"/>
      <c r="H35" s="207"/>
    </row>
    <row r="36" spans="1:8" s="18" customFormat="1" hidden="1" x14ac:dyDescent="0.25">
      <c r="A36" s="212" t="s">
        <v>26</v>
      </c>
      <c r="B36" s="21">
        <f>66000+33000+31384</f>
        <v>130384</v>
      </c>
      <c r="C36" s="34">
        <v>13234</v>
      </c>
      <c r="D36" s="29">
        <v>4116</v>
      </c>
      <c r="E36" s="107"/>
      <c r="F36" s="246"/>
      <c r="G36" s="34"/>
      <c r="H36" s="207"/>
    </row>
    <row r="37" spans="1:8" s="2" customFormat="1" hidden="1" x14ac:dyDescent="0.25">
      <c r="A37" s="212" t="s">
        <v>28</v>
      </c>
      <c r="B37" s="21">
        <f>528297+254271+254121</f>
        <v>1036689</v>
      </c>
      <c r="C37" s="35">
        <v>13234</v>
      </c>
      <c r="D37" s="29">
        <v>4116</v>
      </c>
      <c r="E37" s="107"/>
      <c r="F37" s="246"/>
      <c r="G37" s="35"/>
      <c r="H37" s="207"/>
    </row>
    <row r="38" spans="1:8" s="18" customFormat="1" hidden="1" x14ac:dyDescent="0.25">
      <c r="A38" s="212" t="s">
        <v>24</v>
      </c>
      <c r="B38" s="21">
        <f>1387835+661461+644272</f>
        <v>2693568</v>
      </c>
      <c r="C38" s="34">
        <v>13234</v>
      </c>
      <c r="D38" s="29">
        <v>4116</v>
      </c>
      <c r="E38" s="107"/>
      <c r="F38" s="246"/>
      <c r="G38" s="34"/>
      <c r="H38" s="207"/>
    </row>
    <row r="39" spans="1:8" s="2" customFormat="1" hidden="1" x14ac:dyDescent="0.25">
      <c r="A39" s="212" t="s">
        <v>66</v>
      </c>
      <c r="B39" s="21">
        <f>22000+11000+11000</f>
        <v>44000</v>
      </c>
      <c r="C39" s="35">
        <v>13234</v>
      </c>
      <c r="D39" s="36">
        <v>4116</v>
      </c>
      <c r="E39" s="107"/>
      <c r="F39" s="246"/>
      <c r="G39" s="35"/>
      <c r="H39" s="213"/>
    </row>
    <row r="40" spans="1:8" s="2" customFormat="1" hidden="1" x14ac:dyDescent="0.25">
      <c r="A40" s="212" t="s">
        <v>31</v>
      </c>
      <c r="B40" s="21">
        <f>10064+24000</f>
        <v>34064</v>
      </c>
      <c r="C40" s="35">
        <v>13234</v>
      </c>
      <c r="D40" s="36">
        <v>4116</v>
      </c>
      <c r="E40" s="107"/>
      <c r="F40" s="246"/>
      <c r="G40" s="35"/>
      <c r="H40" s="213"/>
    </row>
    <row r="41" spans="1:8" s="2" customFormat="1" hidden="1" x14ac:dyDescent="0.25">
      <c r="A41" s="214"/>
      <c r="B41" s="21"/>
      <c r="C41" s="35"/>
      <c r="D41" s="36"/>
      <c r="E41" s="23"/>
      <c r="F41" s="246"/>
      <c r="G41" s="35"/>
      <c r="H41" s="213"/>
    </row>
    <row r="42" spans="1:8" s="2" customFormat="1" x14ac:dyDescent="0.25">
      <c r="A42" s="208" t="s">
        <v>116</v>
      </c>
      <c r="B42" s="20">
        <f>+SUM(B43:B44)</f>
        <v>36300</v>
      </c>
      <c r="C42" s="29"/>
      <c r="D42" s="36"/>
      <c r="E42" s="24"/>
      <c r="F42" s="250"/>
      <c r="G42" s="234"/>
      <c r="H42" s="213"/>
    </row>
    <row r="43" spans="1:8" s="2" customFormat="1" hidden="1" x14ac:dyDescent="0.25">
      <c r="A43" s="212" t="s">
        <v>115</v>
      </c>
      <c r="B43" s="21">
        <v>36300</v>
      </c>
      <c r="C43" s="41">
        <v>27003</v>
      </c>
      <c r="D43" s="36">
        <v>4116</v>
      </c>
      <c r="E43" s="107"/>
      <c r="F43" s="246"/>
      <c r="G43" s="35"/>
      <c r="H43" s="213"/>
    </row>
    <row r="44" spans="1:8" s="2" customFormat="1" hidden="1" x14ac:dyDescent="0.25">
      <c r="A44" s="212"/>
      <c r="B44" s="21"/>
      <c r="C44" s="36"/>
      <c r="D44" s="36"/>
      <c r="E44" s="107"/>
      <c r="F44" s="246"/>
      <c r="G44" s="235"/>
      <c r="H44" s="213"/>
    </row>
    <row r="45" spans="1:8" s="2" customFormat="1" x14ac:dyDescent="0.25">
      <c r="A45" s="208" t="s">
        <v>33</v>
      </c>
      <c r="B45" s="20">
        <f>+SUM(B46:B50)</f>
        <v>143000</v>
      </c>
      <c r="C45" s="29"/>
      <c r="D45" s="36"/>
      <c r="E45" s="24"/>
      <c r="F45" s="250"/>
      <c r="G45" s="234"/>
      <c r="H45" s="213"/>
    </row>
    <row r="46" spans="1:8" s="2" customFormat="1" hidden="1" x14ac:dyDescent="0.25">
      <c r="A46" s="212" t="s">
        <v>122</v>
      </c>
      <c r="B46" s="21">
        <v>80000</v>
      </c>
      <c r="C46" s="29">
        <v>34070</v>
      </c>
      <c r="D46" s="29">
        <v>4116</v>
      </c>
      <c r="E46" s="107"/>
      <c r="F46" s="246"/>
      <c r="G46" s="234"/>
      <c r="H46" s="207"/>
    </row>
    <row r="47" spans="1:8" s="2" customFormat="1" hidden="1" x14ac:dyDescent="0.25">
      <c r="A47" s="212" t="s">
        <v>142</v>
      </c>
      <c r="B47" s="21">
        <v>25000</v>
      </c>
      <c r="C47" s="29">
        <v>34070</v>
      </c>
      <c r="D47" s="29">
        <v>4116</v>
      </c>
      <c r="E47" s="107"/>
      <c r="F47" s="246"/>
      <c r="G47" s="234"/>
      <c r="H47" s="207"/>
    </row>
    <row r="48" spans="1:8" s="2" customFormat="1" hidden="1" x14ac:dyDescent="0.25">
      <c r="A48" s="212" t="s">
        <v>143</v>
      </c>
      <c r="B48" s="21">
        <v>18000</v>
      </c>
      <c r="C48" s="29">
        <v>34070</v>
      </c>
      <c r="D48" s="29">
        <v>4116</v>
      </c>
      <c r="E48" s="107"/>
      <c r="F48" s="246"/>
      <c r="G48" s="234"/>
      <c r="H48" s="207"/>
    </row>
    <row r="49" spans="1:8" s="2" customFormat="1" hidden="1" x14ac:dyDescent="0.25">
      <c r="A49" s="212" t="s">
        <v>144</v>
      </c>
      <c r="B49" s="21">
        <v>20000</v>
      </c>
      <c r="C49" s="29">
        <v>34070</v>
      </c>
      <c r="D49" s="29">
        <v>4116</v>
      </c>
      <c r="E49" s="107"/>
      <c r="F49" s="246"/>
      <c r="G49" s="234"/>
      <c r="H49" s="207"/>
    </row>
    <row r="50" spans="1:8" hidden="1" x14ac:dyDescent="0.25">
      <c r="A50" s="212"/>
      <c r="B50" s="21"/>
      <c r="C50" s="51"/>
      <c r="D50" s="51"/>
      <c r="E50" s="107"/>
      <c r="F50" s="246"/>
      <c r="G50" s="236"/>
      <c r="H50" s="215"/>
    </row>
    <row r="51" spans="1:8" s="2" customFormat="1" x14ac:dyDescent="0.25">
      <c r="A51" s="208" t="s">
        <v>34</v>
      </c>
      <c r="B51" s="21">
        <f>SUM(B52:B56)</f>
        <v>8440669.9100000001</v>
      </c>
      <c r="C51" s="29"/>
      <c r="D51" s="36"/>
      <c r="E51" s="24"/>
      <c r="F51" s="246"/>
      <c r="G51" s="234"/>
      <c r="H51" s="213"/>
    </row>
    <row r="52" spans="1:8" s="2" customFormat="1" hidden="1" x14ac:dyDescent="0.25">
      <c r="A52" s="212" t="s">
        <v>68</v>
      </c>
      <c r="B52" s="53">
        <v>972546.41</v>
      </c>
      <c r="C52" s="29">
        <v>33019</v>
      </c>
      <c r="D52" s="36" t="s">
        <v>18</v>
      </c>
      <c r="E52" s="107"/>
      <c r="F52" s="251"/>
      <c r="G52" s="234"/>
      <c r="H52" s="213"/>
    </row>
    <row r="53" spans="1:8" s="2" customFormat="1" hidden="1" x14ac:dyDescent="0.25">
      <c r="A53" s="212" t="s">
        <v>117</v>
      </c>
      <c r="B53" s="55">
        <v>192000</v>
      </c>
      <c r="C53" s="29">
        <v>33339</v>
      </c>
      <c r="D53" s="36">
        <v>4116</v>
      </c>
      <c r="E53" s="107"/>
      <c r="F53" s="252"/>
      <c r="G53" s="234"/>
      <c r="H53" s="213"/>
    </row>
    <row r="54" spans="1:8" s="2" customFormat="1" hidden="1" x14ac:dyDescent="0.25">
      <c r="A54" s="212" t="s">
        <v>145</v>
      </c>
      <c r="B54" s="55">
        <f>354667.65+62588.42</f>
        <v>417256.07</v>
      </c>
      <c r="C54" s="29">
        <v>33019</v>
      </c>
      <c r="D54" s="36">
        <v>4116</v>
      </c>
      <c r="E54" s="107"/>
      <c r="F54" s="252"/>
      <c r="G54" s="234"/>
      <c r="H54" s="213"/>
    </row>
    <row r="55" spans="1:8" s="2" customFormat="1" hidden="1" x14ac:dyDescent="0.25">
      <c r="A55" s="212" t="s">
        <v>148</v>
      </c>
      <c r="B55" s="114">
        <v>6858867.4299999997</v>
      </c>
      <c r="C55" s="29">
        <v>33019</v>
      </c>
      <c r="D55" s="36">
        <v>4116</v>
      </c>
      <c r="E55" s="107"/>
      <c r="F55" s="253"/>
      <c r="G55" s="234"/>
      <c r="H55" s="213"/>
    </row>
    <row r="56" spans="1:8" s="2" customFormat="1" hidden="1" x14ac:dyDescent="0.25">
      <c r="A56" s="216"/>
      <c r="B56" s="55"/>
      <c r="C56" s="28"/>
      <c r="D56" s="36"/>
      <c r="E56" s="54"/>
      <c r="F56" s="252"/>
      <c r="G56" s="237"/>
      <c r="H56" s="213"/>
    </row>
    <row r="57" spans="1:8" s="2" customFormat="1" x14ac:dyDescent="0.25">
      <c r="A57" s="206" t="s">
        <v>35</v>
      </c>
      <c r="B57" s="47">
        <f>+SUM(B58:B60)</f>
        <v>2908097.87</v>
      </c>
      <c r="C57" s="28"/>
      <c r="D57" s="29"/>
      <c r="E57" s="19"/>
      <c r="F57" s="248">
        <f>SUM(F58:F59)</f>
        <v>5171285.2200000007</v>
      </c>
      <c r="G57" s="237"/>
      <c r="H57" s="207"/>
    </row>
    <row r="58" spans="1:8" s="2" customFormat="1" hidden="1" x14ac:dyDescent="0.25">
      <c r="A58" s="212" t="s">
        <v>60</v>
      </c>
      <c r="B58" s="53">
        <v>2686667.87</v>
      </c>
      <c r="C58" s="28">
        <v>17003</v>
      </c>
      <c r="D58" s="29" t="s">
        <v>18</v>
      </c>
      <c r="E58" s="107" t="s">
        <v>103</v>
      </c>
      <c r="F58" s="251">
        <v>4395592.4400000004</v>
      </c>
      <c r="G58" s="237">
        <v>17871</v>
      </c>
      <c r="H58" s="207">
        <v>4216</v>
      </c>
    </row>
    <row r="59" spans="1:8" s="2" customFormat="1" hidden="1" x14ac:dyDescent="0.25">
      <c r="A59" s="212" t="s">
        <v>105</v>
      </c>
      <c r="B59" s="53">
        <v>188215.5</v>
      </c>
      <c r="C59" s="28">
        <v>17003</v>
      </c>
      <c r="D59" s="29">
        <v>4116</v>
      </c>
      <c r="E59" s="107" t="s">
        <v>103</v>
      </c>
      <c r="F59" s="251">
        <v>775692.78</v>
      </c>
      <c r="G59" s="237">
        <v>17870</v>
      </c>
      <c r="H59" s="207">
        <v>4216</v>
      </c>
    </row>
    <row r="60" spans="1:8" s="2" customFormat="1" hidden="1" x14ac:dyDescent="0.25">
      <c r="A60" s="212" t="s">
        <v>105</v>
      </c>
      <c r="B60" s="53">
        <v>33214.5</v>
      </c>
      <c r="C60" s="28">
        <v>17002</v>
      </c>
      <c r="D60" s="29">
        <v>4116</v>
      </c>
      <c r="E60" s="107"/>
      <c r="F60" s="251"/>
      <c r="G60" s="237"/>
      <c r="H60" s="207"/>
    </row>
    <row r="61" spans="1:8" hidden="1" x14ac:dyDescent="0.25">
      <c r="A61" s="217"/>
      <c r="B61" s="56"/>
      <c r="C61" s="60"/>
      <c r="D61" s="51"/>
      <c r="E61" s="58"/>
      <c r="F61" s="254"/>
      <c r="G61" s="238"/>
      <c r="H61" s="215"/>
    </row>
    <row r="62" spans="1:8" s="2" customFormat="1" x14ac:dyDescent="0.25">
      <c r="A62" s="206" t="s">
        <v>38</v>
      </c>
      <c r="B62" s="47">
        <f>+B63</f>
        <v>600000</v>
      </c>
      <c r="C62" s="28"/>
      <c r="D62" s="29"/>
      <c r="E62" s="19"/>
      <c r="F62" s="248"/>
      <c r="G62" s="237"/>
      <c r="H62" s="207"/>
    </row>
    <row r="63" spans="1:8" s="2" customFormat="1" hidden="1" x14ac:dyDescent="0.25">
      <c r="A63" s="206" t="s">
        <v>39</v>
      </c>
      <c r="B63" s="47">
        <v>600000</v>
      </c>
      <c r="C63" s="28">
        <v>22005</v>
      </c>
      <c r="D63" s="29" t="s">
        <v>18</v>
      </c>
      <c r="E63" s="19"/>
      <c r="F63" s="248"/>
      <c r="G63" s="237"/>
      <c r="H63" s="207"/>
    </row>
    <row r="64" spans="1:8" hidden="1" x14ac:dyDescent="0.25">
      <c r="A64" s="218"/>
      <c r="B64" s="56"/>
      <c r="C64" s="60"/>
      <c r="D64" s="51"/>
      <c r="E64" s="61"/>
      <c r="F64" s="254"/>
      <c r="G64" s="238"/>
      <c r="H64" s="215"/>
    </row>
    <row r="65" spans="1:8" s="2" customFormat="1" x14ac:dyDescent="0.25">
      <c r="A65" s="206" t="s">
        <v>40</v>
      </c>
      <c r="B65" s="47">
        <f>SUM(B66:B73)</f>
        <v>497328</v>
      </c>
      <c r="C65" s="28"/>
      <c r="D65" s="29"/>
      <c r="E65" s="19"/>
      <c r="F65" s="248"/>
      <c r="G65" s="237"/>
      <c r="H65" s="207"/>
    </row>
    <row r="66" spans="1:8" s="2" customFormat="1" hidden="1" x14ac:dyDescent="0.25">
      <c r="A66" s="208" t="s">
        <v>118</v>
      </c>
      <c r="B66" s="47">
        <v>134988</v>
      </c>
      <c r="C66" s="28">
        <v>14023</v>
      </c>
      <c r="D66" s="29">
        <v>4116</v>
      </c>
      <c r="E66" s="24"/>
      <c r="F66" s="248"/>
      <c r="G66" s="237"/>
      <c r="H66" s="207"/>
    </row>
    <row r="67" spans="1:8" s="2" customFormat="1" hidden="1" x14ac:dyDescent="0.25">
      <c r="A67" s="208" t="s">
        <v>119</v>
      </c>
      <c r="B67" s="47">
        <v>72000</v>
      </c>
      <c r="C67" s="28">
        <v>14336</v>
      </c>
      <c r="D67" s="29">
        <v>4116</v>
      </c>
      <c r="E67" s="24"/>
      <c r="F67" s="248"/>
      <c r="G67" s="237"/>
      <c r="H67" s="207"/>
    </row>
    <row r="68" spans="1:8" s="2" customFormat="1" hidden="1" x14ac:dyDescent="0.25">
      <c r="A68" s="208" t="s">
        <v>118</v>
      </c>
      <c r="B68" s="47">
        <v>800</v>
      </c>
      <c r="C68" s="28">
        <v>14023</v>
      </c>
      <c r="D68" s="29">
        <v>4116</v>
      </c>
      <c r="E68" s="24"/>
      <c r="F68" s="248"/>
      <c r="G68" s="237"/>
      <c r="H68" s="207"/>
    </row>
    <row r="69" spans="1:8" s="2" customFormat="1" hidden="1" x14ac:dyDescent="0.25">
      <c r="A69" s="208" t="s">
        <v>118</v>
      </c>
      <c r="B69" s="47">
        <v>66060</v>
      </c>
      <c r="C69" s="28">
        <v>14023</v>
      </c>
      <c r="D69" s="29">
        <v>4116</v>
      </c>
      <c r="E69" s="24"/>
      <c r="F69" s="248"/>
      <c r="G69" s="237"/>
      <c r="H69" s="207"/>
    </row>
    <row r="70" spans="1:8" s="2" customFormat="1" hidden="1" x14ac:dyDescent="0.25">
      <c r="A70" s="208" t="s">
        <v>136</v>
      </c>
      <c r="B70" s="47">
        <v>72000</v>
      </c>
      <c r="C70" s="28">
        <v>14336</v>
      </c>
      <c r="D70" s="29">
        <v>4116</v>
      </c>
      <c r="E70" s="24"/>
      <c r="F70" s="248"/>
      <c r="G70" s="237"/>
      <c r="H70" s="207"/>
    </row>
    <row r="71" spans="1:8" s="2" customFormat="1" hidden="1" x14ac:dyDescent="0.25">
      <c r="A71" s="208" t="s">
        <v>137</v>
      </c>
      <c r="B71" s="47">
        <v>72000</v>
      </c>
      <c r="C71" s="28">
        <v>14336</v>
      </c>
      <c r="D71" s="29">
        <v>4116</v>
      </c>
      <c r="E71" s="24"/>
      <c r="F71" s="248"/>
      <c r="G71" s="237"/>
      <c r="H71" s="207"/>
    </row>
    <row r="72" spans="1:8" s="2" customFormat="1" hidden="1" x14ac:dyDescent="0.25">
      <c r="A72" s="208" t="s">
        <v>153</v>
      </c>
      <c r="B72" s="47">
        <v>72000</v>
      </c>
      <c r="C72" s="28">
        <v>14336</v>
      </c>
      <c r="D72" s="29">
        <v>4116</v>
      </c>
      <c r="E72" s="24"/>
      <c r="F72" s="248"/>
      <c r="G72" s="237"/>
      <c r="H72" s="207"/>
    </row>
    <row r="73" spans="1:8" s="2" customFormat="1" hidden="1" x14ac:dyDescent="0.25">
      <c r="A73" s="208" t="s">
        <v>113</v>
      </c>
      <c r="B73" s="47">
        <v>7480</v>
      </c>
      <c r="C73" s="28">
        <v>14137</v>
      </c>
      <c r="D73" s="29">
        <v>4116</v>
      </c>
      <c r="E73" s="24"/>
      <c r="F73" s="248"/>
      <c r="G73" s="237"/>
      <c r="H73" s="207"/>
    </row>
    <row r="74" spans="1:8" s="2" customFormat="1" hidden="1" x14ac:dyDescent="0.25">
      <c r="A74" s="206"/>
      <c r="B74" s="47"/>
      <c r="C74" s="28"/>
      <c r="D74" s="48"/>
      <c r="E74" s="19"/>
      <c r="F74" s="248"/>
      <c r="G74" s="237"/>
      <c r="H74" s="219"/>
    </row>
    <row r="75" spans="1:8" s="2" customFormat="1" x14ac:dyDescent="0.25">
      <c r="A75" s="206" t="s">
        <v>41</v>
      </c>
      <c r="B75" s="46">
        <f>+SUM(B76:B80)</f>
        <v>185374</v>
      </c>
      <c r="C75" s="28"/>
      <c r="D75" s="48"/>
      <c r="E75" s="19"/>
      <c r="F75" s="247">
        <f>SUM(F76)</f>
        <v>450000</v>
      </c>
      <c r="G75" s="237"/>
      <c r="H75" s="219"/>
    </row>
    <row r="76" spans="1:8" s="2" customFormat="1" hidden="1" x14ac:dyDescent="0.25">
      <c r="A76" s="208" t="s">
        <v>93</v>
      </c>
      <c r="B76" s="47">
        <v>18062.5</v>
      </c>
      <c r="C76" s="28">
        <v>35019</v>
      </c>
      <c r="D76" s="48">
        <v>4116</v>
      </c>
      <c r="E76" s="24" t="s">
        <v>155</v>
      </c>
      <c r="F76" s="248">
        <v>450000</v>
      </c>
      <c r="G76" s="237">
        <v>35621</v>
      </c>
      <c r="H76" s="219">
        <v>4216</v>
      </c>
    </row>
    <row r="77" spans="1:8" s="2" customFormat="1" hidden="1" x14ac:dyDescent="0.25">
      <c r="A77" s="208" t="s">
        <v>94</v>
      </c>
      <c r="B77" s="47">
        <v>17977.5</v>
      </c>
      <c r="C77" s="28">
        <v>35019</v>
      </c>
      <c r="D77" s="48">
        <v>4116</v>
      </c>
      <c r="E77" s="24"/>
      <c r="F77" s="248"/>
      <c r="G77" s="237"/>
      <c r="H77" s="219"/>
    </row>
    <row r="78" spans="1:8" s="2" customFormat="1" hidden="1" x14ac:dyDescent="0.25">
      <c r="A78" s="208" t="s">
        <v>95</v>
      </c>
      <c r="B78" s="47">
        <v>32084</v>
      </c>
      <c r="C78" s="28">
        <v>35019</v>
      </c>
      <c r="D78" s="48">
        <v>4116</v>
      </c>
      <c r="E78" s="24"/>
      <c r="F78" s="248"/>
      <c r="G78" s="237"/>
      <c r="H78" s="219"/>
    </row>
    <row r="79" spans="1:8" s="2" customFormat="1" hidden="1" x14ac:dyDescent="0.25">
      <c r="A79" s="208" t="s">
        <v>95</v>
      </c>
      <c r="B79" s="47">
        <v>77000</v>
      </c>
      <c r="C79" s="28">
        <v>35019</v>
      </c>
      <c r="D79" s="48">
        <v>4116</v>
      </c>
      <c r="E79" s="24"/>
      <c r="F79" s="248"/>
      <c r="G79" s="237"/>
      <c r="H79" s="219"/>
    </row>
    <row r="80" spans="1:8" s="2" customFormat="1" hidden="1" x14ac:dyDescent="0.25">
      <c r="A80" s="208" t="s">
        <v>92</v>
      </c>
      <c r="B80" s="47">
        <v>40250</v>
      </c>
      <c r="C80" s="28">
        <v>35019</v>
      </c>
      <c r="D80" s="48">
        <v>4116</v>
      </c>
      <c r="E80" s="24"/>
      <c r="F80" s="248"/>
      <c r="G80" s="237"/>
      <c r="H80" s="219"/>
    </row>
    <row r="81" spans="1:8" s="2" customFormat="1" hidden="1" x14ac:dyDescent="0.25">
      <c r="A81" s="208"/>
      <c r="B81" s="47"/>
      <c r="C81" s="28"/>
      <c r="D81" s="48"/>
      <c r="E81" s="24"/>
      <c r="F81" s="248"/>
      <c r="G81" s="237"/>
      <c r="H81" s="219"/>
    </row>
    <row r="82" spans="1:8" s="2" customFormat="1" x14ac:dyDescent="0.25">
      <c r="A82" s="206" t="s">
        <v>45</v>
      </c>
      <c r="B82" s="47">
        <f>+SUM(B83:B83)</f>
        <v>466286.1</v>
      </c>
      <c r="C82" s="28"/>
      <c r="D82" s="48"/>
      <c r="E82" s="19"/>
      <c r="F82" s="248">
        <f>SUM(F83:F84)</f>
        <v>817577.43</v>
      </c>
      <c r="G82" s="237"/>
      <c r="H82" s="219"/>
    </row>
    <row r="83" spans="1:8" s="2" customFormat="1" hidden="1" x14ac:dyDescent="0.25">
      <c r="A83" s="208" t="s">
        <v>146</v>
      </c>
      <c r="B83" s="47">
        <v>466286.1</v>
      </c>
      <c r="C83" s="28">
        <v>15319</v>
      </c>
      <c r="D83" s="48">
        <v>4116</v>
      </c>
      <c r="E83" s="24" t="s">
        <v>156</v>
      </c>
      <c r="F83" s="248">
        <v>801002.43</v>
      </c>
      <c r="G83" s="237">
        <v>15827</v>
      </c>
      <c r="H83" s="219">
        <v>4216</v>
      </c>
    </row>
    <row r="84" spans="1:8" hidden="1" x14ac:dyDescent="0.25">
      <c r="A84" s="220"/>
      <c r="B84" s="47"/>
      <c r="C84" s="60"/>
      <c r="D84" s="48"/>
      <c r="E84" s="44" t="s">
        <v>121</v>
      </c>
      <c r="F84" s="248">
        <v>16575</v>
      </c>
      <c r="G84" s="238">
        <v>15835</v>
      </c>
      <c r="H84" s="219">
        <v>4216</v>
      </c>
    </row>
    <row r="85" spans="1:8" s="2" customFormat="1" x14ac:dyDescent="0.25">
      <c r="A85" s="206" t="s">
        <v>48</v>
      </c>
      <c r="B85" s="56">
        <f>SUM(B86:B92)</f>
        <v>63047093.200000003</v>
      </c>
      <c r="C85" s="28"/>
      <c r="D85" s="22"/>
      <c r="E85" s="19"/>
      <c r="F85" s="254"/>
      <c r="G85" s="237"/>
      <c r="H85" s="210"/>
    </row>
    <row r="86" spans="1:8" s="2" customFormat="1" hidden="1" x14ac:dyDescent="0.25">
      <c r="A86" s="208" t="s">
        <v>104</v>
      </c>
      <c r="B86" s="55">
        <v>345496.86</v>
      </c>
      <c r="C86" s="28">
        <v>33030</v>
      </c>
      <c r="D86" s="48" t="s">
        <v>49</v>
      </c>
      <c r="E86" s="24"/>
      <c r="F86" s="252"/>
      <c r="G86" s="237"/>
      <c r="H86" s="219"/>
    </row>
    <row r="87" spans="1:8" s="2" customFormat="1" hidden="1" x14ac:dyDescent="0.25">
      <c r="A87" s="208" t="s">
        <v>140</v>
      </c>
      <c r="B87" s="55">
        <v>90980.06</v>
      </c>
      <c r="C87" s="28">
        <v>33030</v>
      </c>
      <c r="D87" s="48" t="s">
        <v>49</v>
      </c>
      <c r="E87" s="24"/>
      <c r="F87" s="252"/>
      <c r="G87" s="237"/>
      <c r="H87" s="219"/>
    </row>
    <row r="88" spans="1:8" s="2" customFormat="1" hidden="1" x14ac:dyDescent="0.25">
      <c r="A88" s="208" t="s">
        <v>147</v>
      </c>
      <c r="B88" s="55">
        <v>60346560</v>
      </c>
      <c r="C88" s="28">
        <v>13305</v>
      </c>
      <c r="D88" s="48">
        <v>4122</v>
      </c>
      <c r="E88" s="24"/>
      <c r="F88" s="252"/>
      <c r="G88" s="237"/>
      <c r="H88" s="219"/>
    </row>
    <row r="89" spans="1:8" s="2" customFormat="1" hidden="1" x14ac:dyDescent="0.25">
      <c r="A89" s="208" t="s">
        <v>150</v>
      </c>
      <c r="B89" s="55">
        <v>341410.81</v>
      </c>
      <c r="C89" s="28">
        <v>33030</v>
      </c>
      <c r="D89" s="48">
        <v>4122</v>
      </c>
      <c r="E89" s="24"/>
      <c r="F89" s="252"/>
      <c r="G89" s="237"/>
      <c r="H89" s="219"/>
    </row>
    <row r="90" spans="1:8" s="2" customFormat="1" hidden="1" x14ac:dyDescent="0.25">
      <c r="A90" s="208" t="s">
        <v>69</v>
      </c>
      <c r="B90" s="55">
        <v>674885.47</v>
      </c>
      <c r="C90" s="22">
        <v>33030</v>
      </c>
      <c r="D90" s="48">
        <v>4122</v>
      </c>
      <c r="E90" s="24"/>
      <c r="F90" s="252"/>
      <c r="G90" s="161"/>
      <c r="H90" s="219"/>
    </row>
    <row r="91" spans="1:8" s="2" customFormat="1" hidden="1" x14ac:dyDescent="0.25">
      <c r="A91" s="208" t="s">
        <v>139</v>
      </c>
      <c r="B91" s="55">
        <v>669360</v>
      </c>
      <c r="C91" s="22">
        <v>13305</v>
      </c>
      <c r="D91" s="48">
        <v>4122</v>
      </c>
      <c r="E91" s="24"/>
      <c r="F91" s="252"/>
      <c r="G91" s="161"/>
      <c r="H91" s="219"/>
    </row>
    <row r="92" spans="1:8" s="2" customFormat="1" hidden="1" x14ac:dyDescent="0.25">
      <c r="A92" s="208" t="s">
        <v>151</v>
      </c>
      <c r="B92" s="55">
        <v>578400</v>
      </c>
      <c r="C92" s="22">
        <v>13305</v>
      </c>
      <c r="D92" s="48">
        <v>4122</v>
      </c>
      <c r="E92" s="24"/>
      <c r="F92" s="252"/>
      <c r="G92" s="161"/>
      <c r="H92" s="219"/>
    </row>
    <row r="93" spans="1:8" s="2" customFormat="1" hidden="1" x14ac:dyDescent="0.25">
      <c r="A93" s="208"/>
      <c r="B93" s="55"/>
      <c r="C93" s="28"/>
      <c r="D93" s="29"/>
      <c r="E93" s="24"/>
      <c r="F93" s="252"/>
      <c r="G93" s="237"/>
      <c r="H93" s="207"/>
    </row>
    <row r="94" spans="1:8" s="2" customFormat="1" x14ac:dyDescent="0.25">
      <c r="A94" s="229" t="s">
        <v>50</v>
      </c>
      <c r="B94" s="56">
        <f>+SUM(B95:B95)</f>
        <v>131063.69</v>
      </c>
      <c r="C94" s="28"/>
      <c r="D94" s="29"/>
      <c r="E94" s="46"/>
      <c r="F94" s="254">
        <f>SUM(F95:F99)</f>
        <v>52328804.299999997</v>
      </c>
      <c r="G94" s="237"/>
      <c r="H94" s="207"/>
    </row>
    <row r="95" spans="1:8" s="2" customFormat="1" hidden="1" x14ac:dyDescent="0.25">
      <c r="A95" s="208" t="s">
        <v>138</v>
      </c>
      <c r="B95" s="55">
        <v>131063.69</v>
      </c>
      <c r="C95" s="22">
        <v>86005</v>
      </c>
      <c r="D95" s="48">
        <v>4123</v>
      </c>
      <c r="E95" s="24" t="s">
        <v>112</v>
      </c>
      <c r="F95" s="252">
        <v>24568326</v>
      </c>
      <c r="G95" s="161">
        <v>86505</v>
      </c>
      <c r="H95" s="219">
        <v>4223</v>
      </c>
    </row>
    <row r="96" spans="1:8" s="2" customFormat="1" hidden="1" x14ac:dyDescent="0.25">
      <c r="A96" s="214"/>
      <c r="B96" s="47"/>
      <c r="C96" s="28"/>
      <c r="D96" s="48"/>
      <c r="E96" s="23" t="s">
        <v>112</v>
      </c>
      <c r="F96" s="248">
        <v>2167793.48</v>
      </c>
      <c r="G96" s="237">
        <v>86501</v>
      </c>
      <c r="H96" s="219">
        <v>4223</v>
      </c>
    </row>
    <row r="97" spans="1:8" s="2" customFormat="1" hidden="1" x14ac:dyDescent="0.25">
      <c r="A97" s="214"/>
      <c r="B97" s="47"/>
      <c r="C97" s="28"/>
      <c r="D97" s="48"/>
      <c r="E97" s="23" t="s">
        <v>123</v>
      </c>
      <c r="F97" s="248">
        <v>17507565.600000001</v>
      </c>
      <c r="G97" s="237">
        <v>86505</v>
      </c>
      <c r="H97" s="219">
        <v>4223</v>
      </c>
    </row>
    <row r="98" spans="1:8" s="2" customFormat="1" hidden="1" x14ac:dyDescent="0.25">
      <c r="A98" s="214"/>
      <c r="B98" s="47"/>
      <c r="C98" s="28"/>
      <c r="D98" s="48"/>
      <c r="E98" s="23" t="s">
        <v>138</v>
      </c>
      <c r="F98" s="248">
        <v>3893924.81</v>
      </c>
      <c r="G98" s="237">
        <v>86505</v>
      </c>
      <c r="H98" s="219">
        <v>4223</v>
      </c>
    </row>
    <row r="99" spans="1:8" s="2" customFormat="1" hidden="1" x14ac:dyDescent="0.25">
      <c r="A99" s="214"/>
      <c r="B99" s="47"/>
      <c r="C99" s="28"/>
      <c r="D99" s="48"/>
      <c r="E99" s="23" t="s">
        <v>152</v>
      </c>
      <c r="F99" s="248">
        <v>4191194.41</v>
      </c>
      <c r="G99" s="237">
        <v>86505</v>
      </c>
      <c r="H99" s="219">
        <v>4223</v>
      </c>
    </row>
    <row r="100" spans="1:8" s="2" customFormat="1" hidden="1" x14ac:dyDescent="0.25">
      <c r="A100" s="214"/>
      <c r="B100" s="47"/>
      <c r="C100" s="28"/>
      <c r="D100" s="48"/>
      <c r="E100" s="23"/>
      <c r="F100" s="248"/>
      <c r="G100" s="237"/>
      <c r="H100" s="219"/>
    </row>
    <row r="101" spans="1:8" s="2" customFormat="1" ht="16.5" thickBot="1" x14ac:dyDescent="0.3">
      <c r="A101" s="221" t="s">
        <v>52</v>
      </c>
      <c r="B101" s="222">
        <f>+SUM(B102:B102)</f>
        <v>581714.24</v>
      </c>
      <c r="C101" s="223"/>
      <c r="D101" s="224"/>
      <c r="E101" s="225"/>
      <c r="F101" s="255"/>
      <c r="G101" s="237"/>
      <c r="H101" s="219"/>
    </row>
    <row r="102" spans="1:8" s="2" customFormat="1" ht="16.5" hidden="1" thickBot="1" x14ac:dyDescent="0.3">
      <c r="A102" s="239" t="s">
        <v>124</v>
      </c>
      <c r="B102" s="240">
        <v>581714.24</v>
      </c>
      <c r="C102" s="241"/>
      <c r="D102" s="224">
        <v>4152</v>
      </c>
      <c r="E102" s="242"/>
      <c r="F102" s="240"/>
      <c r="G102" s="223"/>
      <c r="H102" s="226"/>
    </row>
    <row r="103" spans="1:8" s="2" customFormat="1" x14ac:dyDescent="0.25">
      <c r="A103" s="7"/>
      <c r="B103" s="79"/>
      <c r="C103" s="80"/>
      <c r="D103" s="80"/>
      <c r="E103" s="7"/>
      <c r="F103" s="79"/>
      <c r="G103" s="80"/>
      <c r="H103" s="80"/>
    </row>
    <row r="104" spans="1:8" s="2" customFormat="1" x14ac:dyDescent="0.25">
      <c r="A104" s="7"/>
      <c r="B104" s="79"/>
      <c r="C104" s="80"/>
      <c r="D104" s="80"/>
      <c r="E104" s="7"/>
      <c r="F104" s="79"/>
      <c r="G104" s="80"/>
      <c r="H104" s="80"/>
    </row>
    <row r="105" spans="1:8" x14ac:dyDescent="0.25">
      <c r="A105" s="190"/>
      <c r="B105" s="191"/>
      <c r="C105" s="192"/>
      <c r="D105" s="193"/>
      <c r="E105" s="190"/>
      <c r="F105" s="191"/>
      <c r="G105" s="192"/>
      <c r="H105" s="193"/>
    </row>
    <row r="106" spans="1:8" x14ac:dyDescent="0.25">
      <c r="A106" s="190"/>
      <c r="B106" s="191"/>
      <c r="C106" s="192"/>
      <c r="D106" s="193"/>
      <c r="E106" s="190"/>
      <c r="F106" s="191"/>
      <c r="G106" s="192"/>
      <c r="H106" s="193"/>
    </row>
    <row r="107" spans="1:8" x14ac:dyDescent="0.25">
      <c r="A107" s="190"/>
      <c r="B107" s="191"/>
      <c r="C107" s="192"/>
      <c r="D107" s="193"/>
      <c r="E107" s="190"/>
      <c r="F107" s="191"/>
      <c r="G107" s="192"/>
      <c r="H107" s="193"/>
    </row>
    <row r="108" spans="1:8" x14ac:dyDescent="0.25">
      <c r="A108" s="190"/>
      <c r="B108" s="191"/>
      <c r="C108" s="192"/>
      <c r="D108" s="193"/>
      <c r="E108" s="190"/>
      <c r="F108" s="191"/>
      <c r="G108" s="192"/>
      <c r="H108" s="193"/>
    </row>
    <row r="109" spans="1:8" x14ac:dyDescent="0.25">
      <c r="A109" s="190"/>
      <c r="B109" s="191"/>
      <c r="C109" s="192"/>
      <c r="D109" s="193"/>
      <c r="E109" s="190"/>
      <c r="F109" s="191"/>
      <c r="G109" s="192"/>
      <c r="H109" s="193"/>
    </row>
    <row r="110" spans="1:8" x14ac:dyDescent="0.25">
      <c r="A110" s="190"/>
      <c r="B110" s="191"/>
      <c r="C110" s="192"/>
      <c r="D110" s="193"/>
      <c r="E110" s="190"/>
      <c r="F110" s="191"/>
      <c r="G110" s="192"/>
      <c r="H110" s="193"/>
    </row>
    <row r="111" spans="1:8" x14ac:dyDescent="0.25">
      <c r="A111" s="190"/>
      <c r="B111" s="191"/>
      <c r="C111" s="192"/>
      <c r="D111" s="193"/>
      <c r="E111" s="190"/>
      <c r="F111" s="191"/>
      <c r="G111" s="192"/>
      <c r="H111" s="193"/>
    </row>
    <row r="112" spans="1:8" x14ac:dyDescent="0.25">
      <c r="A112" s="190"/>
      <c r="B112" s="191"/>
      <c r="C112" s="192"/>
      <c r="D112" s="193"/>
      <c r="E112" s="190"/>
      <c r="F112" s="191"/>
      <c r="G112" s="192"/>
      <c r="H112" s="193"/>
    </row>
    <row r="113" spans="1:8" x14ac:dyDescent="0.25">
      <c r="A113" s="190"/>
      <c r="B113" s="191"/>
      <c r="C113" s="192"/>
      <c r="D113" s="193"/>
      <c r="E113" s="190"/>
      <c r="F113" s="191"/>
      <c r="G113" s="192"/>
      <c r="H113" s="193"/>
    </row>
    <row r="114" spans="1:8" x14ac:dyDescent="0.25">
      <c r="A114" s="190"/>
      <c r="B114" s="191"/>
      <c r="C114" s="192"/>
      <c r="D114" s="193"/>
      <c r="E114" s="190"/>
      <c r="F114" s="191"/>
      <c r="G114" s="192"/>
      <c r="H114" s="193"/>
    </row>
    <row r="115" spans="1:8" x14ac:dyDescent="0.25">
      <c r="A115" s="190"/>
      <c r="B115" s="191"/>
      <c r="C115" s="192"/>
      <c r="D115" s="193"/>
      <c r="E115" s="190"/>
      <c r="F115" s="191"/>
      <c r="G115" s="192"/>
      <c r="H115" s="193"/>
    </row>
    <row r="116" spans="1:8" x14ac:dyDescent="0.25">
      <c r="A116" s="190"/>
      <c r="B116" s="191"/>
      <c r="C116" s="192"/>
      <c r="D116" s="193"/>
      <c r="E116" s="190"/>
      <c r="F116" s="191"/>
      <c r="G116" s="192"/>
      <c r="H116" s="193"/>
    </row>
    <row r="117" spans="1:8" x14ac:dyDescent="0.25">
      <c r="A117" s="190"/>
      <c r="B117" s="191"/>
      <c r="C117" s="192"/>
      <c r="D117" s="193"/>
      <c r="E117" s="190"/>
      <c r="F117" s="191"/>
      <c r="G117" s="192"/>
      <c r="H117" s="193"/>
    </row>
    <row r="118" spans="1:8" x14ac:dyDescent="0.25">
      <c r="A118" s="190"/>
      <c r="B118" s="191"/>
      <c r="C118" s="192"/>
      <c r="D118" s="193"/>
      <c r="E118" s="190"/>
      <c r="F118" s="191"/>
      <c r="G118" s="192"/>
      <c r="H118" s="193"/>
    </row>
    <row r="119" spans="1:8" x14ac:dyDescent="0.25">
      <c r="A119" s="190"/>
      <c r="B119" s="191"/>
      <c r="C119" s="192"/>
      <c r="D119" s="193"/>
      <c r="E119" s="190"/>
      <c r="F119" s="191"/>
      <c r="G119" s="192"/>
      <c r="H119" s="193"/>
    </row>
    <row r="120" spans="1:8" x14ac:dyDescent="0.25">
      <c r="A120" s="190"/>
      <c r="B120" s="191"/>
      <c r="C120" s="192"/>
      <c r="D120" s="193"/>
      <c r="E120" s="190"/>
      <c r="F120" s="191"/>
      <c r="G120" s="192"/>
      <c r="H120" s="193"/>
    </row>
    <row r="121" spans="1:8" x14ac:dyDescent="0.25">
      <c r="A121" s="190"/>
      <c r="B121" s="191"/>
      <c r="C121" s="192"/>
      <c r="D121" s="193"/>
      <c r="E121" s="190"/>
      <c r="F121" s="191"/>
      <c r="G121" s="192"/>
      <c r="H121" s="193"/>
    </row>
    <row r="122" spans="1:8" x14ac:dyDescent="0.25">
      <c r="A122" s="190"/>
      <c r="B122" s="191"/>
      <c r="C122" s="192"/>
      <c r="D122" s="193"/>
      <c r="E122" s="190"/>
      <c r="F122" s="191"/>
      <c r="G122" s="192"/>
      <c r="H122" s="193"/>
    </row>
    <row r="123" spans="1:8" x14ac:dyDescent="0.25">
      <c r="A123" s="190"/>
      <c r="B123" s="191"/>
      <c r="C123" s="192"/>
      <c r="D123" s="193"/>
      <c r="E123" s="190"/>
      <c r="F123" s="191"/>
      <c r="G123" s="192"/>
      <c r="H123" s="193"/>
    </row>
    <row r="124" spans="1:8" x14ac:dyDescent="0.25">
      <c r="A124" s="190"/>
      <c r="B124" s="191"/>
      <c r="C124" s="192"/>
      <c r="D124" s="193"/>
      <c r="E124" s="190"/>
      <c r="F124" s="191"/>
      <c r="G124" s="192"/>
      <c r="H124" s="193"/>
    </row>
    <row r="125" spans="1:8" x14ac:dyDescent="0.25">
      <c r="A125" s="190"/>
      <c r="B125" s="191"/>
      <c r="C125" s="192"/>
      <c r="D125" s="193"/>
      <c r="E125" s="190"/>
      <c r="F125" s="191"/>
      <c r="G125" s="192"/>
      <c r="H125" s="193"/>
    </row>
    <row r="126" spans="1:8" x14ac:dyDescent="0.25">
      <c r="A126" s="190"/>
      <c r="B126" s="191"/>
      <c r="C126" s="192"/>
      <c r="D126" s="193"/>
      <c r="E126" s="190"/>
      <c r="F126" s="191"/>
      <c r="G126" s="192"/>
      <c r="H126" s="193"/>
    </row>
    <row r="127" spans="1:8" x14ac:dyDescent="0.25">
      <c r="A127" s="190"/>
      <c r="B127" s="191"/>
      <c r="C127" s="192"/>
      <c r="D127" s="193"/>
      <c r="E127" s="190"/>
      <c r="F127" s="191"/>
      <c r="G127" s="192"/>
      <c r="H127" s="193"/>
    </row>
    <row r="128" spans="1:8" x14ac:dyDescent="0.25">
      <c r="A128" s="190"/>
      <c r="B128" s="191"/>
      <c r="C128" s="192"/>
      <c r="D128" s="193"/>
      <c r="E128" s="190"/>
      <c r="F128" s="191"/>
      <c r="G128" s="192"/>
      <c r="H128" s="193"/>
    </row>
    <row r="129" spans="1:8" x14ac:dyDescent="0.25">
      <c r="A129" s="190"/>
      <c r="B129" s="191"/>
      <c r="C129" s="192"/>
      <c r="D129" s="193"/>
      <c r="E129" s="190"/>
      <c r="F129" s="191"/>
      <c r="G129" s="192"/>
      <c r="H129" s="193"/>
    </row>
    <row r="130" spans="1:8" x14ac:dyDescent="0.25">
      <c r="A130" s="190"/>
      <c r="B130" s="191"/>
      <c r="C130" s="192"/>
      <c r="D130" s="193"/>
      <c r="E130" s="190"/>
      <c r="F130" s="191"/>
      <c r="G130" s="192"/>
      <c r="H130" s="193"/>
    </row>
    <row r="131" spans="1:8" x14ac:dyDescent="0.25">
      <c r="A131" s="190"/>
      <c r="B131" s="191"/>
      <c r="C131" s="192"/>
      <c r="D131" s="193"/>
      <c r="E131" s="190"/>
      <c r="F131" s="191"/>
      <c r="G131" s="192"/>
      <c r="H131" s="193"/>
    </row>
    <row r="132" spans="1:8" x14ac:dyDescent="0.25">
      <c r="A132" s="190"/>
      <c r="B132" s="191"/>
      <c r="C132" s="192"/>
      <c r="D132" s="193"/>
      <c r="E132" s="190"/>
      <c r="F132" s="191"/>
      <c r="G132" s="192"/>
      <c r="H132" s="193"/>
    </row>
    <row r="133" spans="1:8" x14ac:dyDescent="0.25">
      <c r="A133" s="190"/>
      <c r="B133" s="191"/>
      <c r="C133" s="192"/>
      <c r="D133" s="193"/>
      <c r="E133" s="190"/>
      <c r="F133" s="191"/>
      <c r="G133" s="192"/>
      <c r="H133" s="193"/>
    </row>
    <row r="134" spans="1:8" x14ac:dyDescent="0.25">
      <c r="A134" s="190"/>
      <c r="B134" s="191"/>
      <c r="C134" s="192"/>
      <c r="D134" s="193"/>
      <c r="E134" s="190"/>
      <c r="F134" s="191"/>
      <c r="G134" s="192"/>
      <c r="H134" s="193"/>
    </row>
    <row r="135" spans="1:8" x14ac:dyDescent="0.25">
      <c r="A135" s="190"/>
      <c r="B135" s="191"/>
      <c r="C135" s="192"/>
      <c r="D135" s="193"/>
      <c r="E135" s="190"/>
      <c r="F135" s="191"/>
      <c r="G135" s="192"/>
      <c r="H135" s="193"/>
    </row>
    <row r="136" spans="1:8" x14ac:dyDescent="0.25">
      <c r="A136" s="190"/>
      <c r="B136" s="191"/>
      <c r="C136" s="192"/>
      <c r="D136" s="193"/>
      <c r="E136" s="190"/>
      <c r="F136" s="191"/>
      <c r="G136" s="192"/>
      <c r="H136" s="193"/>
    </row>
    <row r="137" spans="1:8" x14ac:dyDescent="0.25">
      <c r="A137" s="190"/>
      <c r="B137" s="191"/>
      <c r="C137" s="192"/>
      <c r="D137" s="193"/>
      <c r="E137" s="190"/>
      <c r="F137" s="191"/>
      <c r="G137" s="192"/>
      <c r="H137" s="193"/>
    </row>
    <row r="138" spans="1:8" x14ac:dyDescent="0.25">
      <c r="A138" s="190"/>
      <c r="B138" s="191"/>
      <c r="C138" s="192"/>
      <c r="D138" s="193"/>
      <c r="E138" s="190"/>
      <c r="F138" s="191"/>
      <c r="G138" s="192"/>
      <c r="H138" s="193"/>
    </row>
    <row r="139" spans="1:8" x14ac:dyDescent="0.25">
      <c r="A139" s="190"/>
      <c r="B139" s="191"/>
      <c r="C139" s="192"/>
      <c r="D139" s="193"/>
      <c r="E139" s="190"/>
      <c r="F139" s="191"/>
      <c r="G139" s="192"/>
      <c r="H139" s="193"/>
    </row>
    <row r="140" spans="1:8" x14ac:dyDescent="0.25">
      <c r="A140" s="190"/>
      <c r="B140" s="191"/>
      <c r="C140" s="192"/>
      <c r="D140" s="193"/>
      <c r="E140" s="190"/>
      <c r="F140" s="191"/>
      <c r="G140" s="192"/>
      <c r="H140" s="193"/>
    </row>
    <row r="141" spans="1:8" x14ac:dyDescent="0.25">
      <c r="A141" s="190"/>
      <c r="B141" s="191"/>
      <c r="C141" s="192"/>
      <c r="D141" s="193"/>
      <c r="E141" s="190"/>
      <c r="F141" s="191"/>
      <c r="G141" s="192"/>
      <c r="H141" s="193"/>
    </row>
    <row r="142" spans="1:8" x14ac:dyDescent="0.25">
      <c r="A142" s="190"/>
      <c r="B142" s="191"/>
      <c r="C142" s="192"/>
      <c r="D142" s="193"/>
      <c r="E142" s="190"/>
      <c r="F142" s="191"/>
      <c r="G142" s="192"/>
      <c r="H142" s="193"/>
    </row>
    <row r="143" spans="1:8" x14ac:dyDescent="0.25">
      <c r="A143" s="190"/>
      <c r="B143" s="191"/>
      <c r="C143" s="192"/>
      <c r="D143" s="193"/>
      <c r="E143" s="190"/>
      <c r="F143" s="191"/>
      <c r="G143" s="192"/>
      <c r="H143" s="193"/>
    </row>
    <row r="144" spans="1:8" x14ac:dyDescent="0.25">
      <c r="A144" s="190"/>
      <c r="B144" s="191"/>
      <c r="C144" s="192"/>
      <c r="D144" s="193"/>
      <c r="E144" s="190"/>
      <c r="F144" s="191"/>
      <c r="G144" s="192"/>
      <c r="H144" s="193"/>
    </row>
    <row r="145" spans="1:8" x14ac:dyDescent="0.25">
      <c r="A145" s="190"/>
      <c r="B145" s="191"/>
      <c r="C145" s="192"/>
      <c r="D145" s="193"/>
      <c r="E145" s="190"/>
      <c r="F145" s="191"/>
      <c r="G145" s="192"/>
      <c r="H145" s="193"/>
    </row>
    <row r="146" spans="1:8" x14ac:dyDescent="0.25">
      <c r="A146" s="190"/>
      <c r="B146" s="191"/>
      <c r="C146" s="192"/>
      <c r="D146" s="193"/>
      <c r="E146" s="190"/>
      <c r="F146" s="191"/>
      <c r="G146" s="192"/>
      <c r="H146" s="193"/>
    </row>
    <row r="147" spans="1:8" x14ac:dyDescent="0.25">
      <c r="A147" s="190"/>
      <c r="B147" s="191"/>
      <c r="C147" s="192"/>
      <c r="D147" s="193"/>
      <c r="E147" s="190"/>
      <c r="F147" s="191"/>
      <c r="G147" s="192"/>
      <c r="H147" s="193"/>
    </row>
    <row r="148" spans="1:8" x14ac:dyDescent="0.25">
      <c r="A148" s="190"/>
      <c r="B148" s="191"/>
      <c r="C148" s="192"/>
      <c r="D148" s="193"/>
      <c r="E148" s="190"/>
      <c r="F148" s="191"/>
      <c r="G148" s="192"/>
      <c r="H148" s="193"/>
    </row>
    <row r="149" spans="1:8" x14ac:dyDescent="0.25">
      <c r="A149" s="190"/>
      <c r="B149" s="191"/>
      <c r="C149" s="192"/>
      <c r="D149" s="193"/>
      <c r="E149" s="190"/>
      <c r="F149" s="191"/>
      <c r="G149" s="192"/>
      <c r="H149" s="193"/>
    </row>
    <row r="150" spans="1:8" x14ac:dyDescent="0.25">
      <c r="A150" s="190"/>
      <c r="B150" s="191"/>
      <c r="C150" s="192"/>
      <c r="D150" s="193"/>
      <c r="E150" s="190"/>
      <c r="F150" s="191"/>
      <c r="G150" s="192"/>
      <c r="H150" s="193"/>
    </row>
    <row r="151" spans="1:8" x14ac:dyDescent="0.25">
      <c r="A151" s="190"/>
      <c r="B151" s="191"/>
      <c r="C151" s="192"/>
      <c r="D151" s="193"/>
      <c r="E151" s="190"/>
      <c r="F151" s="191"/>
      <c r="G151" s="192"/>
      <c r="H151" s="193"/>
    </row>
    <row r="152" spans="1:8" x14ac:dyDescent="0.25">
      <c r="A152" s="190"/>
      <c r="B152" s="191"/>
      <c r="C152" s="192"/>
      <c r="D152" s="193"/>
      <c r="E152" s="190"/>
      <c r="F152" s="191"/>
      <c r="G152" s="192"/>
      <c r="H152" s="193"/>
    </row>
    <row r="153" spans="1:8" x14ac:dyDescent="0.25">
      <c r="A153" s="190"/>
      <c r="B153" s="191"/>
      <c r="C153" s="192"/>
      <c r="D153" s="193"/>
      <c r="E153" s="190"/>
      <c r="F153" s="191"/>
      <c r="G153" s="192"/>
      <c r="H153" s="193"/>
    </row>
    <row r="154" spans="1:8" x14ac:dyDescent="0.25">
      <c r="A154" s="190"/>
      <c r="B154" s="191"/>
      <c r="C154" s="192"/>
      <c r="D154" s="193"/>
      <c r="E154" s="190"/>
      <c r="F154" s="191"/>
      <c r="G154" s="192"/>
      <c r="H154" s="193"/>
    </row>
    <row r="155" spans="1:8" x14ac:dyDescent="0.25">
      <c r="A155" s="190"/>
      <c r="B155" s="191"/>
      <c r="C155" s="192"/>
      <c r="D155" s="193"/>
      <c r="E155" s="190"/>
      <c r="F155" s="191"/>
      <c r="G155" s="192"/>
      <c r="H155" s="193"/>
    </row>
    <row r="156" spans="1:8" x14ac:dyDescent="0.25">
      <c r="A156" s="190"/>
      <c r="B156" s="191"/>
      <c r="C156" s="192"/>
      <c r="D156" s="193"/>
      <c r="E156" s="190"/>
      <c r="F156" s="191"/>
      <c r="G156" s="192"/>
      <c r="H156" s="193"/>
    </row>
    <row r="157" spans="1:8" x14ac:dyDescent="0.25">
      <c r="A157" s="190"/>
      <c r="B157" s="191"/>
      <c r="C157" s="192"/>
      <c r="D157" s="193"/>
      <c r="E157" s="190"/>
      <c r="F157" s="191"/>
      <c r="G157" s="192"/>
      <c r="H157" s="193"/>
    </row>
    <row r="158" spans="1:8" x14ac:dyDescent="0.25">
      <c r="A158" s="190"/>
      <c r="B158" s="191"/>
      <c r="C158" s="192"/>
      <c r="D158" s="193"/>
      <c r="E158" s="190"/>
      <c r="F158" s="191"/>
      <c r="G158" s="192"/>
      <c r="H158" s="193"/>
    </row>
    <row r="159" spans="1:8" x14ac:dyDescent="0.25">
      <c r="A159" s="190"/>
      <c r="B159" s="191"/>
      <c r="C159" s="192"/>
      <c r="D159" s="193"/>
      <c r="E159" s="190"/>
      <c r="F159" s="191"/>
      <c r="G159" s="192"/>
      <c r="H159" s="193"/>
    </row>
    <row r="160" spans="1:8" x14ac:dyDescent="0.25">
      <c r="A160" s="190"/>
      <c r="B160" s="191"/>
      <c r="C160" s="192"/>
      <c r="D160" s="193"/>
      <c r="E160" s="190"/>
      <c r="F160" s="191"/>
      <c r="G160" s="192"/>
      <c r="H160" s="193"/>
    </row>
    <row r="161" spans="1:8" x14ac:dyDescent="0.25">
      <c r="A161" s="190"/>
      <c r="B161" s="191"/>
      <c r="C161" s="192"/>
      <c r="D161" s="193"/>
      <c r="E161" s="190"/>
      <c r="F161" s="191"/>
      <c r="G161" s="192"/>
      <c r="H161" s="193"/>
    </row>
    <row r="162" spans="1:8" x14ac:dyDescent="0.25">
      <c r="A162" s="190"/>
      <c r="B162" s="191"/>
      <c r="C162" s="192"/>
      <c r="D162" s="193"/>
      <c r="E162" s="190"/>
      <c r="F162" s="191"/>
      <c r="G162" s="192"/>
      <c r="H162" s="193"/>
    </row>
    <row r="163" spans="1:8" x14ac:dyDescent="0.25">
      <c r="A163" s="190"/>
      <c r="B163" s="191"/>
      <c r="C163" s="192"/>
      <c r="D163" s="193"/>
      <c r="E163" s="190"/>
      <c r="F163" s="191"/>
      <c r="G163" s="192"/>
      <c r="H163" s="193"/>
    </row>
    <row r="164" spans="1:8" x14ac:dyDescent="0.25">
      <c r="A164" s="190"/>
      <c r="B164" s="191"/>
      <c r="C164" s="192"/>
      <c r="D164" s="193"/>
      <c r="E164" s="190"/>
      <c r="F164" s="191"/>
      <c r="G164" s="192"/>
      <c r="H164" s="193"/>
    </row>
    <row r="165" spans="1:8" x14ac:dyDescent="0.25">
      <c r="A165" s="190"/>
      <c r="B165" s="191"/>
      <c r="C165" s="192"/>
      <c r="D165" s="193"/>
      <c r="E165" s="190"/>
      <c r="F165" s="191"/>
      <c r="G165" s="192"/>
      <c r="H165" s="193"/>
    </row>
    <row r="166" spans="1:8" x14ac:dyDescent="0.25">
      <c r="A166" s="190"/>
      <c r="B166" s="191"/>
      <c r="C166" s="192"/>
      <c r="D166" s="193"/>
      <c r="E166" s="190"/>
      <c r="F166" s="191"/>
      <c r="G166" s="192"/>
      <c r="H166" s="193"/>
    </row>
    <row r="167" spans="1:8" x14ac:dyDescent="0.25">
      <c r="A167" s="190"/>
      <c r="B167" s="191"/>
      <c r="C167" s="192"/>
      <c r="D167" s="193"/>
      <c r="E167" s="190"/>
      <c r="F167" s="191"/>
      <c r="G167" s="192"/>
      <c r="H167" s="193"/>
    </row>
    <row r="168" spans="1:8" x14ac:dyDescent="0.25">
      <c r="A168" s="190"/>
      <c r="B168" s="191"/>
      <c r="C168" s="192"/>
      <c r="D168" s="193"/>
      <c r="E168" s="190"/>
      <c r="F168" s="191"/>
      <c r="G168" s="192"/>
      <c r="H168" s="193"/>
    </row>
    <row r="169" spans="1:8" x14ac:dyDescent="0.25">
      <c r="A169" s="190"/>
      <c r="B169" s="191"/>
      <c r="C169" s="192"/>
      <c r="D169" s="193"/>
      <c r="E169" s="190"/>
      <c r="F169" s="191"/>
      <c r="G169" s="192"/>
      <c r="H169" s="193"/>
    </row>
    <row r="170" spans="1:8" x14ac:dyDescent="0.25">
      <c r="A170" s="190"/>
      <c r="B170" s="191"/>
      <c r="C170" s="192"/>
      <c r="D170" s="193"/>
      <c r="E170" s="190"/>
      <c r="F170" s="191"/>
      <c r="G170" s="192"/>
      <c r="H170" s="193"/>
    </row>
    <row r="171" spans="1:8" x14ac:dyDescent="0.25">
      <c r="A171" s="190"/>
      <c r="B171" s="191"/>
      <c r="C171" s="192"/>
      <c r="D171" s="193"/>
      <c r="E171" s="190"/>
      <c r="F171" s="191"/>
      <c r="G171" s="192"/>
      <c r="H171" s="193"/>
    </row>
    <row r="172" spans="1:8" x14ac:dyDescent="0.25">
      <c r="A172" s="190"/>
      <c r="B172" s="191"/>
      <c r="C172" s="192"/>
      <c r="D172" s="193"/>
      <c r="E172" s="190"/>
      <c r="F172" s="191"/>
      <c r="G172" s="192"/>
      <c r="H172" s="193"/>
    </row>
    <row r="173" spans="1:8" x14ac:dyDescent="0.25">
      <c r="A173" s="190"/>
      <c r="B173" s="191"/>
      <c r="C173" s="192"/>
      <c r="D173" s="193"/>
      <c r="E173" s="190"/>
      <c r="F173" s="191"/>
      <c r="G173" s="192"/>
      <c r="H173" s="193"/>
    </row>
    <row r="174" spans="1:8" x14ac:dyDescent="0.25">
      <c r="A174" s="190"/>
      <c r="B174" s="191"/>
      <c r="C174" s="192"/>
      <c r="D174" s="193"/>
      <c r="E174" s="190"/>
      <c r="F174" s="191"/>
      <c r="G174" s="192"/>
      <c r="H174" s="193"/>
    </row>
    <row r="175" spans="1:8" x14ac:dyDescent="0.25">
      <c r="A175" s="190"/>
      <c r="B175" s="191"/>
      <c r="C175" s="192"/>
      <c r="D175" s="193"/>
      <c r="E175" s="190"/>
      <c r="F175" s="191"/>
      <c r="G175" s="192"/>
      <c r="H175" s="193"/>
    </row>
    <row r="176" spans="1:8" x14ac:dyDescent="0.25">
      <c r="A176" s="190"/>
      <c r="B176" s="191"/>
      <c r="C176" s="192"/>
      <c r="D176" s="193"/>
      <c r="E176" s="190"/>
      <c r="F176" s="191"/>
      <c r="G176" s="192"/>
      <c r="H176" s="193"/>
    </row>
    <row r="177" spans="1:8" x14ac:dyDescent="0.25">
      <c r="A177" s="190"/>
      <c r="B177" s="191"/>
      <c r="C177" s="192"/>
      <c r="D177" s="193"/>
      <c r="E177" s="190"/>
      <c r="F177" s="191"/>
      <c r="G177" s="192"/>
      <c r="H177" s="193"/>
    </row>
    <row r="178" spans="1:8" x14ac:dyDescent="0.25">
      <c r="A178" s="190"/>
      <c r="B178" s="191"/>
      <c r="C178" s="192"/>
      <c r="D178" s="193"/>
      <c r="E178" s="190"/>
      <c r="F178" s="191"/>
      <c r="G178" s="192"/>
      <c r="H178" s="193"/>
    </row>
    <row r="179" spans="1:8" x14ac:dyDescent="0.25">
      <c r="A179" s="190"/>
      <c r="B179" s="191"/>
      <c r="C179" s="192"/>
      <c r="D179" s="193"/>
      <c r="E179" s="190"/>
      <c r="F179" s="191"/>
      <c r="G179" s="192"/>
      <c r="H179" s="193"/>
    </row>
    <row r="180" spans="1:8" x14ac:dyDescent="0.25">
      <c r="A180" s="190"/>
      <c r="B180" s="191"/>
      <c r="C180" s="192"/>
      <c r="D180" s="193"/>
      <c r="E180" s="190"/>
      <c r="F180" s="191"/>
      <c r="G180" s="192"/>
      <c r="H180" s="193"/>
    </row>
    <row r="181" spans="1:8" x14ac:dyDescent="0.25">
      <c r="A181" s="190"/>
      <c r="B181" s="191"/>
      <c r="C181" s="192"/>
      <c r="D181" s="193"/>
      <c r="E181" s="190"/>
      <c r="F181" s="191"/>
      <c r="G181" s="192"/>
      <c r="H181" s="193"/>
    </row>
    <row r="182" spans="1:8" x14ac:dyDescent="0.25">
      <c r="A182" s="190"/>
      <c r="B182" s="191"/>
      <c r="C182" s="192"/>
      <c r="D182" s="193"/>
      <c r="E182" s="190"/>
      <c r="F182" s="191"/>
      <c r="G182" s="192"/>
      <c r="H182" s="193"/>
    </row>
    <row r="183" spans="1:8" x14ac:dyDescent="0.25">
      <c r="A183" s="190"/>
      <c r="B183" s="191"/>
      <c r="C183" s="192"/>
      <c r="D183" s="193"/>
      <c r="E183" s="190"/>
      <c r="F183" s="191"/>
      <c r="G183" s="192"/>
      <c r="H183" s="193"/>
    </row>
    <row r="184" spans="1:8" x14ac:dyDescent="0.25">
      <c r="A184" s="190"/>
      <c r="B184" s="191"/>
      <c r="C184" s="192"/>
      <c r="D184" s="193"/>
      <c r="E184" s="190"/>
      <c r="F184" s="191"/>
      <c r="G184" s="192"/>
      <c r="H184" s="193"/>
    </row>
    <row r="185" spans="1:8" x14ac:dyDescent="0.25">
      <c r="A185" s="190"/>
      <c r="B185" s="191"/>
      <c r="C185" s="192"/>
      <c r="D185" s="193"/>
      <c r="E185" s="190"/>
      <c r="F185" s="191"/>
      <c r="G185" s="192"/>
      <c r="H185" s="193"/>
    </row>
    <row r="186" spans="1:8" x14ac:dyDescent="0.25">
      <c r="A186" s="190"/>
      <c r="B186" s="191"/>
      <c r="C186" s="192"/>
      <c r="D186" s="193"/>
      <c r="E186" s="190"/>
      <c r="F186" s="191"/>
      <c r="G186" s="192"/>
      <c r="H186" s="193"/>
    </row>
    <row r="187" spans="1:8" x14ac:dyDescent="0.25">
      <c r="A187" s="190"/>
      <c r="B187" s="191"/>
      <c r="C187" s="192"/>
      <c r="D187" s="193"/>
      <c r="E187" s="190"/>
      <c r="F187" s="191"/>
      <c r="G187" s="192"/>
      <c r="H187" s="193"/>
    </row>
    <row r="188" spans="1:8" x14ac:dyDescent="0.25">
      <c r="A188" s="190"/>
      <c r="B188" s="191"/>
      <c r="C188" s="192"/>
      <c r="D188" s="193"/>
      <c r="E188" s="190"/>
      <c r="F188" s="191"/>
      <c r="G188" s="192"/>
      <c r="H188" s="193"/>
    </row>
    <row r="189" spans="1:8" x14ac:dyDescent="0.25">
      <c r="A189" s="190"/>
      <c r="B189" s="191"/>
      <c r="C189" s="192"/>
      <c r="D189" s="193"/>
      <c r="E189" s="190"/>
      <c r="F189" s="191"/>
      <c r="G189" s="192"/>
      <c r="H189" s="193"/>
    </row>
    <row r="190" spans="1:8" x14ac:dyDescent="0.25">
      <c r="A190" s="190"/>
      <c r="B190" s="191"/>
      <c r="C190" s="192"/>
      <c r="D190" s="193"/>
      <c r="E190" s="190"/>
      <c r="F190" s="191"/>
      <c r="G190" s="192"/>
      <c r="H190" s="193"/>
    </row>
    <row r="191" spans="1:8" x14ac:dyDescent="0.25">
      <c r="A191" s="190"/>
      <c r="B191" s="191"/>
      <c r="C191" s="192"/>
      <c r="D191" s="193"/>
      <c r="E191" s="190"/>
      <c r="F191" s="191"/>
      <c r="G191" s="192"/>
      <c r="H191" s="193"/>
    </row>
    <row r="192" spans="1:8" x14ac:dyDescent="0.25">
      <c r="A192" s="190"/>
      <c r="B192" s="191"/>
      <c r="C192" s="192"/>
      <c r="D192" s="193"/>
      <c r="E192" s="190"/>
      <c r="F192" s="191"/>
      <c r="G192" s="192"/>
      <c r="H192" s="193"/>
    </row>
    <row r="193" spans="1:8" x14ac:dyDescent="0.25">
      <c r="A193" s="190"/>
      <c r="B193" s="191"/>
      <c r="C193" s="192"/>
      <c r="D193" s="193"/>
      <c r="E193" s="190"/>
      <c r="F193" s="191"/>
      <c r="G193" s="192"/>
      <c r="H193" s="193"/>
    </row>
    <row r="194" spans="1:8" x14ac:dyDescent="0.25">
      <c r="A194" s="190"/>
      <c r="B194" s="191"/>
      <c r="C194" s="192"/>
      <c r="D194" s="193"/>
      <c r="E194" s="190"/>
      <c r="F194" s="191"/>
      <c r="G194" s="192"/>
      <c r="H194" s="193"/>
    </row>
    <row r="195" spans="1:8" x14ac:dyDescent="0.25">
      <c r="A195" s="190"/>
      <c r="B195" s="191"/>
      <c r="C195" s="192"/>
      <c r="D195" s="193"/>
      <c r="E195" s="190"/>
      <c r="F195" s="191"/>
      <c r="G195" s="192"/>
      <c r="H195" s="193"/>
    </row>
    <row r="196" spans="1:8" x14ac:dyDescent="0.25">
      <c r="A196" s="190"/>
      <c r="B196" s="191"/>
      <c r="C196" s="192"/>
      <c r="D196" s="193"/>
      <c r="E196" s="190"/>
      <c r="F196" s="191"/>
      <c r="G196" s="192"/>
      <c r="H196" s="193"/>
    </row>
    <row r="197" spans="1:8" x14ac:dyDescent="0.25">
      <c r="A197" s="190"/>
      <c r="B197" s="191"/>
      <c r="C197" s="192"/>
      <c r="D197" s="193"/>
      <c r="E197" s="190"/>
      <c r="F197" s="191"/>
      <c r="G197" s="192"/>
      <c r="H197" s="193"/>
    </row>
    <row r="198" spans="1:8" x14ac:dyDescent="0.25">
      <c r="A198" s="190"/>
      <c r="B198" s="191"/>
      <c r="C198" s="192"/>
      <c r="D198" s="193"/>
      <c r="E198" s="190"/>
      <c r="F198" s="191"/>
      <c r="G198" s="192"/>
      <c r="H198" s="193"/>
    </row>
    <row r="199" spans="1:8" x14ac:dyDescent="0.25">
      <c r="A199" s="190"/>
      <c r="B199" s="191"/>
      <c r="C199" s="192"/>
      <c r="D199" s="193"/>
      <c r="E199" s="190"/>
      <c r="F199" s="191"/>
      <c r="G199" s="192"/>
      <c r="H199" s="193"/>
    </row>
    <row r="200" spans="1:8" x14ac:dyDescent="0.25">
      <c r="A200" s="190"/>
      <c r="B200" s="191"/>
      <c r="C200" s="192"/>
      <c r="D200" s="193"/>
      <c r="E200" s="190"/>
      <c r="F200" s="191"/>
      <c r="G200" s="192"/>
      <c r="H200" s="193"/>
    </row>
    <row r="201" spans="1:8" x14ac:dyDescent="0.25">
      <c r="A201" s="190"/>
      <c r="B201" s="191"/>
      <c r="C201" s="192"/>
      <c r="D201" s="193"/>
      <c r="E201" s="190"/>
      <c r="F201" s="191"/>
      <c r="G201" s="192"/>
      <c r="H201" s="193"/>
    </row>
    <row r="202" spans="1:8" x14ac:dyDescent="0.25">
      <c r="A202" s="190"/>
      <c r="B202" s="191"/>
      <c r="C202" s="192"/>
      <c r="D202" s="193"/>
      <c r="E202" s="190"/>
      <c r="F202" s="191"/>
      <c r="G202" s="192"/>
      <c r="H202" s="193"/>
    </row>
    <row r="203" spans="1:8" x14ac:dyDescent="0.25">
      <c r="A203" s="190"/>
      <c r="B203" s="191"/>
      <c r="C203" s="192"/>
      <c r="D203" s="193"/>
      <c r="E203" s="190"/>
      <c r="F203" s="191"/>
      <c r="G203" s="192"/>
      <c r="H203" s="193"/>
    </row>
    <row r="204" spans="1:8" x14ac:dyDescent="0.25">
      <c r="A204" s="190"/>
      <c r="B204" s="191"/>
      <c r="C204" s="192"/>
      <c r="D204" s="193"/>
      <c r="E204" s="190"/>
      <c r="F204" s="191"/>
      <c r="G204" s="192"/>
      <c r="H204" s="193"/>
    </row>
    <row r="205" spans="1:8" x14ac:dyDescent="0.25">
      <c r="A205" s="190"/>
      <c r="B205" s="191"/>
      <c r="C205" s="192"/>
      <c r="D205" s="193"/>
      <c r="E205" s="190"/>
      <c r="F205" s="191"/>
      <c r="G205" s="192"/>
      <c r="H205" s="193"/>
    </row>
    <row r="206" spans="1:8" x14ac:dyDescent="0.25">
      <c r="A206" s="190"/>
      <c r="B206" s="191"/>
      <c r="C206" s="192"/>
      <c r="D206" s="193"/>
      <c r="E206" s="190"/>
      <c r="F206" s="191"/>
      <c r="G206" s="192"/>
      <c r="H206" s="193"/>
    </row>
    <row r="207" spans="1:8" x14ac:dyDescent="0.25">
      <c r="A207" s="190"/>
      <c r="B207" s="191"/>
      <c r="C207" s="192"/>
      <c r="D207" s="193"/>
      <c r="E207" s="190"/>
      <c r="F207" s="191"/>
      <c r="G207" s="192"/>
      <c r="H207" s="193"/>
    </row>
    <row r="208" spans="1:8" x14ac:dyDescent="0.25">
      <c r="A208" s="190"/>
      <c r="B208" s="191"/>
      <c r="C208" s="192"/>
      <c r="D208" s="193"/>
      <c r="E208" s="190"/>
      <c r="F208" s="191"/>
      <c r="G208" s="192"/>
      <c r="H208" s="193"/>
    </row>
    <row r="209" spans="1:8" x14ac:dyDescent="0.25">
      <c r="A209" s="190"/>
      <c r="B209" s="191"/>
      <c r="C209" s="192"/>
      <c r="D209" s="193"/>
      <c r="E209" s="190"/>
      <c r="F209" s="191"/>
      <c r="G209" s="192"/>
      <c r="H209" s="193"/>
    </row>
    <row r="210" spans="1:8" x14ac:dyDescent="0.25">
      <c r="A210" s="190"/>
      <c r="B210" s="191"/>
      <c r="C210" s="192"/>
      <c r="D210" s="193"/>
      <c r="E210" s="190"/>
      <c r="F210" s="191"/>
      <c r="G210" s="192"/>
      <c r="H210" s="193"/>
    </row>
    <row r="211" spans="1:8" x14ac:dyDescent="0.25">
      <c r="A211" s="190"/>
      <c r="B211" s="191"/>
      <c r="C211" s="192"/>
      <c r="D211" s="193"/>
      <c r="E211" s="190"/>
      <c r="F211" s="191"/>
      <c r="G211" s="192"/>
      <c r="H211" s="193"/>
    </row>
    <row r="212" spans="1:8" x14ac:dyDescent="0.25">
      <c r="A212" s="190"/>
      <c r="B212" s="191"/>
      <c r="C212" s="192"/>
      <c r="D212" s="193"/>
      <c r="E212" s="190"/>
      <c r="F212" s="191"/>
      <c r="G212" s="192"/>
      <c r="H212" s="193"/>
    </row>
    <row r="213" spans="1:8" x14ac:dyDescent="0.25">
      <c r="A213" s="190"/>
      <c r="B213" s="191"/>
      <c r="C213" s="192"/>
      <c r="D213" s="193"/>
      <c r="E213" s="190"/>
      <c r="F213" s="191"/>
      <c r="G213" s="192"/>
      <c r="H213" s="193"/>
    </row>
    <row r="214" spans="1:8" x14ac:dyDescent="0.25">
      <c r="A214" s="190"/>
      <c r="B214" s="191"/>
      <c r="C214" s="192"/>
      <c r="D214" s="193"/>
      <c r="E214" s="190"/>
      <c r="F214" s="191"/>
      <c r="G214" s="192"/>
      <c r="H214" s="193"/>
    </row>
    <row r="215" spans="1:8" x14ac:dyDescent="0.25">
      <c r="A215" s="190"/>
      <c r="B215" s="191"/>
      <c r="C215" s="192"/>
      <c r="D215" s="193"/>
      <c r="E215" s="190"/>
      <c r="F215" s="191"/>
      <c r="G215" s="192"/>
      <c r="H215" s="193"/>
    </row>
    <row r="216" spans="1:8" x14ac:dyDescent="0.25">
      <c r="A216" s="190"/>
      <c r="B216" s="191"/>
      <c r="C216" s="192"/>
      <c r="D216" s="193"/>
      <c r="E216" s="190"/>
      <c r="F216" s="191"/>
      <c r="G216" s="192"/>
      <c r="H216" s="193"/>
    </row>
    <row r="217" spans="1:8" x14ac:dyDescent="0.25">
      <c r="A217" s="190"/>
      <c r="B217" s="191"/>
      <c r="C217" s="192"/>
      <c r="D217" s="193"/>
      <c r="E217" s="190"/>
      <c r="F217" s="191"/>
      <c r="G217" s="192"/>
      <c r="H217" s="193"/>
    </row>
    <row r="218" spans="1:8" x14ac:dyDescent="0.25">
      <c r="A218" s="190"/>
      <c r="B218" s="191"/>
      <c r="C218" s="192"/>
      <c r="D218" s="193"/>
      <c r="E218" s="190"/>
      <c r="F218" s="191"/>
      <c r="G218" s="192"/>
      <c r="H218" s="193"/>
    </row>
    <row r="219" spans="1:8" x14ac:dyDescent="0.25">
      <c r="A219" s="190"/>
      <c r="B219" s="191"/>
      <c r="C219" s="192"/>
      <c r="D219" s="193"/>
      <c r="E219" s="190"/>
      <c r="F219" s="191"/>
      <c r="G219" s="192"/>
      <c r="H219" s="193"/>
    </row>
    <row r="220" spans="1:8" x14ac:dyDescent="0.25">
      <c r="A220" s="190"/>
      <c r="B220" s="191"/>
      <c r="C220" s="192"/>
      <c r="D220" s="193"/>
      <c r="E220" s="190"/>
      <c r="F220" s="191"/>
      <c r="G220" s="192"/>
      <c r="H220" s="193"/>
    </row>
    <row r="221" spans="1:8" x14ac:dyDescent="0.25">
      <c r="A221" s="190"/>
      <c r="B221" s="191"/>
      <c r="C221" s="192"/>
      <c r="D221" s="193"/>
      <c r="E221" s="190"/>
      <c r="F221" s="191"/>
      <c r="G221" s="192"/>
      <c r="H221" s="193"/>
    </row>
    <row r="222" spans="1:8" x14ac:dyDescent="0.25">
      <c r="A222" s="190"/>
      <c r="B222" s="191"/>
      <c r="C222" s="192"/>
      <c r="D222" s="193"/>
      <c r="E222" s="190"/>
      <c r="F222" s="191"/>
      <c r="G222" s="192"/>
      <c r="H222" s="193"/>
    </row>
    <row r="223" spans="1:8" x14ac:dyDescent="0.25">
      <c r="A223" s="190"/>
      <c r="B223" s="191"/>
      <c r="C223" s="192"/>
      <c r="D223" s="193"/>
      <c r="E223" s="190"/>
      <c r="F223" s="191"/>
      <c r="G223" s="192"/>
      <c r="H223" s="193"/>
    </row>
    <row r="224" spans="1:8" x14ac:dyDescent="0.25">
      <c r="A224" s="190"/>
      <c r="B224" s="191"/>
      <c r="C224" s="192"/>
      <c r="D224" s="193"/>
      <c r="E224" s="190"/>
      <c r="F224" s="191"/>
      <c r="G224" s="192"/>
      <c r="H224" s="193"/>
    </row>
    <row r="225" spans="1:8" x14ac:dyDescent="0.25">
      <c r="A225" s="190"/>
      <c r="B225" s="191"/>
      <c r="C225" s="192"/>
      <c r="D225" s="193"/>
      <c r="E225" s="190"/>
      <c r="F225" s="191"/>
      <c r="G225" s="192"/>
      <c r="H225" s="193"/>
    </row>
    <row r="226" spans="1:8" x14ac:dyDescent="0.25">
      <c r="A226" s="190"/>
      <c r="B226" s="191"/>
      <c r="C226" s="192"/>
      <c r="D226" s="193"/>
      <c r="E226" s="190"/>
      <c r="F226" s="191"/>
      <c r="G226" s="192"/>
      <c r="H226" s="193"/>
    </row>
    <row r="227" spans="1:8" x14ac:dyDescent="0.25">
      <c r="A227" s="190"/>
      <c r="B227" s="191"/>
      <c r="C227" s="192"/>
      <c r="D227" s="193"/>
      <c r="E227" s="190"/>
      <c r="F227" s="191"/>
      <c r="G227" s="192"/>
      <c r="H227" s="193"/>
    </row>
    <row r="228" spans="1:8" x14ac:dyDescent="0.25">
      <c r="A228" s="190"/>
      <c r="B228" s="191"/>
      <c r="C228" s="192"/>
      <c r="D228" s="193"/>
      <c r="E228" s="190"/>
      <c r="F228" s="191"/>
      <c r="G228" s="192"/>
      <c r="H228" s="193"/>
    </row>
  </sheetData>
  <mergeCells count="4">
    <mergeCell ref="A1:D1"/>
    <mergeCell ref="A2:D2"/>
    <mergeCell ref="E1:H1"/>
    <mergeCell ref="E2:H2"/>
  </mergeCells>
  <conditionalFormatting sqref="B67:B68 B70:B72 B44 B46:B50">
    <cfRule type="cellIs" dxfId="486" priority="11" operator="notEqual">
      <formula>#REF!</formula>
    </cfRule>
  </conditionalFormatting>
  <conditionalFormatting sqref="B76:B80">
    <cfRule type="cellIs" dxfId="485" priority="9" operator="notEqual">
      <formula>#REF!</formula>
    </cfRule>
  </conditionalFormatting>
  <conditionalFormatting sqref="B73">
    <cfRule type="cellIs" dxfId="484" priority="6" operator="notEqual">
      <formula>#REF!</formula>
    </cfRule>
  </conditionalFormatting>
  <conditionalFormatting sqref="B69">
    <cfRule type="cellIs" dxfId="483" priority="5" operator="notEqual">
      <formula>#REF!</formula>
    </cfRule>
  </conditionalFormatting>
  <conditionalFormatting sqref="F67:F68 F70:F72 F44 F46:F50">
    <cfRule type="cellIs" dxfId="482" priority="4" operator="notEqual">
      <formula>#REF!</formula>
    </cfRule>
  </conditionalFormatting>
  <conditionalFormatting sqref="F76:F80">
    <cfRule type="cellIs" dxfId="481" priority="3" operator="notEqual">
      <formula>#REF!</formula>
    </cfRule>
  </conditionalFormatting>
  <conditionalFormatting sqref="F73">
    <cfRule type="cellIs" dxfId="480" priority="2" operator="notEqual">
      <formula>#REF!</formula>
    </cfRule>
  </conditionalFormatting>
  <conditionalFormatting sqref="F69">
    <cfRule type="cellIs" dxfId="479" priority="1" operator="notEqual">
      <formula>#REF!</formula>
    </cfRule>
  </conditionalFormatting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27F7902110E8944B0D81D63E54D4995" ma:contentTypeVersion="1" ma:contentTypeDescription="Vytvoří nový dokument" ma:contentTypeScope="" ma:versionID="04826bb71ae5d1e41e145eb19fb24a33">
  <xsd:schema xmlns:xsd="http://www.w3.org/2001/XMLSchema" xmlns:xs="http://www.w3.org/2001/XMLSchema" xmlns:p="http://schemas.microsoft.com/office/2006/metadata/properties" xmlns:ns2="fc3156d0-6477-4e59-85db-677a3ac3ddef" xmlns:ns3="f6d75ad3-0d6a-444f-a81e-e30fe0dacad1" xmlns:ns4="fb09aff9-df21-4660-84ff-4e9fe3ba4944" targetNamespace="http://schemas.microsoft.com/office/2006/metadata/properties" ma:root="true" ma:fieldsID="0c004a57de37dc0ddfc134de480003d9" ns2:_="" ns3:_="" ns4:_="">
    <xsd:import namespace="fc3156d0-6477-4e59-85db-677a3ac3ddef"/>
    <xsd:import namespace="f6d75ad3-0d6a-444f-a81e-e30fe0dacad1"/>
    <xsd:import namespace="fb09aff9-df21-4660-84ff-4e9fe3ba4944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Rok" minOccurs="0"/>
                <xsd:element ref="ns4:No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3156d0-6477-4e59-85db-677a3ac3ddef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d75ad3-0d6a-444f-a81e-e30fe0dacad1" elementFormDefault="qualified">
    <xsd:import namespace="http://schemas.microsoft.com/office/2006/documentManagement/types"/>
    <xsd:import namespace="http://schemas.microsoft.com/office/infopath/2007/PartnerControls"/>
    <xsd:element name="Rok" ma:index="11" nillable="true" ma:displayName="Rok" ma:internalName="Rok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09aff9-df21-4660-84ff-4e9fe3ba4944" elementFormDefault="qualified">
    <xsd:import namespace="http://schemas.microsoft.com/office/2006/documentManagement/types"/>
    <xsd:import namespace="http://schemas.microsoft.com/office/infopath/2007/PartnerControls"/>
    <xsd:element name="No" ma:index="12" ma:displayName="No" ma:internalName="No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Poskytova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ok xmlns="f6d75ad3-0d6a-444f-a81e-e30fe0dacad1">2015</Rok>
    <No xmlns="fb09aff9-df21-4660-84ff-4e9fe3ba4944">0</No>
    <_dlc_DocId xmlns="fc3156d0-6477-4e59-85db-677a3ac3ddef">K6F56YJ4D42X-502-1943</_dlc_DocId>
    <_dlc_DocIdUrl xmlns="fc3156d0-6477-4e59-85db-677a3ac3ddef">
      <Url>http://sharepoint.brno.cz/ORF/finance/_layouts/15/DocIdRedir.aspx?ID=K6F56YJ4D42X-502-1943</Url>
      <Description>K6F56YJ4D42X-502-1943</Description>
    </_dlc_DocIdUrl>
  </documentManagement>
</p:properties>
</file>

<file path=customXml/itemProps1.xml><?xml version="1.0" encoding="utf-8"?>
<ds:datastoreItem xmlns:ds="http://schemas.openxmlformats.org/officeDocument/2006/customXml" ds:itemID="{9A1A5EB9-6FA7-4048-A5B3-662391E1865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526A009-22AE-47D3-B200-F425C4E03AF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c3156d0-6477-4e59-85db-677a3ac3ddef"/>
    <ds:schemaRef ds:uri="f6d75ad3-0d6a-444f-a81e-e30fe0dacad1"/>
    <ds:schemaRef ds:uri="fb09aff9-df21-4660-84ff-4e9fe3ba494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F543E01-0EAB-42E5-A85B-DAA7AF1B9CF4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A8BC24EC-A11C-49F0-96C1-51E22AB1DCD0}">
  <ds:schemaRefs>
    <ds:schemaRef ds:uri="http://purl.org/dc/terms/"/>
    <ds:schemaRef ds:uri="fc3156d0-6477-4e59-85db-677a3ac3ddef"/>
    <ds:schemaRef ds:uri="http://purl.org/dc/elements/1.1/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www.w3.org/XML/1998/namespace"/>
    <ds:schemaRef ds:uri="f6d75ad3-0d6a-444f-a81e-e30fe0dacad1"/>
    <ds:schemaRef ds:uri="http://schemas.openxmlformats.org/package/2006/metadata/core-properties"/>
    <ds:schemaRef ds:uri="fb09aff9-df21-4660-84ff-4e9fe3ba4944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31</vt:i4>
      </vt:variant>
      <vt:variant>
        <vt:lpstr>Pojmenované oblasti</vt:lpstr>
      </vt:variant>
      <vt:variant>
        <vt:i4>16</vt:i4>
      </vt:variant>
    </vt:vector>
  </HeadingPairs>
  <TitlesOfParts>
    <vt:vector size="47" baseType="lpstr">
      <vt:lpstr>MB 1-2</vt:lpstr>
      <vt:lpstr>Suma podle polozek 1-2</vt:lpstr>
      <vt:lpstr>MB 3</vt:lpstr>
      <vt:lpstr>RMB3</vt:lpstr>
      <vt:lpstr>Suma podle polozek 3</vt:lpstr>
      <vt:lpstr>MB 4</vt:lpstr>
      <vt:lpstr>Suma podle polozek 4</vt:lpstr>
      <vt:lpstr>tab.4</vt:lpstr>
      <vt:lpstr>NDaID</vt:lpstr>
      <vt:lpstr>MB 5</vt:lpstr>
      <vt:lpstr>Suma podle polozek 5</vt:lpstr>
      <vt:lpstr>MB 6</vt:lpstr>
      <vt:lpstr>RMB6</vt:lpstr>
      <vt:lpstr>Suma podle polozek 6</vt:lpstr>
      <vt:lpstr>MB 7</vt:lpstr>
      <vt:lpstr>Suma podle polozek 7</vt:lpstr>
      <vt:lpstr>MB 8</vt:lpstr>
      <vt:lpstr>MMB 8</vt:lpstr>
      <vt:lpstr>Suma podle polozek 8</vt:lpstr>
      <vt:lpstr>MB 9</vt:lpstr>
      <vt:lpstr>RMB9</vt:lpstr>
      <vt:lpstr>Suma podle polozek 9</vt:lpstr>
      <vt:lpstr>MB 10</vt:lpstr>
      <vt:lpstr>Suma podle polozek 10</vt:lpstr>
      <vt:lpstr>MB 11</vt:lpstr>
      <vt:lpstr>MB 12</vt:lpstr>
      <vt:lpstr>MMB 12</vt:lpstr>
      <vt:lpstr>List2</vt:lpstr>
      <vt:lpstr>RMB 12</vt:lpstr>
      <vt:lpstr>Soupis polozek</vt:lpstr>
      <vt:lpstr>Poskytovatelé</vt:lpstr>
      <vt:lpstr>'MMB 12'!Názvy_tisku</vt:lpstr>
      <vt:lpstr>'RMB 12'!Názvy_tisku</vt:lpstr>
      <vt:lpstr>'RMB9'!Názvy_tisku</vt:lpstr>
      <vt:lpstr>'MB 10'!Oblast_tisku</vt:lpstr>
      <vt:lpstr>'MB 11'!Oblast_tisku</vt:lpstr>
      <vt:lpstr>'MB 12'!Oblast_tisku</vt:lpstr>
      <vt:lpstr>'MB 1-2'!Oblast_tisku</vt:lpstr>
      <vt:lpstr>'MB 3'!Oblast_tisku</vt:lpstr>
      <vt:lpstr>'MB 4'!Oblast_tisku</vt:lpstr>
      <vt:lpstr>'MB 8'!Oblast_tisku</vt:lpstr>
      <vt:lpstr>'MB 9'!Oblast_tisku</vt:lpstr>
      <vt:lpstr>'MMB 12'!Oblast_tisku</vt:lpstr>
      <vt:lpstr>'RMB 12'!Oblast_tisku</vt:lpstr>
      <vt:lpstr>'RMB3'!Oblast_tisku</vt:lpstr>
      <vt:lpstr>'RMB6'!Oblast_tisku</vt:lpstr>
      <vt:lpstr>'RMB9'!Oblast_tisku</vt:lpstr>
    </vt:vector>
  </TitlesOfParts>
  <Company>MMB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Finance</dc:title>
  <dc:creator>Marie Hujňáková</dc:creator>
  <cp:lastModifiedBy>Jiri Trnecka</cp:lastModifiedBy>
  <cp:lastPrinted>2016-03-22T12:56:32Z</cp:lastPrinted>
  <dcterms:created xsi:type="dcterms:W3CDTF">2014-03-21T11:37:17Z</dcterms:created>
  <dcterms:modified xsi:type="dcterms:W3CDTF">2016-03-22T12:57:10Z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ItemGuid">
    <vt:lpwstr>50d5fe90-7ce8-4f5a-958a-f687b18ba0a1</vt:lpwstr>
  </property>
  <property fmtid="{D5CDD505-2E9C-101B-9397-08002B2CF9AE}" pid="3" name="ContentTypeId">
    <vt:lpwstr>0x010100C27F7902110E8944B0D81D63E54D4995</vt:lpwstr>
  </property>
</Properties>
</file>