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0" yWindow="120" windowWidth="15195" windowHeight="9855"/>
  </bookViews>
  <sheets>
    <sheet name="VHČ 2016 (v tis.Kč)" sheetId="3" r:id="rId1"/>
    <sheet name="VHČ 2016 (v Kč)" sheetId="4" state="hidden" r:id="rId2"/>
  </sheets>
  <definedNames>
    <definedName name="_xlnm.Print_Titles" localSheetId="1">'VHČ 2016 (v Kč)'!$A:$C</definedName>
    <definedName name="_xlnm.Print_Titles" localSheetId="0">'VHČ 2016 (v tis.Kč)'!$A:$C</definedName>
    <definedName name="_xlnm.Print_Area" localSheetId="1">'VHČ 2016 (v Kč)'!$A$1:$AC$32</definedName>
    <definedName name="_xlnm.Print_Area" localSheetId="0">'VHČ 2016 (v tis.Kč)'!$A$1:$AC$31</definedName>
  </definedNames>
  <calcPr calcId="152511"/>
</workbook>
</file>

<file path=xl/calcChain.xml><?xml version="1.0" encoding="utf-8"?>
<calcChain xmlns="http://schemas.openxmlformats.org/spreadsheetml/2006/main">
  <c r="W24" i="3" l="1"/>
  <c r="AB14" i="3"/>
  <c r="Z29" i="3"/>
  <c r="W6" i="3"/>
  <c r="V31" i="3"/>
  <c r="V16" i="3"/>
  <c r="P18" i="3"/>
  <c r="O9" i="3"/>
  <c r="O13" i="3"/>
  <c r="N14" i="3"/>
  <c r="K15" i="3"/>
  <c r="J17" i="3"/>
  <c r="J15" i="3"/>
  <c r="H13" i="3"/>
  <c r="H9" i="3"/>
  <c r="E24" i="3"/>
  <c r="X15" i="3"/>
  <c r="AB19" i="3"/>
  <c r="AC16" i="3"/>
  <c r="W15" i="3"/>
  <c r="Y15" i="3"/>
  <c r="Y24" i="3"/>
  <c r="X29" i="3"/>
  <c r="X6" i="3"/>
  <c r="U13" i="3"/>
  <c r="S18" i="3"/>
  <c r="Q13" i="3"/>
  <c r="P9" i="3"/>
  <c r="P13" i="3"/>
  <c r="N19" i="3"/>
  <c r="M31" i="3"/>
  <c r="L29" i="3"/>
  <c r="J5" i="3"/>
  <c r="I15" i="3"/>
  <c r="H29" i="3"/>
  <c r="E5" i="3"/>
  <c r="F9" i="3" l="1"/>
  <c r="F9" i="4"/>
  <c r="F19" i="4"/>
  <c r="F16" i="4"/>
  <c r="F13" i="4"/>
  <c r="E9" i="4"/>
  <c r="E7" i="4"/>
  <c r="E5" i="4"/>
  <c r="E19" i="4"/>
  <c r="E20" i="4"/>
  <c r="F16" i="3" l="1"/>
  <c r="F6" i="3" l="1"/>
  <c r="F7" i="3"/>
  <c r="F8" i="3"/>
  <c r="F14" i="3" l="1"/>
  <c r="AB9" i="3" l="1"/>
  <c r="Y9" i="3"/>
  <c r="H15" i="3" l="1"/>
  <c r="H31" i="3"/>
  <c r="I29" i="3"/>
  <c r="Y31" i="3"/>
  <c r="N18" i="3"/>
  <c r="Z6" i="3"/>
  <c r="X9" i="3"/>
  <c r="U8" i="3"/>
  <c r="P6" i="3"/>
  <c r="N9" i="3"/>
  <c r="AA10" i="4"/>
  <c r="AA20" i="4"/>
  <c r="U10" i="4"/>
  <c r="U20" i="4"/>
  <c r="S20" i="4" l="1"/>
  <c r="G31" i="4" l="1"/>
  <c r="G32" i="4"/>
  <c r="G33" i="4"/>
  <c r="P22" i="4" l="1"/>
  <c r="O20" i="4" l="1"/>
  <c r="N20" i="4"/>
  <c r="J20" i="4"/>
  <c r="L20" i="4"/>
  <c r="I20" i="4"/>
  <c r="W20" i="4" l="1"/>
  <c r="V20" i="4"/>
  <c r="Y20" i="4"/>
  <c r="U22" i="4"/>
  <c r="U26" i="4" s="1"/>
  <c r="T20" i="4"/>
  <c r="T22" i="4"/>
  <c r="AC22" i="4" l="1"/>
  <c r="F19" i="3" l="1"/>
  <c r="F24" i="3"/>
  <c r="I31" i="3" l="1"/>
  <c r="J31" i="3"/>
  <c r="K31" i="3"/>
  <c r="L31" i="3"/>
  <c r="N31" i="3"/>
  <c r="O31" i="3"/>
  <c r="P31" i="3"/>
  <c r="Q31" i="3"/>
  <c r="R31" i="3"/>
  <c r="S31" i="3"/>
  <c r="T31" i="3"/>
  <c r="U31" i="3"/>
  <c r="W31" i="3"/>
  <c r="X31" i="3"/>
  <c r="Z31" i="3"/>
  <c r="AA31" i="3"/>
  <c r="AB31" i="3"/>
  <c r="AC31" i="3"/>
  <c r="F31" i="3"/>
  <c r="E31" i="3"/>
  <c r="D33" i="4"/>
  <c r="G31" i="3" l="1"/>
  <c r="D31" i="3" s="1"/>
  <c r="X8" i="3"/>
  <c r="S6" i="3"/>
  <c r="AC6" i="3"/>
  <c r="Z18" i="3" l="1"/>
  <c r="Z17" i="3"/>
  <c r="Z16" i="3"/>
  <c r="Z15" i="3"/>
  <c r="Z14" i="3"/>
  <c r="Z13" i="3"/>
  <c r="X14" i="3"/>
  <c r="Y14" i="3"/>
  <c r="AA14" i="3"/>
  <c r="AC14" i="3"/>
  <c r="AA15" i="3"/>
  <c r="AB15" i="3"/>
  <c r="AC15" i="3"/>
  <c r="X16" i="3"/>
  <c r="Y16" i="3"/>
  <c r="AA16" i="3"/>
  <c r="AB16" i="3"/>
  <c r="X17" i="3"/>
  <c r="Y17" i="3"/>
  <c r="AA17" i="3"/>
  <c r="AB17" i="3"/>
  <c r="AC17" i="3"/>
  <c r="X18" i="3"/>
  <c r="Y18" i="3"/>
  <c r="AA18" i="3"/>
  <c r="AB18" i="3"/>
  <c r="AC18" i="3"/>
  <c r="Q18" i="3"/>
  <c r="Q17" i="3"/>
  <c r="Q16" i="3"/>
  <c r="Q15" i="3"/>
  <c r="Q14" i="3"/>
  <c r="X5" i="3"/>
  <c r="Y5" i="3"/>
  <c r="Z5" i="3"/>
  <c r="AA5" i="3"/>
  <c r="AB5" i="3"/>
  <c r="AC5" i="3"/>
  <c r="Y6" i="3"/>
  <c r="AA6" i="3"/>
  <c r="AB6" i="3"/>
  <c r="X7" i="3"/>
  <c r="Y7" i="3"/>
  <c r="Z7" i="3"/>
  <c r="AA7" i="3"/>
  <c r="AB7" i="3"/>
  <c r="AC7" i="3"/>
  <c r="Y8" i="3"/>
  <c r="Z8" i="3"/>
  <c r="AA8" i="3"/>
  <c r="AB8" i="3"/>
  <c r="AC8" i="3"/>
  <c r="Q5" i="3"/>
  <c r="R5" i="3"/>
  <c r="S5" i="3"/>
  <c r="T5" i="3"/>
  <c r="U5" i="3"/>
  <c r="V5" i="3"/>
  <c r="W5" i="3"/>
  <c r="Q6" i="3"/>
  <c r="R6" i="3"/>
  <c r="T6" i="3"/>
  <c r="U6" i="3"/>
  <c r="V6" i="3"/>
  <c r="Q7" i="3"/>
  <c r="R7" i="3"/>
  <c r="S7" i="3"/>
  <c r="T7" i="3"/>
  <c r="U7" i="3"/>
  <c r="V7" i="3"/>
  <c r="W7" i="3"/>
  <c r="Q8" i="3"/>
  <c r="R8" i="3"/>
  <c r="S8" i="3"/>
  <c r="T8" i="3"/>
  <c r="V8" i="3"/>
  <c r="W8" i="3"/>
  <c r="K5" i="3"/>
  <c r="L5" i="3"/>
  <c r="M5" i="3"/>
  <c r="N5" i="3"/>
  <c r="O5" i="3"/>
  <c r="P5" i="3"/>
  <c r="J6" i="3"/>
  <c r="K6" i="3"/>
  <c r="L6" i="3"/>
  <c r="M6" i="3"/>
  <c r="N6" i="3"/>
  <c r="O6" i="3"/>
  <c r="J7" i="3"/>
  <c r="K7" i="3"/>
  <c r="L7" i="3"/>
  <c r="M7" i="3"/>
  <c r="N7" i="3"/>
  <c r="O7" i="3"/>
  <c r="P7" i="3"/>
  <c r="J8" i="3"/>
  <c r="K8" i="3"/>
  <c r="L8" i="3"/>
  <c r="M8" i="3"/>
  <c r="N8" i="3"/>
  <c r="O8" i="3"/>
  <c r="P8" i="3"/>
  <c r="I7" i="3"/>
  <c r="I8" i="3"/>
  <c r="I5" i="3"/>
  <c r="H6" i="3"/>
  <c r="H7" i="3"/>
  <c r="H8" i="3"/>
  <c r="I14" i="3"/>
  <c r="I16" i="3"/>
  <c r="I17" i="3"/>
  <c r="I18" i="3"/>
  <c r="R14" i="3"/>
  <c r="S14" i="3"/>
  <c r="T14" i="3"/>
  <c r="U14" i="3"/>
  <c r="V14" i="3"/>
  <c r="W14" i="3"/>
  <c r="R15" i="3"/>
  <c r="S15" i="3"/>
  <c r="T15" i="3"/>
  <c r="U15" i="3"/>
  <c r="V15" i="3"/>
  <c r="R16" i="3"/>
  <c r="S16" i="3"/>
  <c r="T16" i="3"/>
  <c r="U16" i="3"/>
  <c r="W16" i="3"/>
  <c r="R17" i="3"/>
  <c r="S17" i="3"/>
  <c r="T17" i="3"/>
  <c r="U17" i="3"/>
  <c r="V17" i="3"/>
  <c r="W17" i="3"/>
  <c r="R18" i="3"/>
  <c r="T18" i="3"/>
  <c r="U18" i="3"/>
  <c r="V18" i="3"/>
  <c r="W18" i="3"/>
  <c r="J14" i="3"/>
  <c r="K14" i="3"/>
  <c r="L14" i="3"/>
  <c r="M14" i="3"/>
  <c r="O14" i="3"/>
  <c r="P14" i="3"/>
  <c r="L15" i="3"/>
  <c r="M15" i="3"/>
  <c r="N15" i="3"/>
  <c r="O15" i="3"/>
  <c r="P15" i="3"/>
  <c r="J16" i="3"/>
  <c r="K16" i="3"/>
  <c r="L16" i="3"/>
  <c r="M16" i="3"/>
  <c r="N16" i="3"/>
  <c r="O16" i="3"/>
  <c r="P16" i="3"/>
  <c r="K17" i="3"/>
  <c r="L17" i="3"/>
  <c r="M17" i="3"/>
  <c r="N17" i="3"/>
  <c r="O17" i="3"/>
  <c r="P17" i="3"/>
  <c r="J18" i="3"/>
  <c r="K18" i="3"/>
  <c r="L18" i="3"/>
  <c r="M18" i="3"/>
  <c r="O18" i="3"/>
  <c r="E16" i="3"/>
  <c r="E17" i="3"/>
  <c r="E18" i="3"/>
  <c r="E19" i="3"/>
  <c r="J9" i="3" l="1"/>
  <c r="AC26" i="4" l="1"/>
  <c r="AC13" i="3"/>
  <c r="M24" i="3"/>
  <c r="U29" i="3"/>
  <c r="G30" i="4"/>
  <c r="D30" i="4" s="1"/>
  <c r="G24" i="4"/>
  <c r="D24" i="4" s="1"/>
  <c r="AB22" i="4"/>
  <c r="AB26" i="4" s="1"/>
  <c r="Z22" i="4"/>
  <c r="Z26" i="4" s="1"/>
  <c r="Y22" i="4"/>
  <c r="Y26" i="4" s="1"/>
  <c r="X22" i="4"/>
  <c r="X26" i="4" s="1"/>
  <c r="W22" i="4"/>
  <c r="W26" i="4" s="1"/>
  <c r="V22" i="4"/>
  <c r="V26" i="4" s="1"/>
  <c r="T26" i="4"/>
  <c r="S22" i="4"/>
  <c r="S26" i="4" s="1"/>
  <c r="R22" i="4"/>
  <c r="R26" i="4" s="1"/>
  <c r="Q22" i="4"/>
  <c r="Q26" i="4" s="1"/>
  <c r="P26" i="4"/>
  <c r="O22" i="4"/>
  <c r="O26" i="4" s="1"/>
  <c r="N22" i="4"/>
  <c r="N26" i="4" s="1"/>
  <c r="M22" i="4"/>
  <c r="M26" i="4" s="1"/>
  <c r="L22" i="4"/>
  <c r="L26" i="4" s="1"/>
  <c r="K22" i="4"/>
  <c r="K26" i="4" s="1"/>
  <c r="J22" i="4"/>
  <c r="J26" i="4" s="1"/>
  <c r="I22" i="4"/>
  <c r="I26" i="4" s="1"/>
  <c r="H22" i="4"/>
  <c r="H26" i="4" s="1"/>
  <c r="K19" i="3"/>
  <c r="J19" i="3"/>
  <c r="I19" i="3"/>
  <c r="G15" i="4"/>
  <c r="D15" i="4" s="1"/>
  <c r="AA22" i="4"/>
  <c r="H5" i="3"/>
  <c r="I6" i="3"/>
  <c r="W9" i="3"/>
  <c r="F13" i="3"/>
  <c r="E7" i="3"/>
  <c r="D7" i="3" s="1"/>
  <c r="F29" i="3"/>
  <c r="F15" i="3"/>
  <c r="F18" i="3"/>
  <c r="F5" i="3"/>
  <c r="E29" i="3"/>
  <c r="E15" i="3"/>
  <c r="E14" i="3"/>
  <c r="E13" i="3"/>
  <c r="E9" i="3"/>
  <c r="E8" i="3"/>
  <c r="E6" i="3"/>
  <c r="X13" i="3"/>
  <c r="J29" i="3"/>
  <c r="K29" i="3"/>
  <c r="M29" i="3"/>
  <c r="N29" i="3"/>
  <c r="O29" i="3"/>
  <c r="P29" i="3"/>
  <c r="Q29" i="3"/>
  <c r="R29" i="3"/>
  <c r="S29" i="3"/>
  <c r="T29" i="3"/>
  <c r="V29" i="3"/>
  <c r="W29" i="3"/>
  <c r="Y29" i="3"/>
  <c r="AA29" i="3"/>
  <c r="AB29" i="3"/>
  <c r="AC29" i="3"/>
  <c r="I24" i="3"/>
  <c r="J24" i="3"/>
  <c r="K24" i="3"/>
  <c r="L24" i="3"/>
  <c r="N24" i="3"/>
  <c r="O24" i="3"/>
  <c r="P24" i="3"/>
  <c r="Q24" i="3"/>
  <c r="R24" i="3"/>
  <c r="S24" i="3"/>
  <c r="T24" i="3"/>
  <c r="V24" i="3"/>
  <c r="X24" i="3"/>
  <c r="Z24" i="3"/>
  <c r="AA24" i="3"/>
  <c r="AB24" i="3"/>
  <c r="AC24" i="3"/>
  <c r="H24" i="3"/>
  <c r="I13" i="3"/>
  <c r="J13" i="3"/>
  <c r="K13" i="3"/>
  <c r="L13" i="3"/>
  <c r="M13" i="3"/>
  <c r="N13" i="3"/>
  <c r="R13" i="3"/>
  <c r="S13" i="3"/>
  <c r="T13" i="3"/>
  <c r="V13" i="3"/>
  <c r="W13" i="3"/>
  <c r="Y13" i="3"/>
  <c r="AB13" i="3"/>
  <c r="H14" i="3"/>
  <c r="H16" i="3"/>
  <c r="H17" i="3"/>
  <c r="H18" i="3"/>
  <c r="G18" i="3" s="1"/>
  <c r="D31" i="4"/>
  <c r="G7" i="4"/>
  <c r="D7" i="4" s="1"/>
  <c r="G5" i="4"/>
  <c r="D5" i="4" s="1"/>
  <c r="G8" i="4"/>
  <c r="D8" i="4" s="1"/>
  <c r="F10" i="4"/>
  <c r="G17" i="4"/>
  <c r="D17" i="4" s="1"/>
  <c r="G13" i="4"/>
  <c r="D13" i="4" s="1"/>
  <c r="I20" i="3" l="1"/>
  <c r="Z9" i="3"/>
  <c r="Z10" i="3" s="1"/>
  <c r="Z19" i="3"/>
  <c r="Z20" i="3" s="1"/>
  <c r="M9" i="3"/>
  <c r="M10" i="3" s="1"/>
  <c r="M19" i="3"/>
  <c r="M20" i="3" s="1"/>
  <c r="AB20" i="3"/>
  <c r="S9" i="3"/>
  <c r="S19" i="3"/>
  <c r="S20" i="3" s="1"/>
  <c r="P19" i="3"/>
  <c r="P20" i="3" s="1"/>
  <c r="O19" i="3"/>
  <c r="O20" i="3" s="1"/>
  <c r="N20" i="3"/>
  <c r="K9" i="3"/>
  <c r="K10" i="3" s="1"/>
  <c r="L9" i="3"/>
  <c r="L19" i="3"/>
  <c r="L20" i="3" s="1"/>
  <c r="I9" i="3"/>
  <c r="I10" i="3" s="1"/>
  <c r="W19" i="3"/>
  <c r="W20" i="3" s="1"/>
  <c r="V9" i="3"/>
  <c r="V10" i="3" s="1"/>
  <c r="V19" i="3"/>
  <c r="Y10" i="3"/>
  <c r="Y19" i="3"/>
  <c r="Y20" i="3" s="1"/>
  <c r="U9" i="3"/>
  <c r="U10" i="3" s="1"/>
  <c r="X19" i="3"/>
  <c r="X10" i="3"/>
  <c r="AA9" i="3"/>
  <c r="AA10" i="3" s="1"/>
  <c r="AA19" i="3"/>
  <c r="T9" i="3"/>
  <c r="T10" i="3" s="1"/>
  <c r="T19" i="3"/>
  <c r="T20" i="3" s="1"/>
  <c r="R9" i="3"/>
  <c r="R10" i="3" s="1"/>
  <c r="R19" i="3"/>
  <c r="R20" i="3" s="1"/>
  <c r="H19" i="3"/>
  <c r="H20" i="3" s="1"/>
  <c r="AC9" i="3"/>
  <c r="AC10" i="3" s="1"/>
  <c r="AC19" i="3"/>
  <c r="AC20" i="3" s="1"/>
  <c r="Q9" i="3"/>
  <c r="Q10" i="3" s="1"/>
  <c r="Q19" i="3"/>
  <c r="Q20" i="3" s="1"/>
  <c r="F10" i="3"/>
  <c r="F20" i="4"/>
  <c r="F22" i="4" s="1"/>
  <c r="F26" i="4" s="1"/>
  <c r="E20" i="3"/>
  <c r="G6" i="4"/>
  <c r="D6" i="4" s="1"/>
  <c r="G15" i="3"/>
  <c r="P10" i="3"/>
  <c r="D32" i="4"/>
  <c r="E10" i="4"/>
  <c r="E22" i="4" s="1"/>
  <c r="E26" i="4" s="1"/>
  <c r="AA13" i="3"/>
  <c r="G13" i="3" s="1"/>
  <c r="AA26" i="4"/>
  <c r="G14" i="4"/>
  <c r="D14" i="4" s="1"/>
  <c r="D18" i="3"/>
  <c r="L10" i="3"/>
  <c r="J10" i="3"/>
  <c r="E10" i="3"/>
  <c r="G29" i="3"/>
  <c r="D29" i="3" s="1"/>
  <c r="G14" i="3"/>
  <c r="D14" i="3" s="1"/>
  <c r="J20" i="3"/>
  <c r="AB10" i="3"/>
  <c r="G9" i="4"/>
  <c r="G18" i="4"/>
  <c r="D18" i="4" s="1"/>
  <c r="U24" i="3"/>
  <c r="G24" i="3" s="1"/>
  <c r="D24" i="3" s="1"/>
  <c r="N10" i="3"/>
  <c r="X20" i="3"/>
  <c r="W10" i="3"/>
  <c r="S10" i="3"/>
  <c r="O10" i="3"/>
  <c r="G5" i="3"/>
  <c r="D5" i="3" s="1"/>
  <c r="F20" i="3"/>
  <c r="G8" i="3"/>
  <c r="D8" i="3" s="1"/>
  <c r="G17" i="3"/>
  <c r="D17" i="3" s="1"/>
  <c r="V20" i="3"/>
  <c r="K20" i="3"/>
  <c r="G16" i="3"/>
  <c r="G16" i="4"/>
  <c r="D16" i="4" s="1"/>
  <c r="D15" i="3" l="1"/>
  <c r="D9" i="4"/>
  <c r="D10" i="4" s="1"/>
  <c r="G10" i="4"/>
  <c r="U19" i="3"/>
  <c r="U20" i="3" s="1"/>
  <c r="U22" i="3" s="1"/>
  <c r="U26" i="3" s="1"/>
  <c r="AA20" i="3"/>
  <c r="AA22" i="3" s="1"/>
  <c r="AA26" i="3" s="1"/>
  <c r="G9" i="3"/>
  <c r="F22" i="3"/>
  <c r="F26" i="3" s="1"/>
  <c r="L22" i="3"/>
  <c r="L26" i="3" s="1"/>
  <c r="E22" i="3"/>
  <c r="E26" i="3" s="1"/>
  <c r="Z22" i="3"/>
  <c r="Z26" i="3" s="1"/>
  <c r="P22" i="3"/>
  <c r="P26" i="3" s="1"/>
  <c r="N22" i="3"/>
  <c r="N26" i="3" s="1"/>
  <c r="Y22" i="3"/>
  <c r="Y26" i="3" s="1"/>
  <c r="G6" i="3"/>
  <c r="D6" i="3" s="1"/>
  <c r="AC22" i="3"/>
  <c r="AC26" i="3" s="1"/>
  <c r="Q22" i="3"/>
  <c r="Q26" i="3" s="1"/>
  <c r="O22" i="3"/>
  <c r="O26" i="3" s="1"/>
  <c r="M22" i="3"/>
  <c r="M26" i="3" s="1"/>
  <c r="D13" i="3"/>
  <c r="I22" i="3"/>
  <c r="I26" i="3" s="1"/>
  <c r="J22" i="3"/>
  <c r="J26" i="3" s="1"/>
  <c r="T22" i="3"/>
  <c r="T26" i="3" s="1"/>
  <c r="S22" i="3"/>
  <c r="S26" i="3" s="1"/>
  <c r="AB22" i="3"/>
  <c r="AB26" i="3" s="1"/>
  <c r="R22" i="3"/>
  <c r="R26" i="3" s="1"/>
  <c r="W22" i="3"/>
  <c r="W26" i="3" s="1"/>
  <c r="V22" i="3"/>
  <c r="V26" i="3" s="1"/>
  <c r="H10" i="3"/>
  <c r="H22" i="3" s="1"/>
  <c r="K22" i="3"/>
  <c r="K26" i="3" s="1"/>
  <c r="G19" i="4"/>
  <c r="D19" i="4" s="1"/>
  <c r="D20" i="4" s="1"/>
  <c r="X22" i="3"/>
  <c r="X26" i="3" s="1"/>
  <c r="D16" i="3"/>
  <c r="D22" i="4" l="1"/>
  <c r="D26" i="4" s="1"/>
  <c r="H26" i="3"/>
  <c r="D9" i="3"/>
  <c r="D10" i="3" s="1"/>
  <c r="G10" i="3"/>
  <c r="G19" i="3"/>
  <c r="G20" i="4"/>
  <c r="G22" i="4" s="1"/>
  <c r="G26" i="4" s="1"/>
  <c r="D19" i="3" l="1"/>
  <c r="D20" i="3" s="1"/>
  <c r="D22" i="3" s="1"/>
  <c r="D26" i="3" s="1"/>
  <c r="G20" i="3"/>
  <c r="G22" i="3" s="1"/>
  <c r="G26" i="3" s="1"/>
</calcChain>
</file>

<file path=xl/comments1.xml><?xml version="1.0" encoding="utf-8"?>
<comments xmlns="http://schemas.openxmlformats.org/spreadsheetml/2006/main">
  <authors>
    <author>svobodpa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
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AB1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V16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Z29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</commentList>
</comments>
</file>

<file path=xl/comments2.xml><?xml version="1.0" encoding="utf-8"?>
<comments xmlns="http://schemas.openxmlformats.org/spreadsheetml/2006/main">
  <authors>
    <author>svobodpa</author>
  </authors>
  <commentLis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Včetně VHČ - Poliklinika Lesná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Včetně VHČ - vývařovna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Včetně VHČ - kuchyně</t>
        </r>
      </text>
    </comment>
  </commentList>
</comments>
</file>

<file path=xl/sharedStrings.xml><?xml version="1.0" encoding="utf-8"?>
<sst xmlns="http://schemas.openxmlformats.org/spreadsheetml/2006/main" count="122" uniqueCount="68">
  <si>
    <t xml:space="preserve">Město </t>
  </si>
  <si>
    <t xml:space="preserve">č.ř. </t>
  </si>
  <si>
    <t>účet</t>
  </si>
  <si>
    <t xml:space="preserve"> Název finanční operace</t>
  </si>
  <si>
    <t>účet DPH</t>
  </si>
  <si>
    <t>Brno-střed</t>
  </si>
  <si>
    <t>Bohunice</t>
  </si>
  <si>
    <t>Kohoutovice</t>
  </si>
  <si>
    <t>Bosonohy</t>
  </si>
  <si>
    <t>Žabovřesky</t>
  </si>
  <si>
    <t xml:space="preserve"> Bystrc</t>
  </si>
  <si>
    <t>Komín</t>
  </si>
  <si>
    <t>Jundrov</t>
  </si>
  <si>
    <t>Brno-sever</t>
  </si>
  <si>
    <t>Židenice</t>
  </si>
  <si>
    <t>Černovice</t>
  </si>
  <si>
    <t xml:space="preserve"> Brno-jih</t>
  </si>
  <si>
    <t>Vinohrady</t>
  </si>
  <si>
    <t xml:space="preserve"> Líšeň</t>
  </si>
  <si>
    <t xml:space="preserve"> Slatina</t>
  </si>
  <si>
    <t>Chrlice</t>
  </si>
  <si>
    <t>Medlánky</t>
  </si>
  <si>
    <t xml:space="preserve"> A: VÝNOSY  </t>
  </si>
  <si>
    <t>Výnosy z prodeje vlastních výrobků a služeb</t>
  </si>
  <si>
    <t>644-647</t>
  </si>
  <si>
    <t>Výnosy z prodeje dlouhodobého majetku a materiálu</t>
  </si>
  <si>
    <t>Ostatní výnosy</t>
  </si>
  <si>
    <t xml:space="preserve"> B: NÁKLADY   </t>
  </si>
  <si>
    <t xml:space="preserve">Spotřeba materiálu a energie </t>
  </si>
  <si>
    <t>Opravy a udržování</t>
  </si>
  <si>
    <t>512-518</t>
  </si>
  <si>
    <t>Služby</t>
  </si>
  <si>
    <t>52x</t>
  </si>
  <si>
    <t>Osobní náklady</t>
  </si>
  <si>
    <t>53x</t>
  </si>
  <si>
    <t>Daně a poplatky</t>
  </si>
  <si>
    <t>Ostatní náklady</t>
  </si>
  <si>
    <t xml:space="preserve"> Daň z příjmů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</si>
  <si>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</si>
  <si>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Ostatní krátkodobé závazky</t>
  </si>
  <si>
    <t xml:space="preserve"> Ú h r n  výnosů (ř.1 až ř.5)  </t>
  </si>
  <si>
    <t>Výnosy z pronájmu</t>
  </si>
  <si>
    <t>ost. 6xx</t>
  </si>
  <si>
    <t>ost. 5xx</t>
  </si>
  <si>
    <t>Doplňkové ukazatele hospodaření:</t>
  </si>
  <si>
    <t>Stav běžného účtu vedlejší hospodářské činnosti k 31.12.</t>
  </si>
  <si>
    <t xml:space="preserve">VÝNOSY  </t>
  </si>
  <si>
    <t xml:space="preserve">NÁKLADY   </t>
  </si>
  <si>
    <t>Výnosy z transferů</t>
  </si>
  <si>
    <t>19</t>
  </si>
  <si>
    <t>20</t>
  </si>
  <si>
    <t>18</t>
  </si>
  <si>
    <t xml:space="preserve"> Ú h r n  nákladů (ř.7 až ř.13)   </t>
  </si>
  <si>
    <t>Hospodářský výsledek před zdaněním (ř.6-ř.14)</t>
  </si>
  <si>
    <t>Hospodářský výsledek po zdanění (ř.15-ř.16)</t>
  </si>
  <si>
    <t>Hospodářský výsledek před zdaněním (ř.6 - ř.14)</t>
  </si>
  <si>
    <t>Statutární         město                celkem</t>
  </si>
  <si>
    <t>městské                  části                   celkem</t>
  </si>
  <si>
    <t>Starý        Lískovec</t>
  </si>
  <si>
    <t>Nový          Lískovec</t>
  </si>
  <si>
    <t xml:space="preserve"> Královo Pole</t>
  </si>
  <si>
    <t>Řečkovice           a Mokrá Hora</t>
  </si>
  <si>
    <t>Maloměřice        a Obřany</t>
  </si>
  <si>
    <t>Jídelna MMB,   klub zastupitelů</t>
  </si>
  <si>
    <t>Odpisy dlouhodobého majetku</t>
  </si>
  <si>
    <t>21</t>
  </si>
  <si>
    <t>Výsledek hospodaření předcházejících účetních období</t>
  </si>
  <si>
    <t>Příjmy příštích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</si>
</sst>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Arial CE"/>
      <charset val="238"/>
    </font>
    <font>
      <sz val="10"/>
      <name val="Courier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4"/>
      <name val="Arial CE"/>
      <family val="2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u/>
      <sz val="14"/>
      <name val="Times New Roman CE"/>
      <family val="1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1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auto="1"/>
      </left>
      <right style="thin">
        <color indexed="8"/>
      </right>
      <top style="thick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thick">
        <color indexed="8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6">
    <xf numFmtId="0" fontId="0" fillId="0" borderId="0" xfId="0"/>
    <xf numFmtId="0" fontId="0" fillId="0" borderId="0" xfId="0" applyFill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3" fillId="0" borderId="19" xfId="0" applyFont="1" applyFill="1" applyBorder="1" applyProtection="1"/>
    <xf numFmtId="0" fontId="3" fillId="0" borderId="20" xfId="0" applyFont="1" applyFill="1" applyBorder="1" applyProtection="1"/>
    <xf numFmtId="0" fontId="2" fillId="0" borderId="21" xfId="0" applyFont="1" applyFill="1" applyBorder="1" applyProtection="1"/>
    <xf numFmtId="3" fontId="2" fillId="0" borderId="20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23" xfId="0" applyNumberFormat="1" applyFont="1" applyFill="1" applyBorder="1" applyAlignment="1" applyProtection="1">
      <alignment horizontal="right"/>
    </xf>
    <xf numFmtId="4" fontId="3" fillId="0" borderId="24" xfId="0" applyNumberFormat="1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Fill="1" applyBorder="1" applyProtection="1"/>
    <xf numFmtId="4" fontId="3" fillId="0" borderId="20" xfId="0" applyNumberFormat="1" applyFont="1" applyFill="1" applyBorder="1" applyAlignment="1" applyProtection="1">
      <alignment horizontal="right"/>
    </xf>
    <xf numFmtId="4" fontId="3" fillId="0" borderId="22" xfId="0" applyNumberFormat="1" applyFont="1" applyFill="1" applyBorder="1" applyAlignment="1" applyProtection="1">
      <alignment horizontal="right"/>
    </xf>
    <xf numFmtId="4" fontId="3" fillId="0" borderId="29" xfId="0" applyNumberFormat="1" applyFont="1" applyFill="1" applyBorder="1" applyAlignment="1" applyProtection="1">
      <alignment horizontal="right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34" xfId="0" applyFont="1" applyFill="1" applyBorder="1" applyProtection="1"/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4" fontId="2" fillId="0" borderId="39" xfId="0" applyNumberFormat="1" applyFont="1" applyFill="1" applyBorder="1" applyAlignment="1" applyProtection="1">
      <alignment horizontal="right"/>
    </xf>
    <xf numFmtId="4" fontId="2" fillId="0" borderId="40" xfId="0" applyNumberFormat="1" applyFont="1" applyFill="1" applyBorder="1" applyAlignment="1" applyProtection="1">
      <alignment horizontal="right"/>
    </xf>
    <xf numFmtId="4" fontId="2" fillId="0" borderId="41" xfId="0" applyNumberFormat="1" applyFont="1" applyFill="1" applyBorder="1" applyAlignment="1" applyProtection="1">
      <alignment horizontal="right"/>
    </xf>
    <xf numFmtId="0" fontId="3" fillId="0" borderId="42" xfId="0" applyFont="1" applyFill="1" applyBorder="1" applyProtection="1"/>
    <xf numFmtId="0" fontId="3" fillId="0" borderId="39" xfId="0" applyFont="1" applyFill="1" applyBorder="1" applyProtection="1"/>
    <xf numFmtId="4" fontId="2" fillId="0" borderId="20" xfId="0" applyNumberFormat="1" applyFont="1" applyFill="1" applyBorder="1" applyAlignment="1" applyProtection="1">
      <alignment horizontal="right"/>
    </xf>
    <xf numFmtId="4" fontId="2" fillId="0" borderId="22" xfId="0" applyNumberFormat="1" applyFont="1" applyFill="1" applyBorder="1" applyAlignment="1" applyProtection="1">
      <alignment horizontal="right"/>
    </xf>
    <xf numFmtId="4" fontId="2" fillId="0" borderId="23" xfId="0" applyNumberFormat="1" applyFont="1" applyFill="1" applyBorder="1" applyAlignment="1" applyProtection="1">
      <alignment horizontal="right"/>
    </xf>
    <xf numFmtId="4" fontId="2" fillId="0" borderId="43" xfId="0" applyNumberFormat="1" applyFont="1" applyFill="1" applyBorder="1" applyAlignment="1" applyProtection="1">
      <alignment horizontal="right"/>
    </xf>
    <xf numFmtId="0" fontId="2" fillId="0" borderId="7" xfId="0" applyFont="1" applyFill="1" applyBorder="1" applyProtection="1"/>
    <xf numFmtId="4" fontId="2" fillId="0" borderId="6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" fontId="2" fillId="0" borderId="45" xfId="0" applyNumberFormat="1" applyFont="1" applyFill="1" applyBorder="1" applyAlignment="1" applyProtection="1">
      <alignment horizontal="right"/>
    </xf>
    <xf numFmtId="0" fontId="2" fillId="0" borderId="47" xfId="0" applyFont="1" applyFill="1" applyBorder="1" applyProtection="1"/>
    <xf numFmtId="4" fontId="2" fillId="0" borderId="48" xfId="0" applyNumberFormat="1" applyFont="1" applyFill="1" applyBorder="1" applyAlignment="1" applyProtection="1">
      <alignment horizontal="right"/>
    </xf>
    <xf numFmtId="4" fontId="2" fillId="0" borderId="49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51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4" fontId="7" fillId="0" borderId="0" xfId="0" applyNumberFormat="1" applyFont="1" applyFill="1" applyProtection="1"/>
    <xf numFmtId="4" fontId="8" fillId="0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8" fillId="0" borderId="0" xfId="0" applyFont="1" applyFill="1"/>
    <xf numFmtId="3" fontId="2" fillId="0" borderId="21" xfId="0" applyNumberFormat="1" applyFont="1" applyFill="1" applyBorder="1" applyAlignment="1" applyProtection="1">
      <alignment horizontal="right"/>
    </xf>
    <xf numFmtId="3" fontId="3" fillId="0" borderId="55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4" fontId="3" fillId="0" borderId="56" xfId="0" applyNumberFormat="1" applyFont="1" applyFill="1" applyBorder="1" applyAlignment="1" applyProtection="1">
      <alignment horizontal="right"/>
    </xf>
    <xf numFmtId="4" fontId="3" fillId="0" borderId="57" xfId="0" applyNumberFormat="1" applyFont="1" applyFill="1" applyBorder="1" applyAlignment="1" applyProtection="1">
      <alignment horizontal="right"/>
    </xf>
    <xf numFmtId="4" fontId="3" fillId="0" borderId="55" xfId="0" applyNumberFormat="1" applyFont="1" applyFill="1" applyBorder="1" applyAlignment="1" applyProtection="1">
      <alignment horizontal="right"/>
    </xf>
    <xf numFmtId="4" fontId="3" fillId="0" borderId="58" xfId="0" applyNumberFormat="1" applyFont="1" applyFill="1" applyBorder="1" applyAlignment="1" applyProtection="1">
      <alignment horizontal="right"/>
    </xf>
    <xf numFmtId="4" fontId="3" fillId="0" borderId="59" xfId="0" applyNumberFormat="1" applyFont="1" applyFill="1" applyBorder="1" applyAlignment="1" applyProtection="1">
      <alignment horizontal="right"/>
    </xf>
    <xf numFmtId="4" fontId="2" fillId="0" borderId="60" xfId="0" applyNumberFormat="1" applyFont="1" applyFill="1" applyBorder="1" applyAlignment="1" applyProtection="1">
      <alignment horizontal="right"/>
    </xf>
    <xf numFmtId="4" fontId="3" fillId="0" borderId="61" xfId="0" applyNumberFormat="1" applyFont="1" applyFill="1" applyBorder="1" applyAlignment="1" applyProtection="1">
      <alignment horizontal="right"/>
    </xf>
    <xf numFmtId="4" fontId="3" fillId="0" borderId="62" xfId="0" applyNumberFormat="1" applyFont="1" applyFill="1" applyBorder="1" applyAlignment="1" applyProtection="1">
      <alignment horizontal="right"/>
    </xf>
    <xf numFmtId="4" fontId="3" fillId="0" borderId="63" xfId="0" applyNumberFormat="1" applyFont="1" applyFill="1" applyBorder="1" applyAlignment="1" applyProtection="1">
      <alignment horizontal="right"/>
    </xf>
    <xf numFmtId="4" fontId="3" fillId="0" borderId="64" xfId="0" applyNumberFormat="1" applyFont="1" applyFill="1" applyBorder="1" applyAlignment="1" applyProtection="1">
      <alignment horizontal="right"/>
    </xf>
    <xf numFmtId="4" fontId="2" fillId="0" borderId="2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 applyProtection="1">
      <alignment horizontal="right"/>
    </xf>
    <xf numFmtId="4" fontId="2" fillId="0" borderId="65" xfId="0" applyNumberFormat="1" applyFont="1" applyFill="1" applyBorder="1" applyAlignment="1" applyProtection="1">
      <alignment horizontal="right"/>
    </xf>
    <xf numFmtId="3" fontId="3" fillId="0" borderId="53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3" fontId="3" fillId="0" borderId="20" xfId="0" applyNumberFormat="1" applyFont="1" applyFill="1" applyBorder="1" applyAlignment="1" applyProtection="1">
      <alignment horizontal="right"/>
    </xf>
    <xf numFmtId="3" fontId="4" fillId="0" borderId="23" xfId="0" applyNumberFormat="1" applyFont="1" applyFill="1" applyBorder="1" applyAlignment="1" applyProtection="1">
      <alignment horizontal="right"/>
    </xf>
    <xf numFmtId="3" fontId="3" fillId="0" borderId="22" xfId="0" applyNumberFormat="1" applyFont="1" applyFill="1" applyBorder="1" applyAlignment="1" applyProtection="1">
      <alignment horizontal="right"/>
    </xf>
    <xf numFmtId="3" fontId="3" fillId="0" borderId="66" xfId="0" applyNumberFormat="1" applyFont="1" applyFill="1" applyBorder="1" applyAlignment="1" applyProtection="1">
      <alignment horizontal="right"/>
    </xf>
    <xf numFmtId="3" fontId="3" fillId="0" borderId="67" xfId="0" applyNumberFormat="1" applyFont="1" applyFill="1" applyBorder="1" applyAlignment="1" applyProtection="1">
      <alignment horizontal="right"/>
    </xf>
    <xf numFmtId="3" fontId="3" fillId="0" borderId="68" xfId="0" applyNumberFormat="1" applyFont="1" applyFill="1" applyBorder="1" applyAlignment="1" applyProtection="1">
      <alignment horizontal="right"/>
    </xf>
    <xf numFmtId="3" fontId="3" fillId="0" borderId="69" xfId="0" applyNumberFormat="1" applyFont="1" applyFill="1" applyBorder="1" applyAlignment="1" applyProtection="1">
      <alignment horizontal="right"/>
    </xf>
    <xf numFmtId="3" fontId="3" fillId="0" borderId="28" xfId="0" applyNumberFormat="1" applyFont="1" applyFill="1" applyBorder="1" applyAlignment="1" applyProtection="1">
      <alignment horizontal="right"/>
    </xf>
    <xf numFmtId="3" fontId="3" fillId="0" borderId="29" xfId="0" applyNumberFormat="1" applyFont="1" applyFill="1" applyBorder="1" applyAlignment="1" applyProtection="1">
      <alignment horizontal="right"/>
    </xf>
    <xf numFmtId="3" fontId="3" fillId="0" borderId="70" xfId="0" applyNumberFormat="1" applyFont="1" applyFill="1" applyBorder="1" applyAlignment="1" applyProtection="1">
      <alignment horizontal="right"/>
    </xf>
    <xf numFmtId="3" fontId="3" fillId="0" borderId="71" xfId="0" applyNumberFormat="1" applyFont="1" applyFill="1" applyBorder="1" applyAlignment="1" applyProtection="1">
      <alignment horizontal="right"/>
    </xf>
    <xf numFmtId="3" fontId="2" fillId="0" borderId="35" xfId="0" applyNumberFormat="1" applyFont="1" applyFill="1" applyBorder="1" applyAlignment="1" applyProtection="1">
      <alignment horizontal="right"/>
    </xf>
    <xf numFmtId="3" fontId="2" fillId="0" borderId="36" xfId="0" applyNumberFormat="1" applyFont="1" applyFill="1" applyBorder="1" applyAlignment="1" applyProtection="1">
      <alignment horizontal="right"/>
    </xf>
    <xf numFmtId="3" fontId="2" fillId="0" borderId="72" xfId="0" applyNumberFormat="1" applyFont="1" applyFill="1" applyBorder="1" applyAlignment="1" applyProtection="1">
      <alignment horizontal="right"/>
    </xf>
    <xf numFmtId="3" fontId="5" fillId="0" borderId="73" xfId="0" applyNumberFormat="1" applyFont="1" applyFill="1" applyBorder="1" applyAlignment="1" applyProtection="1">
      <alignment horizontal="right"/>
    </xf>
    <xf numFmtId="3" fontId="5" fillId="0" borderId="75" xfId="0" applyNumberFormat="1" applyFont="1" applyFill="1" applyBorder="1" applyAlignment="1" applyProtection="1">
      <alignment horizontal="right"/>
    </xf>
    <xf numFmtId="3" fontId="5" fillId="0" borderId="36" xfId="0" applyNumberFormat="1" applyFont="1" applyFill="1" applyBorder="1" applyAlignment="1" applyProtection="1">
      <alignment horizontal="right"/>
    </xf>
    <xf numFmtId="3" fontId="5" fillId="0" borderId="35" xfId="0" applyNumberFormat="1" applyFont="1" applyFill="1" applyBorder="1" applyAlignment="1" applyProtection="1">
      <alignment horizontal="right"/>
    </xf>
    <xf numFmtId="3" fontId="2" fillId="0" borderId="39" xfId="0" applyNumberFormat="1" applyFont="1" applyFill="1" applyBorder="1" applyAlignment="1" applyProtection="1">
      <alignment horizontal="right"/>
    </xf>
    <xf numFmtId="3" fontId="2" fillId="0" borderId="40" xfId="0" applyNumberFormat="1" applyFont="1" applyFill="1" applyBorder="1" applyAlignment="1" applyProtection="1">
      <alignment horizontal="right"/>
    </xf>
    <xf numFmtId="3" fontId="2" fillId="0" borderId="41" xfId="0" applyNumberFormat="1" applyFont="1" applyFill="1" applyBorder="1" applyAlignment="1" applyProtection="1">
      <alignment horizontal="right"/>
    </xf>
    <xf numFmtId="3" fontId="3" fillId="0" borderId="76" xfId="0" applyNumberFormat="1" applyFont="1" applyFill="1" applyBorder="1" applyAlignment="1" applyProtection="1">
      <alignment horizontal="right"/>
    </xf>
    <xf numFmtId="3" fontId="3" fillId="0" borderId="77" xfId="0" applyNumberFormat="1" applyFont="1" applyFill="1" applyBorder="1" applyAlignment="1" applyProtection="1">
      <alignment horizontal="right"/>
    </xf>
    <xf numFmtId="3" fontId="3" fillId="0" borderId="78" xfId="0" applyNumberFormat="1" applyFont="1" applyFill="1" applyBorder="1" applyAlignment="1" applyProtection="1">
      <alignment horizontal="right"/>
    </xf>
    <xf numFmtId="3" fontId="3" fillId="0" borderId="79" xfId="0" applyNumberFormat="1" applyFont="1" applyFill="1" applyBorder="1" applyAlignment="1" applyProtection="1">
      <alignment horizontal="right"/>
    </xf>
    <xf numFmtId="3" fontId="3" fillId="0" borderId="80" xfId="0" applyNumberFormat="1" applyFont="1" applyFill="1" applyBorder="1" applyAlignment="1" applyProtection="1">
      <alignment horizontal="right"/>
    </xf>
    <xf numFmtId="3" fontId="3" fillId="0" borderId="81" xfId="0" applyNumberFormat="1" applyFont="1" applyFill="1" applyBorder="1" applyAlignment="1" applyProtection="1">
      <alignment horizontal="right"/>
    </xf>
    <xf numFmtId="3" fontId="2" fillId="0" borderId="33" xfId="0" applyNumberFormat="1" applyFont="1" applyFill="1" applyBorder="1" applyAlignment="1" applyProtection="1">
      <alignment horizontal="right"/>
    </xf>
    <xf numFmtId="3" fontId="2" fillId="0" borderId="43" xfId="0" applyNumberFormat="1" applyFont="1" applyFill="1" applyBorder="1" applyAlignment="1" applyProtection="1">
      <alignment horizontal="right"/>
    </xf>
    <xf numFmtId="3" fontId="2" fillId="0" borderId="44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3" fontId="2" fillId="0" borderId="45" xfId="0" applyNumberFormat="1" applyFont="1" applyFill="1" applyBorder="1" applyAlignment="1" applyProtection="1">
      <alignment horizontal="right"/>
    </xf>
    <xf numFmtId="3" fontId="2" fillId="0" borderId="82" xfId="0" applyNumberFormat="1" applyFont="1" applyFill="1" applyBorder="1" applyAlignment="1" applyProtection="1">
      <alignment horizontal="right"/>
    </xf>
    <xf numFmtId="3" fontId="2" fillId="0" borderId="83" xfId="0" applyNumberFormat="1" applyFont="1" applyFill="1" applyBorder="1" applyAlignment="1" applyProtection="1">
      <alignment horizontal="right"/>
    </xf>
    <xf numFmtId="3" fontId="2" fillId="0" borderId="84" xfId="0" applyNumberFormat="1" applyFont="1" applyFill="1" applyBorder="1" applyAlignment="1" applyProtection="1">
      <alignment horizontal="right"/>
    </xf>
    <xf numFmtId="3" fontId="2" fillId="0" borderId="85" xfId="0" applyNumberFormat="1" applyFont="1" applyFill="1" applyBorder="1" applyAlignment="1" applyProtection="1">
      <alignment horizontal="right"/>
    </xf>
    <xf numFmtId="3" fontId="2" fillId="0" borderId="46" xfId="0" applyNumberFormat="1" applyFont="1" applyFill="1" applyBorder="1" applyAlignment="1" applyProtection="1">
      <alignment horizontal="right"/>
    </xf>
    <xf numFmtId="3" fontId="2" fillId="0" borderId="73" xfId="0" applyNumberFormat="1" applyFont="1" applyFill="1" applyBorder="1" applyAlignment="1" applyProtection="1">
      <alignment horizontal="right"/>
    </xf>
    <xf numFmtId="3" fontId="2" fillId="0" borderId="75" xfId="0" applyNumberFormat="1" applyFont="1" applyFill="1" applyBorder="1" applyAlignment="1" applyProtection="1">
      <alignment horizontal="right"/>
    </xf>
    <xf numFmtId="3" fontId="2" fillId="0" borderId="76" xfId="0" applyNumberFormat="1" applyFont="1" applyFill="1" applyBorder="1" applyAlignment="1" applyProtection="1">
      <alignment horizontal="right"/>
    </xf>
    <xf numFmtId="3" fontId="2" fillId="0" borderId="77" xfId="0" applyNumberFormat="1" applyFont="1" applyFill="1" applyBorder="1" applyAlignment="1" applyProtection="1">
      <alignment horizontal="right"/>
    </xf>
    <xf numFmtId="3" fontId="2" fillId="0" borderId="78" xfId="0" applyNumberFormat="1" applyFont="1" applyFill="1" applyBorder="1" applyAlignment="1" applyProtection="1">
      <alignment horizontal="right"/>
    </xf>
    <xf numFmtId="3" fontId="3" fillId="0" borderId="86" xfId="0" applyNumberFormat="1" applyFont="1" applyFill="1" applyBorder="1" applyAlignment="1" applyProtection="1">
      <alignment horizontal="right"/>
    </xf>
    <xf numFmtId="3" fontId="3" fillId="0" borderId="87" xfId="0" applyNumberFormat="1" applyFont="1" applyFill="1" applyBorder="1" applyAlignment="1" applyProtection="1">
      <alignment horizontal="right"/>
    </xf>
    <xf numFmtId="3" fontId="3" fillId="0" borderId="88" xfId="0" applyNumberFormat="1" applyFont="1" applyFill="1" applyBorder="1" applyAlignment="1" applyProtection="1">
      <alignment horizontal="right"/>
    </xf>
    <xf numFmtId="3" fontId="3" fillId="0" borderId="54" xfId="0" applyNumberFormat="1" applyFont="1" applyFill="1" applyBorder="1" applyAlignment="1" applyProtection="1">
      <alignment horizontal="right"/>
    </xf>
    <xf numFmtId="3" fontId="3" fillId="0" borderId="18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3" fontId="3" fillId="0" borderId="20" xfId="0" applyNumberFormat="1" applyFont="1" applyFill="1" applyBorder="1" applyAlignment="1" applyProtection="1">
      <alignment horizontal="center"/>
    </xf>
    <xf numFmtId="4" fontId="3" fillId="0" borderId="90" xfId="0" applyNumberFormat="1" applyFont="1" applyFill="1" applyBorder="1" applyProtection="1"/>
    <xf numFmtId="3" fontId="3" fillId="0" borderId="96" xfId="0" applyNumberFormat="1" applyFont="1" applyFill="1" applyBorder="1" applyAlignment="1" applyProtection="1">
      <alignment horizontal="center"/>
    </xf>
    <xf numFmtId="3" fontId="3" fillId="0" borderId="102" xfId="0" applyNumberFormat="1" applyFont="1" applyFill="1" applyBorder="1" applyAlignment="1" applyProtection="1">
      <alignment horizontal="right"/>
    </xf>
    <xf numFmtId="3" fontId="5" fillId="0" borderId="103" xfId="0" applyNumberFormat="1" applyFont="1" applyFill="1" applyBorder="1" applyAlignment="1" applyProtection="1">
      <alignment horizontal="right"/>
    </xf>
    <xf numFmtId="3" fontId="3" fillId="0" borderId="104" xfId="0" applyNumberFormat="1" applyFont="1" applyFill="1" applyBorder="1" applyAlignment="1" applyProtection="1">
      <alignment horizontal="right"/>
    </xf>
    <xf numFmtId="3" fontId="2" fillId="0" borderId="105" xfId="0" applyNumberFormat="1" applyFont="1" applyFill="1" applyBorder="1" applyAlignment="1" applyProtection="1">
      <alignment horizontal="right"/>
    </xf>
    <xf numFmtId="3" fontId="2" fillId="0" borderId="103" xfId="0" applyNumberFormat="1" applyFont="1" applyFill="1" applyBorder="1" applyAlignment="1" applyProtection="1">
      <alignment horizontal="right"/>
    </xf>
    <xf numFmtId="3" fontId="2" fillId="0" borderId="104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3" fontId="3" fillId="0" borderId="108" xfId="0" applyNumberFormat="1" applyFont="1" applyFill="1" applyBorder="1" applyAlignment="1" applyProtection="1">
      <alignment horizontal="right"/>
    </xf>
    <xf numFmtId="3" fontId="3" fillId="0" borderId="109" xfId="0" applyNumberFormat="1" applyFont="1" applyFill="1" applyBorder="1" applyAlignment="1" applyProtection="1">
      <alignment horizontal="right"/>
    </xf>
    <xf numFmtId="3" fontId="2" fillId="0" borderId="110" xfId="0" applyNumberFormat="1" applyFont="1" applyFill="1" applyBorder="1" applyAlignment="1" applyProtection="1">
      <alignment horizontal="right"/>
    </xf>
    <xf numFmtId="3" fontId="2" fillId="0" borderId="109" xfId="0" applyNumberFormat="1" applyFont="1" applyFill="1" applyBorder="1" applyAlignment="1" applyProtection="1">
      <alignment horizontal="right"/>
    </xf>
    <xf numFmtId="3" fontId="3" fillId="0" borderId="111" xfId="0" applyNumberFormat="1" applyFont="1" applyFill="1" applyBorder="1" applyAlignment="1" applyProtection="1">
      <alignment horizontal="right"/>
    </xf>
    <xf numFmtId="3" fontId="3" fillId="0" borderId="112" xfId="0" applyNumberFormat="1" applyFont="1" applyFill="1" applyBorder="1" applyAlignment="1" applyProtection="1">
      <alignment horizontal="right"/>
    </xf>
    <xf numFmtId="3" fontId="3" fillId="0" borderId="113" xfId="0" applyNumberFormat="1" applyFont="1" applyFill="1" applyBorder="1" applyAlignment="1" applyProtection="1">
      <alignment horizontal="right"/>
    </xf>
    <xf numFmtId="3" fontId="3" fillId="0" borderId="114" xfId="0" applyNumberFormat="1" applyFont="1" applyFill="1" applyBorder="1" applyAlignment="1" applyProtection="1">
      <alignment horizontal="right"/>
    </xf>
    <xf numFmtId="3" fontId="3" fillId="0" borderId="115" xfId="0" applyNumberFormat="1" applyFont="1" applyFill="1" applyBorder="1" applyAlignment="1" applyProtection="1">
      <alignment horizontal="right"/>
    </xf>
    <xf numFmtId="3" fontId="3" fillId="0" borderId="116" xfId="0" applyNumberFormat="1" applyFont="1" applyFill="1" applyBorder="1" applyAlignment="1" applyProtection="1">
      <alignment horizontal="right"/>
    </xf>
    <xf numFmtId="3" fontId="2" fillId="0" borderId="117" xfId="0" applyNumberFormat="1" applyFont="1" applyFill="1" applyBorder="1" applyAlignment="1" applyProtection="1">
      <alignment horizontal="right"/>
    </xf>
    <xf numFmtId="3" fontId="3" fillId="0" borderId="118" xfId="0" applyNumberFormat="1" applyFont="1" applyFill="1" applyBorder="1" applyAlignment="1" applyProtection="1">
      <alignment horizontal="right"/>
    </xf>
    <xf numFmtId="3" fontId="3" fillId="0" borderId="120" xfId="0" applyNumberFormat="1" applyFont="1" applyFill="1" applyBorder="1" applyAlignment="1" applyProtection="1">
      <alignment horizontal="right"/>
    </xf>
    <xf numFmtId="3" fontId="3" fillId="0" borderId="121" xfId="0" applyNumberFormat="1" applyFont="1" applyFill="1" applyBorder="1" applyAlignment="1" applyProtection="1">
      <alignment horizontal="right"/>
    </xf>
    <xf numFmtId="3" fontId="3" fillId="0" borderId="122" xfId="0" applyNumberFormat="1" applyFont="1" applyFill="1" applyBorder="1" applyAlignment="1" applyProtection="1">
      <alignment horizontal="right"/>
    </xf>
    <xf numFmtId="3" fontId="2" fillId="0" borderId="121" xfId="0" applyNumberFormat="1" applyFont="1" applyFill="1" applyBorder="1" applyAlignment="1" applyProtection="1">
      <alignment horizontal="right"/>
    </xf>
    <xf numFmtId="4" fontId="3" fillId="0" borderId="125" xfId="0" applyNumberFormat="1" applyFont="1" applyFill="1" applyBorder="1" applyAlignment="1" applyProtection="1">
      <alignment horizontal="right"/>
    </xf>
    <xf numFmtId="4" fontId="3" fillId="0" borderId="126" xfId="0" applyNumberFormat="1" applyFont="1" applyFill="1" applyBorder="1" applyAlignment="1" applyProtection="1">
      <alignment horizontal="right"/>
    </xf>
    <xf numFmtId="49" fontId="3" fillId="0" borderId="89" xfId="0" applyNumberFormat="1" applyFont="1" applyFill="1" applyBorder="1" applyAlignment="1" applyProtection="1">
      <alignment horizontal="center"/>
    </xf>
    <xf numFmtId="49" fontId="3" fillId="0" borderId="94" xfId="0" applyNumberFormat="1" applyFont="1" applyFill="1" applyBorder="1" applyAlignment="1" applyProtection="1">
      <alignment horizontal="center"/>
    </xf>
    <xf numFmtId="49" fontId="3" fillId="0" borderId="95" xfId="0" applyNumberFormat="1" applyFont="1" applyFill="1" applyBorder="1" applyAlignment="1" applyProtection="1">
      <alignment horizontal="center"/>
    </xf>
    <xf numFmtId="3" fontId="3" fillId="0" borderId="128" xfId="0" applyNumberFormat="1" applyFont="1" applyFill="1" applyBorder="1" applyAlignment="1" applyProtection="1">
      <alignment horizontal="right"/>
    </xf>
    <xf numFmtId="0" fontId="11" fillId="0" borderId="0" xfId="0" applyFont="1" applyFill="1"/>
    <xf numFmtId="0" fontId="3" fillId="0" borderId="21" xfId="0" applyFont="1" applyFill="1" applyBorder="1" applyAlignment="1" applyProtection="1">
      <alignment horizontal="left" shrinkToFit="1"/>
    </xf>
    <xf numFmtId="0" fontId="11" fillId="0" borderId="0" xfId="0" applyFont="1" applyFill="1" applyBorder="1"/>
    <xf numFmtId="0" fontId="3" fillId="0" borderId="130" xfId="0" applyFont="1" applyFill="1" applyBorder="1" applyAlignment="1" applyProtection="1">
      <alignment horizontal="left" shrinkToFit="1"/>
    </xf>
    <xf numFmtId="0" fontId="11" fillId="0" borderId="0" xfId="0" applyFont="1" applyFill="1" applyProtection="1"/>
    <xf numFmtId="4" fontId="11" fillId="0" borderId="0" xfId="0" applyNumberFormat="1" applyFont="1" applyFill="1"/>
    <xf numFmtId="3" fontId="3" fillId="0" borderId="57" xfId="0" applyNumberFormat="1" applyFont="1" applyFill="1" applyBorder="1" applyAlignment="1" applyProtection="1">
      <alignment horizontal="right"/>
    </xf>
    <xf numFmtId="3" fontId="3" fillId="0" borderId="56" xfId="0" applyNumberFormat="1" applyFont="1" applyFill="1" applyBorder="1" applyAlignment="1" applyProtection="1">
      <alignment horizontal="right"/>
    </xf>
    <xf numFmtId="3" fontId="3" fillId="0" borderId="131" xfId="0" applyNumberFormat="1" applyFont="1" applyFill="1" applyBorder="1" applyAlignment="1" applyProtection="1">
      <alignment horizontal="right"/>
    </xf>
    <xf numFmtId="4" fontId="2" fillId="0" borderId="124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123" xfId="0" applyNumberFormat="1" applyFont="1" applyFill="1" applyBorder="1" applyAlignment="1" applyProtection="1">
      <alignment horizontal="right"/>
    </xf>
    <xf numFmtId="4" fontId="2" fillId="0" borderId="132" xfId="0" applyNumberFormat="1" applyFont="1" applyFill="1" applyBorder="1" applyAlignment="1" applyProtection="1">
      <alignment horizontal="right"/>
    </xf>
    <xf numFmtId="4" fontId="2" fillId="0" borderId="62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64" xfId="0" applyNumberFormat="1" applyFont="1" applyFill="1" applyBorder="1" applyAlignment="1" applyProtection="1">
      <alignment horizontal="right"/>
    </xf>
    <xf numFmtId="4" fontId="3" fillId="0" borderId="17" xfId="0" applyNumberFormat="1" applyFont="1" applyFill="1" applyBorder="1" applyAlignment="1" applyProtection="1">
      <alignment horizontal="right"/>
    </xf>
    <xf numFmtId="4" fontId="3" fillId="0" borderId="133" xfId="0" applyNumberFormat="1" applyFont="1" applyFill="1" applyBorder="1" applyAlignment="1" applyProtection="1">
      <alignment horizontal="right"/>
    </xf>
    <xf numFmtId="4" fontId="3" fillId="0" borderId="9" xfId="0" applyNumberFormat="1" applyFont="1" applyFill="1" applyBorder="1" applyAlignment="1" applyProtection="1">
      <alignment horizontal="right"/>
    </xf>
    <xf numFmtId="4" fontId="3" fillId="0" borderId="18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4" fontId="3" fillId="0" borderId="54" xfId="0" applyNumberFormat="1" applyFont="1" applyFill="1" applyBorder="1" applyAlignment="1" applyProtection="1">
      <alignment horizontal="right"/>
    </xf>
    <xf numFmtId="4" fontId="3" fillId="0" borderId="132" xfId="0" applyNumberFormat="1" applyFont="1" applyFill="1" applyBorder="1" applyAlignment="1" applyProtection="1">
      <alignment horizontal="right"/>
    </xf>
    <xf numFmtId="0" fontId="2" fillId="0" borderId="134" xfId="0" applyFont="1" applyFill="1" applyBorder="1" applyAlignment="1" applyProtection="1">
      <alignment horizontal="center"/>
    </xf>
    <xf numFmtId="0" fontId="2" fillId="0" borderId="48" xfId="0" applyFont="1" applyFill="1" applyBorder="1" applyAlignment="1" applyProtection="1">
      <alignment horizontal="center"/>
    </xf>
    <xf numFmtId="3" fontId="3" fillId="0" borderId="129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left" shrinkToFit="1"/>
    </xf>
    <xf numFmtId="4" fontId="3" fillId="0" borderId="21" xfId="0" applyNumberFormat="1" applyFont="1" applyFill="1" applyBorder="1" applyAlignment="1" applyProtection="1">
      <alignment horizontal="right"/>
    </xf>
    <xf numFmtId="4" fontId="3" fillId="0" borderId="131" xfId="0" applyNumberFormat="1" applyFont="1" applyFill="1" applyBorder="1" applyAlignment="1" applyProtection="1">
      <alignment horizontal="right"/>
    </xf>
    <xf numFmtId="4" fontId="13" fillId="0" borderId="55" xfId="0" applyNumberFormat="1" applyFont="1" applyFill="1" applyBorder="1" applyAlignment="1" applyProtection="1">
      <alignment horizontal="right"/>
    </xf>
    <xf numFmtId="4" fontId="3" fillId="0" borderId="119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/>
    <xf numFmtId="0" fontId="3" fillId="0" borderId="156" xfId="0" applyFont="1" applyFill="1" applyBorder="1" applyAlignment="1" applyProtection="1">
      <alignment horizontal="center"/>
    </xf>
    <xf numFmtId="0" fontId="3" fillId="0" borderId="157" xfId="0" applyFont="1" applyFill="1" applyBorder="1" applyAlignment="1" applyProtection="1">
      <alignment horizontal="center"/>
    </xf>
    <xf numFmtId="0" fontId="3" fillId="0" borderId="158" xfId="0" applyFont="1" applyFill="1" applyBorder="1" applyAlignment="1" applyProtection="1">
      <alignment horizontal="left" shrinkToFit="1"/>
    </xf>
    <xf numFmtId="3" fontId="3" fillId="0" borderId="157" xfId="0" applyNumberFormat="1" applyFont="1" applyFill="1" applyBorder="1" applyAlignment="1" applyProtection="1">
      <alignment horizontal="right"/>
    </xf>
    <xf numFmtId="3" fontId="3" fillId="0" borderId="159" xfId="0" applyNumberFormat="1" applyFont="1" applyFill="1" applyBorder="1" applyAlignment="1" applyProtection="1">
      <alignment horizontal="right"/>
    </xf>
    <xf numFmtId="3" fontId="3" fillId="0" borderId="160" xfId="0" applyNumberFormat="1" applyFont="1" applyFill="1" applyBorder="1" applyAlignment="1" applyProtection="1">
      <alignment horizontal="right"/>
    </xf>
    <xf numFmtId="3" fontId="3" fillId="0" borderId="73" xfId="0" applyNumberFormat="1" applyFont="1" applyFill="1" applyBorder="1" applyAlignment="1" applyProtection="1">
      <alignment horizontal="right"/>
    </xf>
    <xf numFmtId="3" fontId="3" fillId="0" borderId="75" xfId="0" applyNumberFormat="1" applyFont="1" applyFill="1" applyBorder="1" applyAlignment="1" applyProtection="1">
      <alignment horizontal="right"/>
    </xf>
    <xf numFmtId="3" fontId="3" fillId="0" borderId="103" xfId="0" applyNumberFormat="1" applyFont="1" applyFill="1" applyBorder="1" applyAlignment="1" applyProtection="1">
      <alignment horizontal="right"/>
    </xf>
    <xf numFmtId="3" fontId="3" fillId="0" borderId="74" xfId="0" applyNumberFormat="1" applyFont="1" applyFill="1" applyBorder="1" applyAlignment="1" applyProtection="1">
      <alignment horizontal="right"/>
    </xf>
    <xf numFmtId="3" fontId="3" fillId="0" borderId="36" xfId="0" applyNumberFormat="1" applyFont="1" applyFill="1" applyBorder="1" applyAlignment="1" applyProtection="1">
      <alignment horizontal="right"/>
    </xf>
    <xf numFmtId="3" fontId="3" fillId="0" borderId="35" xfId="0" applyNumberFormat="1" applyFont="1" applyFill="1" applyBorder="1" applyAlignment="1" applyProtection="1">
      <alignment horizontal="right"/>
    </xf>
    <xf numFmtId="0" fontId="0" fillId="0" borderId="0" xfId="0" applyFill="1" applyAlignment="1">
      <alignment wrapText="1"/>
    </xf>
    <xf numFmtId="4" fontId="3" fillId="0" borderId="164" xfId="0" applyNumberFormat="1" applyFont="1" applyFill="1" applyBorder="1" applyAlignment="1" applyProtection="1">
      <alignment horizontal="right"/>
    </xf>
    <xf numFmtId="4" fontId="3" fillId="0" borderId="166" xfId="0" applyNumberFormat="1" applyFont="1" applyFill="1" applyBorder="1" applyAlignment="1" applyProtection="1">
      <alignment horizontal="right"/>
    </xf>
    <xf numFmtId="4" fontId="2" fillId="0" borderId="168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 applyProtection="1">
      <alignment horizontal="right"/>
    </xf>
    <xf numFmtId="3" fontId="3" fillId="0" borderId="174" xfId="0" applyNumberFormat="1" applyFont="1" applyFill="1" applyBorder="1" applyAlignment="1" applyProtection="1">
      <alignment horizontal="right"/>
    </xf>
    <xf numFmtId="4" fontId="3" fillId="0" borderId="175" xfId="0" applyNumberFormat="1" applyFont="1" applyFill="1" applyBorder="1" applyAlignment="1" applyProtection="1">
      <alignment horizontal="right"/>
    </xf>
    <xf numFmtId="4" fontId="3" fillId="0" borderId="179" xfId="0" applyNumberFormat="1" applyFont="1" applyFill="1" applyBorder="1" applyAlignment="1" applyProtection="1">
      <alignment horizontal="right"/>
    </xf>
    <xf numFmtId="4" fontId="2" fillId="0" borderId="182" xfId="0" applyNumberFormat="1" applyFont="1" applyFill="1" applyBorder="1" applyAlignment="1" applyProtection="1">
      <alignment horizontal="right"/>
    </xf>
    <xf numFmtId="4" fontId="2" fillId="0" borderId="172" xfId="0" applyNumberFormat="1" applyFont="1" applyFill="1" applyBorder="1" applyAlignment="1" applyProtection="1">
      <alignment horizontal="right"/>
    </xf>
    <xf numFmtId="4" fontId="3" fillId="0" borderId="172" xfId="0" applyNumberFormat="1" applyFont="1" applyFill="1" applyBorder="1" applyAlignment="1" applyProtection="1">
      <alignment horizontal="right"/>
    </xf>
    <xf numFmtId="4" fontId="3" fillId="0" borderId="188" xfId="0" applyNumberFormat="1" applyFont="1" applyFill="1" applyBorder="1" applyAlignment="1" applyProtection="1">
      <alignment horizontal="right"/>
    </xf>
    <xf numFmtId="4" fontId="3" fillId="0" borderId="8" xfId="0" applyNumberFormat="1" applyFont="1" applyFill="1" applyBorder="1" applyAlignment="1" applyProtection="1">
      <alignment horizontal="right"/>
    </xf>
    <xf numFmtId="4" fontId="3" fillId="0" borderId="192" xfId="0" applyNumberFormat="1" applyFont="1" applyFill="1" applyBorder="1" applyAlignment="1" applyProtection="1">
      <alignment horizontal="right"/>
    </xf>
    <xf numFmtId="4" fontId="3" fillId="0" borderId="193" xfId="0" applyNumberFormat="1" applyFont="1" applyFill="1" applyBorder="1" applyAlignment="1" applyProtection="1">
      <alignment horizontal="right"/>
    </xf>
    <xf numFmtId="4" fontId="2" fillId="0" borderId="194" xfId="0" applyNumberFormat="1" applyFont="1" applyFill="1" applyBorder="1" applyAlignment="1" applyProtection="1">
      <alignment horizontal="right"/>
    </xf>
    <xf numFmtId="4" fontId="2" fillId="0" borderId="189" xfId="0" applyNumberFormat="1" applyFont="1" applyFill="1" applyBorder="1" applyAlignment="1" applyProtection="1">
      <alignment horizontal="right"/>
    </xf>
    <xf numFmtId="3" fontId="3" fillId="0" borderId="215" xfId="0" applyNumberFormat="1" applyFont="1" applyFill="1" applyBorder="1" applyAlignment="1" applyProtection="1">
      <alignment horizontal="right"/>
    </xf>
    <xf numFmtId="3" fontId="3" fillId="0" borderId="163" xfId="0" applyNumberFormat="1" applyFont="1" applyFill="1" applyBorder="1" applyAlignment="1" applyProtection="1">
      <alignment horizontal="right"/>
    </xf>
    <xf numFmtId="3" fontId="2" fillId="0" borderId="216" xfId="0" applyNumberFormat="1" applyFont="1" applyFill="1" applyBorder="1" applyAlignment="1" applyProtection="1">
      <alignment horizontal="right"/>
    </xf>
    <xf numFmtId="3" fontId="2" fillId="0" borderId="178" xfId="0" applyNumberFormat="1" applyFont="1" applyFill="1" applyBorder="1" applyAlignment="1" applyProtection="1">
      <alignment horizontal="right"/>
    </xf>
    <xf numFmtId="3" fontId="5" fillId="0" borderId="178" xfId="0" applyNumberFormat="1" applyFont="1" applyFill="1" applyBorder="1" applyAlignment="1" applyProtection="1">
      <alignment horizontal="right"/>
    </xf>
    <xf numFmtId="3" fontId="5" fillId="0" borderId="197" xfId="0" applyNumberFormat="1" applyFont="1" applyFill="1" applyBorder="1" applyAlignment="1" applyProtection="1">
      <alignment horizontal="right"/>
    </xf>
    <xf numFmtId="3" fontId="3" fillId="0" borderId="217" xfId="0" applyNumberFormat="1" applyFont="1" applyFill="1" applyBorder="1" applyAlignment="1" applyProtection="1">
      <alignment horizontal="right"/>
    </xf>
    <xf numFmtId="3" fontId="2" fillId="0" borderId="218" xfId="0" applyNumberFormat="1" applyFont="1" applyFill="1" applyBorder="1" applyAlignment="1" applyProtection="1">
      <alignment horizontal="right"/>
    </xf>
    <xf numFmtId="3" fontId="2" fillId="0" borderId="197" xfId="0" applyNumberFormat="1" applyFont="1" applyFill="1" applyBorder="1" applyAlignment="1" applyProtection="1">
      <alignment horizontal="right"/>
    </xf>
    <xf numFmtId="3" fontId="2" fillId="0" borderId="217" xfId="0" applyNumberFormat="1" applyFont="1" applyFill="1" applyBorder="1" applyAlignment="1" applyProtection="1">
      <alignment horizontal="right"/>
    </xf>
    <xf numFmtId="3" fontId="3" fillId="0" borderId="203" xfId="0" applyNumberFormat="1" applyFont="1" applyFill="1" applyBorder="1" applyAlignment="1" applyProtection="1">
      <alignment horizontal="right"/>
    </xf>
    <xf numFmtId="3" fontId="3" fillId="0" borderId="219" xfId="0" applyNumberFormat="1" applyFont="1" applyFill="1" applyBorder="1" applyAlignment="1" applyProtection="1">
      <alignment horizontal="right"/>
    </xf>
    <xf numFmtId="3" fontId="3" fillId="0" borderId="220" xfId="0" applyNumberFormat="1" applyFont="1" applyFill="1" applyBorder="1" applyAlignment="1" applyProtection="1">
      <alignment horizontal="right"/>
    </xf>
    <xf numFmtId="3" fontId="3" fillId="0" borderId="218" xfId="0" applyNumberFormat="1" applyFont="1" applyFill="1" applyBorder="1" applyAlignment="1" applyProtection="1">
      <alignment horizontal="right"/>
    </xf>
    <xf numFmtId="3" fontId="2" fillId="0" borderId="48" xfId="0" applyNumberFormat="1" applyFont="1" applyFill="1" applyBorder="1" applyAlignment="1" applyProtection="1">
      <alignment horizontal="right"/>
    </xf>
    <xf numFmtId="3" fontId="2" fillId="0" borderId="49" xfId="0" applyNumberFormat="1" applyFont="1" applyFill="1" applyBorder="1" applyAlignment="1" applyProtection="1">
      <alignment horizontal="right"/>
    </xf>
    <xf numFmtId="3" fontId="2" fillId="0" borderId="50" xfId="0" applyNumberFormat="1" applyFont="1" applyFill="1" applyBorder="1" applyAlignment="1" applyProtection="1">
      <alignment horizontal="right"/>
    </xf>
    <xf numFmtId="3" fontId="2" fillId="0" borderId="221" xfId="0" applyNumberFormat="1" applyFont="1" applyFill="1" applyBorder="1" applyAlignment="1" applyProtection="1">
      <alignment horizontal="right"/>
    </xf>
    <xf numFmtId="3" fontId="2" fillId="0" borderId="222" xfId="0" applyNumberFormat="1" applyFont="1" applyFill="1" applyBorder="1" applyAlignment="1" applyProtection="1">
      <alignment horizontal="right"/>
    </xf>
    <xf numFmtId="3" fontId="2" fillId="0" borderId="223" xfId="0" applyNumberFormat="1" applyFont="1" applyFill="1" applyBorder="1" applyAlignment="1" applyProtection="1">
      <alignment horizontal="right"/>
    </xf>
    <xf numFmtId="3" fontId="2" fillId="0" borderId="224" xfId="0" applyNumberFormat="1" applyFont="1" applyFill="1" applyBorder="1" applyAlignment="1" applyProtection="1">
      <alignment horizontal="right"/>
    </xf>
    <xf numFmtId="3" fontId="2" fillId="0" borderId="225" xfId="0" applyNumberFormat="1" applyFont="1" applyFill="1" applyBorder="1" applyAlignment="1" applyProtection="1">
      <alignment horizontal="right"/>
    </xf>
    <xf numFmtId="3" fontId="2" fillId="0" borderId="226" xfId="0" applyNumberFormat="1" applyFont="1" applyFill="1" applyBorder="1" applyAlignment="1" applyProtection="1">
      <alignment horizontal="right"/>
    </xf>
    <xf numFmtId="3" fontId="2" fillId="0" borderId="227" xfId="0" applyNumberFormat="1" applyFont="1" applyFill="1" applyBorder="1" applyAlignment="1" applyProtection="1">
      <alignment horizontal="right"/>
    </xf>
    <xf numFmtId="3" fontId="2" fillId="0" borderId="228" xfId="0" applyNumberFormat="1" applyFont="1" applyFill="1" applyBorder="1" applyAlignment="1" applyProtection="1">
      <alignment horizontal="right"/>
    </xf>
    <xf numFmtId="3" fontId="2" fillId="0" borderId="146" xfId="0" applyNumberFormat="1" applyFont="1" applyFill="1" applyBorder="1" applyAlignment="1" applyProtection="1">
      <alignment horizontal="right"/>
    </xf>
    <xf numFmtId="3" fontId="2" fillId="0" borderId="144" xfId="0" applyNumberFormat="1" applyFont="1" applyFill="1" applyBorder="1" applyAlignment="1" applyProtection="1">
      <alignment horizontal="right"/>
    </xf>
    <xf numFmtId="3" fontId="2" fillId="0" borderId="145" xfId="0" applyNumberFormat="1" applyFont="1" applyFill="1" applyBorder="1" applyAlignment="1" applyProtection="1">
      <alignment horizontal="right"/>
    </xf>
    <xf numFmtId="3" fontId="2" fillId="0" borderId="229" xfId="0" applyNumberFormat="1" applyFont="1" applyFill="1" applyBorder="1" applyAlignment="1" applyProtection="1">
      <alignment horizontal="right"/>
    </xf>
    <xf numFmtId="3" fontId="2" fillId="0" borderId="230" xfId="0" applyNumberFormat="1" applyFont="1" applyFill="1" applyBorder="1" applyAlignment="1" applyProtection="1">
      <alignment horizontal="right"/>
    </xf>
    <xf numFmtId="3" fontId="2" fillId="0" borderId="231" xfId="0" applyNumberFormat="1" applyFont="1" applyFill="1" applyBorder="1" applyAlignment="1" applyProtection="1">
      <alignment horizontal="right"/>
    </xf>
    <xf numFmtId="3" fontId="2" fillId="0" borderId="232" xfId="0" applyNumberFormat="1" applyFont="1" applyFill="1" applyBorder="1" applyAlignment="1" applyProtection="1">
      <alignment horizontal="right"/>
    </xf>
    <xf numFmtId="0" fontId="2" fillId="0" borderId="60" xfId="0" applyFont="1" applyFill="1" applyBorder="1" applyProtection="1"/>
    <xf numFmtId="3" fontId="3" fillId="0" borderId="233" xfId="0" applyNumberFormat="1" applyFont="1" applyFill="1" applyBorder="1" applyAlignment="1" applyProtection="1">
      <alignment horizontal="right"/>
    </xf>
    <xf numFmtId="3" fontId="3" fillId="0" borderId="9" xfId="0" applyNumberFormat="1" applyFont="1" applyFill="1" applyBorder="1" applyAlignment="1" applyProtection="1">
      <alignment horizontal="right"/>
    </xf>
    <xf numFmtId="3" fontId="3" fillId="0" borderId="11" xfId="0" applyNumberFormat="1" applyFont="1" applyFill="1" applyBorder="1" applyAlignment="1" applyProtection="1">
      <alignment horizontal="right"/>
    </xf>
    <xf numFmtId="4" fontId="3" fillId="0" borderId="11" xfId="0" applyNumberFormat="1" applyFont="1" applyFill="1" applyBorder="1" applyAlignment="1" applyProtection="1">
      <alignment horizontal="right"/>
    </xf>
    <xf numFmtId="4" fontId="3" fillId="0" borderId="12" xfId="0" applyNumberFormat="1" applyFont="1" applyFill="1" applyBorder="1" applyAlignment="1" applyProtection="1">
      <alignment horizontal="right"/>
    </xf>
    <xf numFmtId="4" fontId="3" fillId="0" borderId="114" xfId="0" applyNumberFormat="1" applyFont="1" applyFill="1" applyBorder="1" applyAlignment="1" applyProtection="1">
      <alignment horizontal="right"/>
    </xf>
    <xf numFmtId="3" fontId="3" fillId="0" borderId="234" xfId="0" applyNumberFormat="1" applyFont="1" applyFill="1" applyBorder="1" applyAlignment="1" applyProtection="1">
      <alignment horizontal="right"/>
    </xf>
    <xf numFmtId="3" fontId="3" fillId="0" borderId="83" xfId="0" applyNumberFormat="1" applyFont="1" applyFill="1" applyBorder="1" applyAlignment="1" applyProtection="1">
      <alignment horizontal="right"/>
    </xf>
    <xf numFmtId="4" fontId="4" fillId="0" borderId="235" xfId="0" applyNumberFormat="1" applyFont="1" applyFill="1" applyBorder="1" applyAlignment="1" applyProtection="1">
      <alignment horizontal="right"/>
    </xf>
    <xf numFmtId="4" fontId="3" fillId="0" borderId="235" xfId="0" applyNumberFormat="1" applyFont="1" applyFill="1" applyBorder="1" applyAlignment="1" applyProtection="1">
      <alignment horizontal="right"/>
    </xf>
    <xf numFmtId="0" fontId="3" fillId="0" borderId="240" xfId="0" applyFont="1" applyFill="1" applyBorder="1" applyAlignment="1" applyProtection="1">
      <alignment horizontal="left" shrinkToFit="1"/>
    </xf>
    <xf numFmtId="4" fontId="3" fillId="0" borderId="191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/>
    </xf>
    <xf numFmtId="4" fontId="3" fillId="0" borderId="176" xfId="0" applyNumberFormat="1" applyFont="1" applyFill="1" applyBorder="1" applyAlignment="1" applyProtection="1">
      <alignment horizontal="right"/>
    </xf>
    <xf numFmtId="4" fontId="3" fillId="0" borderId="26" xfId="0" applyNumberFormat="1" applyFont="1" applyFill="1" applyBorder="1" applyAlignment="1" applyProtection="1">
      <alignment horizontal="right"/>
    </xf>
    <xf numFmtId="4" fontId="3" fillId="0" borderId="165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/>
    <xf numFmtId="4" fontId="3" fillId="0" borderId="135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 vertical="center"/>
    </xf>
    <xf numFmtId="4" fontId="3" fillId="0" borderId="177" xfId="0" applyNumberFormat="1" applyFont="1" applyFill="1" applyBorder="1" applyAlignment="1" applyProtection="1">
      <alignment horizontal="right"/>
    </xf>
    <xf numFmtId="4" fontId="3" fillId="0" borderId="162" xfId="0" applyNumberFormat="1" applyFont="1" applyFill="1" applyBorder="1" applyAlignment="1" applyProtection="1">
      <alignment horizontal="right"/>
    </xf>
    <xf numFmtId="4" fontId="3" fillId="0" borderId="186" xfId="0" applyNumberFormat="1" applyFont="1" applyFill="1" applyBorder="1" applyAlignment="1" applyProtection="1">
      <alignment horizontal="right"/>
    </xf>
    <xf numFmtId="4" fontId="3" fillId="0" borderId="161" xfId="0" applyNumberFormat="1" applyFont="1" applyFill="1" applyBorder="1" applyAlignment="1" applyProtection="1">
      <alignment horizontal="right"/>
    </xf>
    <xf numFmtId="4" fontId="3" fillId="0" borderId="163" xfId="0" applyNumberFormat="1" applyFont="1" applyFill="1" applyBorder="1" applyAlignment="1" applyProtection="1">
      <alignment horizontal="right"/>
    </xf>
    <xf numFmtId="4" fontId="2" fillId="0" borderId="137" xfId="0" applyNumberFormat="1" applyFont="1" applyFill="1" applyBorder="1" applyAlignment="1" applyProtection="1">
      <alignment horizontal="right"/>
    </xf>
    <xf numFmtId="4" fontId="14" fillId="0" borderId="198" xfId="0" applyNumberFormat="1" applyFont="1" applyFill="1" applyBorder="1" applyAlignment="1">
      <alignment horizontal="right"/>
    </xf>
    <xf numFmtId="4" fontId="14" fillId="0" borderId="110" xfId="0" applyNumberFormat="1" applyFont="1" applyFill="1" applyBorder="1" applyAlignment="1">
      <alignment horizontal="right"/>
    </xf>
    <xf numFmtId="4" fontId="14" fillId="0" borderId="178" xfId="0" applyNumberFormat="1" applyFont="1" applyFill="1" applyBorder="1" applyAlignment="1">
      <alignment horizontal="right"/>
    </xf>
    <xf numFmtId="4" fontId="14" fillId="0" borderId="74" xfId="0" applyNumberFormat="1" applyFont="1" applyFill="1" applyBorder="1" applyAlignment="1">
      <alignment horizontal="right"/>
    </xf>
    <xf numFmtId="4" fontId="14" fillId="0" borderId="190" xfId="0" applyNumberFormat="1" applyFont="1" applyFill="1" applyBorder="1" applyAlignment="1">
      <alignment horizontal="right"/>
    </xf>
    <xf numFmtId="4" fontId="14" fillId="0" borderId="103" xfId="0" applyNumberFormat="1" applyFont="1" applyFill="1" applyBorder="1" applyAlignment="1">
      <alignment horizontal="right"/>
    </xf>
    <xf numFmtId="4" fontId="14" fillId="0" borderId="197" xfId="0" applyNumberFormat="1" applyFont="1" applyFill="1" applyBorder="1" applyAlignment="1">
      <alignment horizontal="right"/>
    </xf>
    <xf numFmtId="4" fontId="3" fillId="0" borderId="180" xfId="0" applyNumberFormat="1" applyFont="1" applyFill="1" applyBorder="1" applyAlignment="1" applyProtection="1">
      <alignment horizontal="right"/>
    </xf>
    <xf numFmtId="4" fontId="3" fillId="0" borderId="167" xfId="0" applyNumberFormat="1" applyFont="1" applyFill="1" applyBorder="1" applyAlignment="1" applyProtection="1">
      <alignment horizontal="right"/>
    </xf>
    <xf numFmtId="4" fontId="3" fillId="0" borderId="127" xfId="0" applyNumberFormat="1" applyFont="1" applyFill="1" applyBorder="1" applyAlignment="1" applyProtection="1">
      <alignment horizontal="right"/>
    </xf>
    <xf numFmtId="4" fontId="3" fillId="0" borderId="13" xfId="0" applyNumberFormat="1" applyFont="1" applyFill="1" applyBorder="1" applyAlignment="1" applyProtection="1">
      <alignment horizontal="right"/>
    </xf>
    <xf numFmtId="4" fontId="14" fillId="0" borderId="181" xfId="0" applyNumberFormat="1" applyFont="1" applyFill="1" applyBorder="1" applyAlignment="1">
      <alignment horizontal="right"/>
    </xf>
    <xf numFmtId="4" fontId="14" fillId="0" borderId="187" xfId="0" applyNumberFormat="1" applyFont="1" applyFill="1" applyBorder="1" applyAlignment="1">
      <alignment horizontal="right"/>
    </xf>
    <xf numFmtId="4" fontId="2" fillId="0" borderId="138" xfId="0" applyNumberFormat="1" applyFont="1" applyFill="1" applyBorder="1" applyAlignment="1" applyProtection="1">
      <alignment horizontal="right"/>
    </xf>
    <xf numFmtId="4" fontId="2" fillId="0" borderId="183" xfId="0" applyNumberFormat="1" applyFont="1" applyFill="1" applyBorder="1" applyAlignment="1" applyProtection="1">
      <alignment horizontal="right"/>
    </xf>
    <xf numFmtId="4" fontId="2" fillId="0" borderId="139" xfId="0" applyNumberFormat="1" applyFont="1" applyFill="1" applyBorder="1" applyAlignment="1" applyProtection="1">
      <alignment horizontal="right"/>
    </xf>
    <xf numFmtId="4" fontId="2" fillId="0" borderId="140" xfId="0" applyNumberFormat="1" applyFont="1" applyFill="1" applyBorder="1" applyAlignment="1" applyProtection="1">
      <alignment horizontal="right"/>
    </xf>
    <xf numFmtId="4" fontId="3" fillId="0" borderId="184" xfId="0" applyNumberFormat="1" applyFont="1" applyFill="1" applyBorder="1" applyAlignment="1" applyProtection="1">
      <alignment horizontal="right"/>
    </xf>
    <xf numFmtId="4" fontId="3" fillId="0" borderId="142" xfId="0" applyNumberFormat="1" applyFont="1" applyFill="1" applyBorder="1" applyAlignment="1" applyProtection="1">
      <alignment horizontal="right"/>
    </xf>
    <xf numFmtId="4" fontId="3" fillId="0" borderId="169" xfId="0" applyNumberFormat="1" applyFont="1" applyFill="1" applyBorder="1" applyAlignment="1" applyProtection="1">
      <alignment horizontal="right"/>
    </xf>
    <xf numFmtId="4" fontId="2" fillId="0" borderId="144" xfId="0" applyNumberFormat="1" applyFont="1" applyFill="1" applyBorder="1" applyAlignment="1" applyProtection="1">
      <alignment horizontal="right"/>
    </xf>
    <xf numFmtId="4" fontId="2" fillId="0" borderId="146" xfId="0" applyNumberFormat="1" applyFont="1" applyFill="1" applyBorder="1" applyAlignment="1" applyProtection="1">
      <alignment horizontal="right"/>
    </xf>
    <xf numFmtId="4" fontId="2" fillId="0" borderId="185" xfId="0" applyNumberFormat="1" applyFont="1" applyFill="1" applyBorder="1" applyAlignment="1" applyProtection="1">
      <alignment horizontal="right"/>
    </xf>
    <xf numFmtId="4" fontId="2" fillId="0" borderId="145" xfId="0" applyNumberFormat="1" applyFont="1" applyFill="1" applyBorder="1" applyAlignment="1" applyProtection="1">
      <alignment horizontal="right"/>
    </xf>
    <xf numFmtId="4" fontId="2" fillId="0" borderId="170" xfId="0" applyNumberFormat="1" applyFont="1" applyFill="1" applyBorder="1" applyAlignment="1" applyProtection="1">
      <alignment horizontal="right"/>
    </xf>
    <xf numFmtId="4" fontId="2" fillId="0" borderId="147" xfId="0" applyNumberFormat="1" applyFont="1" applyFill="1" applyBorder="1" applyAlignment="1" applyProtection="1">
      <alignment horizontal="right"/>
    </xf>
    <xf numFmtId="4" fontId="3" fillId="0" borderId="155" xfId="0" applyNumberFormat="1" applyFont="1" applyFill="1" applyBorder="1" applyAlignment="1" applyProtection="1">
      <alignment horizontal="right"/>
    </xf>
    <xf numFmtId="4" fontId="3" fillId="0" borderId="148" xfId="0" applyNumberFormat="1" applyFont="1" applyFill="1" applyBorder="1" applyAlignment="1" applyProtection="1">
      <alignment horizontal="right"/>
    </xf>
    <xf numFmtId="4" fontId="4" fillId="0" borderId="148" xfId="0" applyNumberFormat="1" applyFont="1" applyFill="1" applyBorder="1" applyAlignment="1" applyProtection="1">
      <alignment horizontal="right"/>
    </xf>
    <xf numFmtId="4" fontId="4" fillId="0" borderId="93" xfId="0" applyNumberFormat="1" applyFont="1" applyFill="1" applyBorder="1" applyAlignment="1" applyProtection="1">
      <alignment horizontal="right"/>
    </xf>
    <xf numFmtId="4" fontId="4" fillId="0" borderId="149" xfId="0" applyNumberFormat="1" applyFont="1" applyFill="1" applyBorder="1" applyAlignment="1" applyProtection="1">
      <alignment horizontal="right"/>
    </xf>
    <xf numFmtId="4" fontId="4" fillId="0" borderId="106" xfId="0" applyNumberFormat="1" applyFont="1" applyFill="1" applyBorder="1" applyAlignment="1" applyProtection="1">
      <alignment horizontal="right"/>
    </xf>
    <xf numFmtId="4" fontId="4" fillId="0" borderId="150" xfId="0" applyNumberFormat="1" applyFont="1" applyFill="1" applyBorder="1" applyAlignment="1" applyProtection="1">
      <alignment horizontal="right"/>
    </xf>
    <xf numFmtId="4" fontId="4" fillId="0" borderId="27" xfId="0" applyNumberFormat="1" applyFont="1" applyFill="1" applyBorder="1" applyAlignment="1" applyProtection="1">
      <alignment horizontal="right"/>
    </xf>
    <xf numFmtId="4" fontId="3" fillId="0" borderId="99" xfId="0" applyNumberFormat="1" applyFont="1" applyFill="1" applyBorder="1" applyAlignment="1" applyProtection="1">
      <alignment horizontal="right"/>
    </xf>
    <xf numFmtId="4" fontId="3" fillId="0" borderId="152" xfId="0" applyNumberFormat="1" applyFont="1" applyFill="1" applyBorder="1" applyAlignment="1" applyProtection="1">
      <alignment horizontal="right"/>
    </xf>
    <xf numFmtId="4" fontId="13" fillId="0" borderId="100" xfId="0" applyNumberFormat="1" applyFont="1" applyFill="1" applyBorder="1" applyAlignment="1" applyProtection="1">
      <alignment horizontal="right"/>
    </xf>
    <xf numFmtId="4" fontId="3" fillId="0" borderId="100" xfId="0" applyNumberFormat="1" applyFont="1" applyFill="1" applyBorder="1" applyAlignment="1" applyProtection="1">
      <alignment horizontal="right"/>
    </xf>
    <xf numFmtId="4" fontId="13" fillId="0" borderId="152" xfId="0" applyNumberFormat="1" applyFont="1" applyFill="1" applyBorder="1" applyAlignment="1" applyProtection="1">
      <alignment horizontal="right"/>
    </xf>
    <xf numFmtId="4" fontId="3" fillId="0" borderId="153" xfId="0" applyNumberFormat="1" applyFont="1" applyFill="1" applyBorder="1" applyAlignment="1" applyProtection="1">
      <alignment horizontal="right"/>
    </xf>
    <xf numFmtId="4" fontId="3" fillId="0" borderId="107" xfId="0" applyNumberFormat="1" applyFont="1" applyFill="1" applyBorder="1" applyAlignment="1" applyProtection="1">
      <alignment horizontal="right"/>
    </xf>
    <xf numFmtId="4" fontId="3" fillId="0" borderId="100" xfId="0" applyNumberFormat="1" applyFont="1" applyFill="1" applyBorder="1"/>
    <xf numFmtId="4" fontId="13" fillId="0" borderId="154" xfId="0" applyNumberFormat="1" applyFont="1" applyFill="1" applyBorder="1" applyAlignment="1" applyProtection="1">
      <alignment horizontal="right"/>
    </xf>
    <xf numFmtId="4" fontId="3" fillId="0" borderId="101" xfId="0" applyNumberFormat="1" applyFont="1" applyFill="1" applyBorder="1" applyAlignment="1" applyProtection="1">
      <alignment horizontal="right"/>
    </xf>
    <xf numFmtId="4" fontId="3" fillId="0" borderId="92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" fontId="3" fillId="0" borderId="98" xfId="0" applyNumberFormat="1" applyFont="1" applyFill="1" applyBorder="1" applyAlignment="1" applyProtection="1">
      <alignment horizontal="right"/>
    </xf>
    <xf numFmtId="4" fontId="4" fillId="0" borderId="22" xfId="0" applyNumberFormat="1" applyFont="1" applyFill="1" applyBorder="1" applyAlignment="1" applyProtection="1">
      <alignment horizontal="right"/>
    </xf>
    <xf numFmtId="4" fontId="3" fillId="0" borderId="28" xfId="0" applyNumberFormat="1" applyFont="1" applyFill="1" applyBorder="1" applyAlignment="1" applyProtection="1">
      <alignment horizontal="right"/>
    </xf>
    <xf numFmtId="4" fontId="3" fillId="0" borderId="40" xfId="0" applyNumberFormat="1" applyFont="1" applyFill="1" applyBorder="1" applyAlignment="1" applyProtection="1">
      <alignment horizontal="right"/>
    </xf>
    <xf numFmtId="4" fontId="3" fillId="0" borderId="41" xfId="0" applyNumberFormat="1" applyFont="1" applyFill="1" applyBorder="1" applyAlignment="1" applyProtection="1">
      <alignment horizontal="right"/>
    </xf>
    <xf numFmtId="4" fontId="3" fillId="0" borderId="91" xfId="0" applyNumberFormat="1" applyFont="1" applyFill="1" applyBorder="1" applyAlignment="1" applyProtection="1">
      <alignment horizontal="right"/>
    </xf>
    <xf numFmtId="4" fontId="3" fillId="0" borderId="97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4" fontId="2" fillId="0" borderId="37" xfId="0" applyNumberFormat="1" applyFont="1" applyFill="1" applyBorder="1" applyAlignment="1" applyProtection="1">
      <alignment horizontal="right"/>
    </xf>
    <xf numFmtId="4" fontId="2" fillId="0" borderId="44" xfId="0" applyNumberFormat="1" applyFont="1" applyFill="1" applyBorder="1" applyAlignment="1" applyProtection="1">
      <alignment horizontal="right"/>
    </xf>
    <xf numFmtId="4" fontId="2" fillId="0" borderId="46" xfId="0" applyNumberFormat="1" applyFont="1" applyFill="1" applyBorder="1" applyAlignment="1" applyProtection="1">
      <alignment horizontal="right"/>
    </xf>
    <xf numFmtId="4" fontId="2" fillId="0" borderId="50" xfId="0" applyNumberFormat="1" applyFont="1" applyFill="1" applyBorder="1" applyAlignment="1" applyProtection="1">
      <alignment horizontal="right"/>
    </xf>
    <xf numFmtId="4" fontId="2" fillId="0" borderId="35" xfId="0" applyNumberFormat="1" applyFont="1" applyFill="1" applyBorder="1" applyAlignment="1" applyProtection="1">
      <alignment horizontal="right"/>
    </xf>
    <xf numFmtId="4" fontId="2" fillId="0" borderId="33" xfId="0" applyNumberFormat="1" applyFont="1" applyFill="1" applyBorder="1" applyAlignment="1" applyProtection="1">
      <alignment horizontal="right"/>
    </xf>
    <xf numFmtId="4" fontId="2" fillId="0" borderId="136" xfId="0" applyNumberFormat="1" applyFont="1" applyFill="1" applyBorder="1" applyAlignment="1" applyProtection="1">
      <alignment horizontal="right"/>
    </xf>
    <xf numFmtId="4" fontId="3" fillId="0" borderId="7" xfId="0" applyNumberFormat="1" applyFont="1" applyFill="1" applyBorder="1" applyAlignment="1" applyProtection="1">
      <alignment horizontal="right"/>
    </xf>
    <xf numFmtId="4" fontId="5" fillId="0" borderId="141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right"/>
    </xf>
    <xf numFmtId="4" fontId="2" fillId="0" borderId="195" xfId="0" applyNumberFormat="1" applyFont="1" applyFill="1" applyBorder="1" applyAlignment="1" applyProtection="1">
      <alignment horizontal="right"/>
    </xf>
    <xf numFmtId="4" fontId="3" fillId="0" borderId="143" xfId="0" applyNumberFormat="1" applyFont="1" applyFill="1" applyBorder="1" applyAlignment="1" applyProtection="1">
      <alignment horizontal="right"/>
    </xf>
    <xf numFmtId="4" fontId="2" fillId="0" borderId="47" xfId="0" applyNumberFormat="1" applyFont="1" applyFill="1" applyBorder="1" applyAlignment="1" applyProtection="1">
      <alignment horizontal="right"/>
    </xf>
    <xf numFmtId="4" fontId="2" fillId="0" borderId="196" xfId="0" applyNumberFormat="1" applyFont="1" applyFill="1" applyBorder="1" applyAlignment="1" applyProtection="1">
      <alignment horizontal="right"/>
    </xf>
    <xf numFmtId="4" fontId="3" fillId="0" borderId="66" xfId="0" applyNumberFormat="1" applyFont="1" applyFill="1" applyBorder="1" applyAlignment="1" applyProtection="1">
      <alignment horizontal="right"/>
    </xf>
    <xf numFmtId="4" fontId="3" fillId="0" borderId="151" xfId="0" applyNumberFormat="1" applyFont="1" applyFill="1" applyBorder="1" applyAlignment="1" applyProtection="1">
      <alignment horizontal="right"/>
    </xf>
    <xf numFmtId="4" fontId="4" fillId="0" borderId="151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 applyAlignment="1" applyProtection="1">
      <alignment horizontal="right"/>
    </xf>
    <xf numFmtId="4" fontId="4" fillId="0" borderId="193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/>
    <xf numFmtId="4" fontId="4" fillId="0" borderId="142" xfId="0" applyNumberFormat="1" applyFont="1" applyFill="1" applyBorder="1" applyAlignment="1" applyProtection="1">
      <alignment horizontal="right"/>
    </xf>
    <xf numFmtId="4" fontId="4" fillId="0" borderId="55" xfId="0" applyNumberFormat="1" applyFont="1" applyFill="1" applyBorder="1" applyAlignment="1" applyProtection="1">
      <alignment horizontal="right"/>
    </xf>
    <xf numFmtId="4" fontId="4" fillId="0" borderId="69" xfId="0" applyNumberFormat="1" applyFont="1" applyFill="1" applyBorder="1" applyAlignment="1" applyProtection="1">
      <alignment horizontal="right"/>
    </xf>
    <xf numFmtId="4" fontId="4" fillId="0" borderId="152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 applyAlignment="1" applyProtection="1">
      <alignment horizontal="right"/>
    </xf>
    <xf numFmtId="4" fontId="4" fillId="0" borderId="153" xfId="0" applyNumberFormat="1" applyFont="1" applyFill="1" applyBorder="1" applyAlignment="1" applyProtection="1">
      <alignment horizontal="right"/>
    </xf>
    <xf numFmtId="4" fontId="4" fillId="0" borderId="107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/>
    <xf numFmtId="4" fontId="4" fillId="0" borderId="154" xfId="0" applyNumberFormat="1" applyFont="1" applyFill="1" applyBorder="1" applyAlignment="1" applyProtection="1">
      <alignment horizontal="right"/>
    </xf>
    <xf numFmtId="4" fontId="4" fillId="0" borderId="101" xfId="0" applyNumberFormat="1" applyFont="1" applyFill="1" applyBorder="1" applyAlignment="1" applyProtection="1">
      <alignment horizontal="right"/>
    </xf>
    <xf numFmtId="0" fontId="2" fillId="0" borderId="52" xfId="0" applyFont="1" applyFill="1" applyBorder="1" applyAlignment="1" applyProtection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03" xfId="0" applyFont="1" applyFill="1" applyBorder="1" applyAlignment="1" applyProtection="1">
      <alignment horizontal="center" vertical="center"/>
    </xf>
    <xf numFmtId="4" fontId="2" fillId="0" borderId="237" xfId="0" applyNumberFormat="1" applyFont="1" applyFill="1" applyBorder="1" applyAlignment="1" applyProtection="1">
      <alignment horizontal="center" vertical="center"/>
    </xf>
    <xf numFmtId="4" fontId="2" fillId="0" borderId="45" xfId="0" applyNumberFormat="1" applyFont="1" applyFill="1" applyBorder="1" applyAlignment="1" applyProtection="1">
      <alignment horizontal="center" vertical="center"/>
    </xf>
    <xf numFmtId="4" fontId="2" fillId="0" borderId="238" xfId="0" applyNumberFormat="1" applyFont="1" applyFill="1" applyBorder="1" applyAlignment="1" applyProtection="1">
      <alignment horizontal="center" vertical="center"/>
    </xf>
    <xf numFmtId="0" fontId="2" fillId="0" borderId="202" xfId="0" applyFont="1" applyFill="1" applyBorder="1" applyAlignment="1" applyProtection="1">
      <alignment horizontal="center" vertical="center"/>
    </xf>
    <xf numFmtId="0" fontId="2" fillId="0" borderId="199" xfId="0" applyFont="1" applyFill="1" applyBorder="1" applyAlignment="1" applyProtection="1">
      <alignment horizontal="center" vertical="center"/>
    </xf>
    <xf numFmtId="0" fontId="2" fillId="0" borderId="200" xfId="0" applyFont="1" applyFill="1" applyBorder="1" applyAlignment="1" applyProtection="1">
      <alignment horizontal="center" vertical="center"/>
    </xf>
    <xf numFmtId="0" fontId="2" fillId="0" borderId="237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238" xfId="0" applyFont="1" applyFill="1" applyBorder="1" applyAlignment="1" applyProtection="1">
      <alignment horizontal="center" vertical="center"/>
    </xf>
    <xf numFmtId="0" fontId="2" fillId="0" borderId="236" xfId="0" applyFont="1" applyFill="1" applyBorder="1" applyAlignment="1" applyProtection="1">
      <alignment horizontal="center" wrapText="1"/>
    </xf>
    <xf numFmtId="0" fontId="2" fillId="0" borderId="105" xfId="0" applyFont="1" applyFill="1" applyBorder="1" applyAlignment="1" applyProtection="1">
      <alignment horizontal="center" wrapText="1"/>
    </xf>
    <xf numFmtId="0" fontId="2" fillId="0" borderId="127" xfId="0" applyFont="1" applyFill="1" applyBorder="1" applyAlignment="1" applyProtection="1">
      <alignment horizontal="center" wrapText="1"/>
    </xf>
    <xf numFmtId="0" fontId="2" fillId="0" borderId="171" xfId="0" applyFont="1" applyFill="1" applyBorder="1" applyAlignment="1" applyProtection="1">
      <alignment horizontal="center" wrapText="1"/>
    </xf>
    <xf numFmtId="0" fontId="2" fillId="0" borderId="172" xfId="0" applyFont="1" applyFill="1" applyBorder="1" applyAlignment="1" applyProtection="1">
      <alignment horizontal="center" wrapText="1"/>
    </xf>
    <xf numFmtId="0" fontId="2" fillId="0" borderId="173" xfId="0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</xf>
    <xf numFmtId="4" fontId="2" fillId="0" borderId="203" xfId="0" applyNumberFormat="1" applyFont="1" applyFill="1" applyBorder="1" applyAlignment="1" applyProtection="1">
      <alignment horizontal="center" vertical="center"/>
    </xf>
    <xf numFmtId="4" fontId="2" fillId="0" borderId="213" xfId="0" applyNumberFormat="1" applyFont="1" applyFill="1" applyBorder="1" applyAlignment="1" applyProtection="1">
      <alignment horizontal="center" wrapText="1"/>
    </xf>
    <xf numFmtId="4" fontId="2" fillId="0" borderId="132" xfId="0" applyNumberFormat="1" applyFont="1" applyFill="1" applyBorder="1" applyAlignment="1" applyProtection="1">
      <alignment horizontal="center" wrapText="1"/>
    </xf>
    <xf numFmtId="4" fontId="2" fillId="0" borderId="214" xfId="0" applyNumberFormat="1" applyFont="1" applyFill="1" applyBorder="1" applyAlignment="1" applyProtection="1">
      <alignment horizontal="center" wrapText="1"/>
    </xf>
    <xf numFmtId="0" fontId="2" fillId="0" borderId="199" xfId="0" applyFont="1" applyFill="1" applyBorder="1" applyAlignment="1" applyProtection="1">
      <alignment horizontal="center" vertical="top"/>
    </xf>
    <xf numFmtId="0" fontId="2" fillId="0" borderId="200" xfId="0" applyFont="1" applyFill="1" applyBorder="1" applyAlignment="1" applyProtection="1">
      <alignment horizontal="center" vertical="top"/>
    </xf>
    <xf numFmtId="0" fontId="2" fillId="0" borderId="45" xfId="0" applyFont="1" applyFill="1" applyBorder="1" applyAlignment="1" applyProtection="1">
      <alignment horizontal="center" wrapText="1"/>
    </xf>
    <xf numFmtId="0" fontId="2" fillId="0" borderId="201" xfId="0" applyFont="1" applyFill="1" applyBorder="1" applyAlignment="1" applyProtection="1">
      <alignment horizontal="center" wrapText="1"/>
    </xf>
    <xf numFmtId="4" fontId="2" fillId="0" borderId="239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4" fontId="2" fillId="0" borderId="236" xfId="0" applyNumberFormat="1" applyFont="1" applyFill="1" applyBorder="1" applyAlignment="1" applyProtection="1">
      <alignment horizontal="center" vertical="center"/>
    </xf>
    <xf numFmtId="4" fontId="2" fillId="0" borderId="105" xfId="0" applyNumberFormat="1" applyFont="1" applyFill="1" applyBorder="1" applyAlignment="1" applyProtection="1">
      <alignment horizontal="center" vertical="center"/>
    </xf>
    <xf numFmtId="4" fontId="2" fillId="0" borderId="127" xfId="0" applyNumberFormat="1" applyFont="1" applyFill="1" applyBorder="1" applyAlignment="1" applyProtection="1">
      <alignment horizontal="center" vertical="center"/>
    </xf>
    <xf numFmtId="4" fontId="2" fillId="0" borderId="171" xfId="0" applyNumberFormat="1" applyFont="1" applyFill="1" applyBorder="1" applyAlignment="1" applyProtection="1">
      <alignment horizontal="center" vertical="center"/>
    </xf>
    <xf numFmtId="4" fontId="2" fillId="0" borderId="172" xfId="0" applyNumberFormat="1" applyFont="1" applyFill="1" applyBorder="1" applyAlignment="1" applyProtection="1">
      <alignment horizontal="center" vertical="center"/>
    </xf>
    <xf numFmtId="4" fontId="2" fillId="0" borderId="17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4" fontId="2" fillId="0" borderId="9" xfId="0" applyNumberFormat="1" applyFont="1" applyFill="1" applyBorder="1" applyAlignment="1" applyProtection="1">
      <alignment horizontal="center" wrapText="1"/>
    </xf>
    <xf numFmtId="4" fontId="2" fillId="0" borderId="203" xfId="0" applyNumberFormat="1" applyFont="1" applyFill="1" applyBorder="1" applyAlignment="1" applyProtection="1">
      <alignment horizontal="center" wrapText="1"/>
    </xf>
    <xf numFmtId="0" fontId="2" fillId="0" borderId="204" xfId="0" applyFont="1" applyFill="1" applyBorder="1" applyAlignment="1" applyProtection="1">
      <alignment horizontal="center" wrapText="1"/>
    </xf>
    <xf numFmtId="0" fontId="2" fillId="0" borderId="205" xfId="0" applyFont="1" applyFill="1" applyBorder="1" applyAlignment="1" applyProtection="1">
      <alignment horizontal="center" wrapText="1"/>
    </xf>
    <xf numFmtId="0" fontId="2" fillId="0" borderId="206" xfId="0" applyFont="1" applyFill="1" applyBorder="1" applyAlignment="1" applyProtection="1">
      <alignment horizontal="center" wrapText="1"/>
    </xf>
    <xf numFmtId="4" fontId="2" fillId="0" borderId="207" xfId="0" applyNumberFormat="1" applyFont="1" applyFill="1" applyBorder="1" applyAlignment="1" applyProtection="1">
      <alignment horizontal="center" vertical="center"/>
    </xf>
    <xf numFmtId="4" fontId="2" fillId="0" borderId="208" xfId="0" applyNumberFormat="1" applyFont="1" applyFill="1" applyBorder="1" applyAlignment="1" applyProtection="1">
      <alignment horizontal="center" vertical="center"/>
    </xf>
    <xf numFmtId="4" fontId="2" fillId="0" borderId="209" xfId="0" applyNumberFormat="1" applyFont="1" applyFill="1" applyBorder="1" applyAlignment="1" applyProtection="1">
      <alignment horizontal="center" vertical="center"/>
    </xf>
    <xf numFmtId="4" fontId="2" fillId="0" borderId="210" xfId="0" applyNumberFormat="1" applyFont="1" applyFill="1" applyBorder="1" applyAlignment="1" applyProtection="1">
      <alignment horizontal="center" vertical="center"/>
    </xf>
    <xf numFmtId="4" fontId="2" fillId="0" borderId="211" xfId="0" applyNumberFormat="1" applyFont="1" applyFill="1" applyBorder="1" applyAlignment="1" applyProtection="1">
      <alignment horizontal="center" vertical="center"/>
    </xf>
    <xf numFmtId="4" fontId="2" fillId="0" borderId="180" xfId="0" applyNumberFormat="1" applyFont="1" applyFill="1" applyBorder="1" applyAlignment="1" applyProtection="1">
      <alignment horizontal="center" vertical="center"/>
    </xf>
    <xf numFmtId="4" fontId="2" fillId="0" borderId="212" xfId="0" applyNumberFormat="1" applyFont="1" applyFill="1" applyBorder="1" applyAlignment="1" applyProtection="1">
      <alignment horizontal="center" vertic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2"/>
  <sheetViews>
    <sheetView showZeros="0" tabSelected="1" zoomScale="70" zoomScaleNormal="70" zoomScaleSheetLayoutView="75" workbookViewId="0">
      <pane xSplit="3" topLeftCell="D1" activePane="topRight" state="frozen"/>
      <selection pane="topRight" sqref="A1:A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ht="18" customHeight="1" thickTop="1" x14ac:dyDescent="0.3">
      <c r="A1" s="357" t="s">
        <v>1</v>
      </c>
      <c r="B1" s="360" t="s">
        <v>2</v>
      </c>
      <c r="C1" s="360" t="s">
        <v>3</v>
      </c>
      <c r="D1" s="363" t="s">
        <v>56</v>
      </c>
      <c r="E1" s="355" t="s">
        <v>0</v>
      </c>
      <c r="F1" s="356"/>
      <c r="G1" s="363" t="s">
        <v>57</v>
      </c>
      <c r="H1" s="372" t="s">
        <v>5</v>
      </c>
      <c r="I1" s="375" t="s">
        <v>6</v>
      </c>
      <c r="J1" s="378" t="s">
        <v>58</v>
      </c>
      <c r="K1" s="381" t="s">
        <v>59</v>
      </c>
      <c r="L1" s="366" t="s">
        <v>7</v>
      </c>
      <c r="M1" s="366" t="s">
        <v>8</v>
      </c>
      <c r="N1" s="366" t="s">
        <v>9</v>
      </c>
      <c r="O1" s="366" t="s">
        <v>10</v>
      </c>
      <c r="P1" s="369" t="s">
        <v>11</v>
      </c>
      <c r="Q1" s="397" t="s">
        <v>12</v>
      </c>
      <c r="R1" s="400" t="s">
        <v>13</v>
      </c>
      <c r="S1" s="403" t="s">
        <v>62</v>
      </c>
      <c r="T1" s="384" t="s">
        <v>14</v>
      </c>
      <c r="U1" s="384" t="s">
        <v>15</v>
      </c>
      <c r="V1" s="384" t="s">
        <v>16</v>
      </c>
      <c r="W1" s="369" t="s">
        <v>17</v>
      </c>
      <c r="X1" s="394" t="s">
        <v>18</v>
      </c>
      <c r="Y1" s="384" t="s">
        <v>19</v>
      </c>
      <c r="Z1" s="384" t="s">
        <v>20</v>
      </c>
      <c r="AA1" s="384" t="s">
        <v>60</v>
      </c>
      <c r="AB1" s="384" t="s">
        <v>21</v>
      </c>
      <c r="AC1" s="387" t="s">
        <v>61</v>
      </c>
    </row>
    <row r="2" spans="1:29" ht="18" customHeight="1" x14ac:dyDescent="0.2">
      <c r="A2" s="358"/>
      <c r="B2" s="361"/>
      <c r="C2" s="361"/>
      <c r="D2" s="364"/>
      <c r="E2" s="390" t="s">
        <v>4</v>
      </c>
      <c r="F2" s="392" t="s">
        <v>63</v>
      </c>
      <c r="G2" s="364"/>
      <c r="H2" s="373"/>
      <c r="I2" s="376"/>
      <c r="J2" s="379"/>
      <c r="K2" s="382"/>
      <c r="L2" s="367"/>
      <c r="M2" s="367"/>
      <c r="N2" s="367"/>
      <c r="O2" s="367"/>
      <c r="P2" s="370"/>
      <c r="Q2" s="398"/>
      <c r="R2" s="401"/>
      <c r="S2" s="404"/>
      <c r="T2" s="385"/>
      <c r="U2" s="385"/>
      <c r="V2" s="385"/>
      <c r="W2" s="370"/>
      <c r="X2" s="395"/>
      <c r="Y2" s="385"/>
      <c r="Z2" s="385"/>
      <c r="AA2" s="385"/>
      <c r="AB2" s="385"/>
      <c r="AC2" s="388"/>
    </row>
    <row r="3" spans="1:29" ht="18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77"/>
      <c r="J3" s="380"/>
      <c r="K3" s="383"/>
      <c r="L3" s="368"/>
      <c r="M3" s="368"/>
      <c r="N3" s="368"/>
      <c r="O3" s="368"/>
      <c r="P3" s="371"/>
      <c r="Q3" s="399"/>
      <c r="R3" s="402"/>
      <c r="S3" s="405"/>
      <c r="T3" s="386"/>
      <c r="U3" s="386"/>
      <c r="V3" s="386"/>
      <c r="W3" s="371"/>
      <c r="X3" s="396"/>
      <c r="Y3" s="386"/>
      <c r="Z3" s="386"/>
      <c r="AA3" s="386"/>
      <c r="AB3" s="386"/>
      <c r="AC3" s="389"/>
    </row>
    <row r="4" spans="1:29" ht="21" customHeight="1" x14ac:dyDescent="0.3">
      <c r="A4" s="27"/>
      <c r="B4" s="28"/>
      <c r="C4" s="245" t="s">
        <v>46</v>
      </c>
      <c r="D4" s="87"/>
      <c r="E4" s="88"/>
      <c r="F4" s="89"/>
      <c r="G4" s="88"/>
      <c r="H4" s="90"/>
      <c r="I4" s="141"/>
      <c r="J4" s="43"/>
      <c r="K4" s="246"/>
      <c r="L4" s="247"/>
      <c r="M4" s="248"/>
      <c r="N4" s="249"/>
      <c r="O4" s="247"/>
      <c r="P4" s="250"/>
      <c r="Q4" s="251"/>
      <c r="R4" s="249"/>
      <c r="S4" s="247"/>
      <c r="T4" s="249"/>
      <c r="U4" s="170"/>
      <c r="V4" s="249"/>
      <c r="W4" s="252"/>
      <c r="X4" s="135"/>
      <c r="Y4" s="253"/>
      <c r="Z4" s="253"/>
      <c r="AA4" s="253"/>
      <c r="AB4" s="253"/>
      <c r="AC4" s="219"/>
    </row>
    <row r="5" spans="1:29" s="150" customFormat="1" ht="18" customHeight="1" x14ac:dyDescent="0.3">
      <c r="A5" s="11">
        <v>1</v>
      </c>
      <c r="B5" s="12">
        <v>601.20000000000005</v>
      </c>
      <c r="C5" s="13" t="s">
        <v>23</v>
      </c>
      <c r="D5" s="69">
        <f>SUM(E5:G5)</f>
        <v>83584</v>
      </c>
      <c r="E5" s="72">
        <f>ROUND('VHČ 2016 (v Kč)'!E5/1000,0)-1</f>
        <v>53369</v>
      </c>
      <c r="F5" s="70">
        <f>ROUND('VHČ 2016 (v Kč)'!F5/1000,0)</f>
        <v>10786</v>
      </c>
      <c r="G5" s="71">
        <f>SUM(H5:AC5)</f>
        <v>19429</v>
      </c>
      <c r="H5" s="72">
        <f>ROUND('VHČ 2016 (v Kč)'!H5/1000,0)</f>
        <v>2367</v>
      </c>
      <c r="I5" s="140">
        <f>ROUND('VHČ 2016 (v Kč)'!I5/1000,0)</f>
        <v>0</v>
      </c>
      <c r="J5" s="128">
        <f>ROUND('VHČ 2016 (v Kč)'!J5/1000,0)</f>
        <v>215</v>
      </c>
      <c r="K5" s="94">
        <f>ROUND('VHČ 2016 (v Kč)'!K5/1000,0)</f>
        <v>47</v>
      </c>
      <c r="L5" s="94">
        <f>ROUND('VHČ 2016 (v Kč)'!L5/1000,0)</f>
        <v>0</v>
      </c>
      <c r="M5" s="94">
        <f>ROUND('VHČ 2016 (v Kč)'!M5/1000,0)</f>
        <v>0</v>
      </c>
      <c r="N5" s="94">
        <f>ROUND('VHČ 2016 (v Kč)'!N5/1000,0)</f>
        <v>0</v>
      </c>
      <c r="O5" s="94">
        <f>ROUND('VHČ 2016 (v Kč)'!O5/1000,0)</f>
        <v>0</v>
      </c>
      <c r="P5" s="95">
        <f>ROUND('VHČ 2016 (v Kč)'!P5/1000,0)</f>
        <v>0</v>
      </c>
      <c r="Q5" s="137">
        <f>ROUND('VHČ 2016 (v Kč)'!Q5/1000,0)</f>
        <v>0</v>
      </c>
      <c r="R5" s="149">
        <f>ROUND('VHČ 2016 (v Kč)'!R5/1000,0)</f>
        <v>0</v>
      </c>
      <c r="S5" s="94">
        <f>ROUND('VHČ 2016 (v Kč)'!S5/1000,0)</f>
        <v>0</v>
      </c>
      <c r="T5" s="94">
        <f>ROUND('VHČ 2016 (v Kč)'!T5/1000,0)</f>
        <v>0</v>
      </c>
      <c r="U5" s="94">
        <f>ROUND('VHČ 2016 (v Kč)'!U5/1000,0)</f>
        <v>6912</v>
      </c>
      <c r="V5" s="94">
        <f>ROUND('VHČ 2016 (v Kč)'!V5/1000,0)</f>
        <v>0</v>
      </c>
      <c r="W5" s="79">
        <f>ROUND('VHČ 2016 (v Kč)'!W5/1000,0)</f>
        <v>0</v>
      </c>
      <c r="X5" s="137">
        <f>ROUND('VHČ 2016 (v Kč)'!X5/1000,0)</f>
        <v>0</v>
      </c>
      <c r="Y5" s="94">
        <f>ROUND('VHČ 2016 (v Kč)'!Y5/1000,0)</f>
        <v>0</v>
      </c>
      <c r="Z5" s="94">
        <f>ROUND('VHČ 2016 (v Kč)'!Z5/1000,0)</f>
        <v>0</v>
      </c>
      <c r="AA5" s="94">
        <f>ROUND('VHČ 2016 (v Kč)'!AA5/1000,0)</f>
        <v>9888</v>
      </c>
      <c r="AB5" s="94">
        <f>ROUND('VHČ 2016 (v Kč)'!AB5/1000,0)</f>
        <v>0</v>
      </c>
      <c r="AC5" s="214">
        <f>ROUND('VHČ 2016 (v Kč)'!AC5/1000,0)</f>
        <v>0</v>
      </c>
    </row>
    <row r="6" spans="1:29" s="150" customFormat="1" ht="18" customHeight="1" x14ac:dyDescent="0.3">
      <c r="A6" s="11">
        <v>2</v>
      </c>
      <c r="B6" s="12">
        <v>603</v>
      </c>
      <c r="C6" s="13" t="s">
        <v>41</v>
      </c>
      <c r="D6" s="69">
        <f>SUM(E6:G6)</f>
        <v>2081849</v>
      </c>
      <c r="E6" s="72">
        <f>ROUND('VHČ 2016 (v Kč)'!E6/1000,0)</f>
        <v>677307</v>
      </c>
      <c r="F6" s="70">
        <f>ROUND('VHČ 2016 (v Kč)'!F6/1000,0)</f>
        <v>0</v>
      </c>
      <c r="G6" s="71">
        <f>SUM(H6:AC6)</f>
        <v>1404542</v>
      </c>
      <c r="H6" s="72">
        <f>ROUND('VHČ 2016 (v Kč)'!H6/1000,0)</f>
        <v>333868</v>
      </c>
      <c r="I6" s="140">
        <f>ROUND('VHČ 2016 (v Kč)'!I6/1000,0)</f>
        <v>638</v>
      </c>
      <c r="J6" s="128">
        <f>ROUND('VHČ 2016 (v Kč)'!J6/1000,0)</f>
        <v>37686</v>
      </c>
      <c r="K6" s="94">
        <f>ROUND('VHČ 2016 (v Kč)'!K6/1000,0)</f>
        <v>38672</v>
      </c>
      <c r="L6" s="94">
        <f>ROUND('VHČ 2016 (v Kč)'!L6/1000,0)</f>
        <v>70405</v>
      </c>
      <c r="M6" s="94">
        <f>ROUND('VHČ 2016 (v Kč)'!M6/1000,0)</f>
        <v>584</v>
      </c>
      <c r="N6" s="94">
        <f>ROUND('VHČ 2016 (v Kč)'!N6/1000,0)</f>
        <v>78389</v>
      </c>
      <c r="O6" s="94">
        <f>ROUND('VHČ 2016 (v Kč)'!O6/1000,0)</f>
        <v>77228</v>
      </c>
      <c r="P6" s="95">
        <f>ROUND('VHČ 2016 (v Kč)'!P6/1000,0)</f>
        <v>3735</v>
      </c>
      <c r="Q6" s="137">
        <f>ROUND('VHČ 2016 (v Kč)'!Q6/1000,0)</f>
        <v>9312</v>
      </c>
      <c r="R6" s="149">
        <f>ROUND('VHČ 2016 (v Kč)'!R6/1000,0)</f>
        <v>256879</v>
      </c>
      <c r="S6" s="94">
        <f>ROUND('VHČ 2016 (v Kč)'!S6/1000,0)</f>
        <v>4864</v>
      </c>
      <c r="T6" s="94">
        <f>ROUND('VHČ 2016 (v Kč)'!T6/1000,0)</f>
        <v>111406</v>
      </c>
      <c r="U6" s="94">
        <f>ROUND('VHČ 2016 (v Kč)'!U6/1000,0)</f>
        <v>43461</v>
      </c>
      <c r="V6" s="94">
        <f>ROUND('VHČ 2016 (v Kč)'!V6/1000,0)</f>
        <v>45783</v>
      </c>
      <c r="W6" s="79">
        <f>ROUND('VHČ 2016 (v Kč)'!W6/1000,0)-1</f>
        <v>35926</v>
      </c>
      <c r="X6" s="137">
        <f>ROUND('VHČ 2016 (v Kč)'!X6/1000,0)</f>
        <v>109416</v>
      </c>
      <c r="Y6" s="94">
        <f>ROUND('VHČ 2016 (v Kč)'!Y6/1000,0)</f>
        <v>35990</v>
      </c>
      <c r="Z6" s="94">
        <f>ROUND('VHČ 2016 (v Kč)'!Z6/1000,0)</f>
        <v>403</v>
      </c>
      <c r="AA6" s="94">
        <f>ROUND('VHČ 2016 (v Kč)'!AA6/1000,0)</f>
        <v>86846</v>
      </c>
      <c r="AB6" s="94">
        <f>ROUND('VHČ 2016 (v Kč)'!AB6/1000,0)</f>
        <v>589</v>
      </c>
      <c r="AC6" s="214">
        <f>ROUND('VHČ 2016 (v Kč)'!AC6/1000,0)</f>
        <v>22462</v>
      </c>
    </row>
    <row r="7" spans="1:29" s="150" customFormat="1" ht="18" customHeight="1" x14ac:dyDescent="0.3">
      <c r="A7" s="11">
        <v>3</v>
      </c>
      <c r="B7" s="12" t="s">
        <v>24</v>
      </c>
      <c r="C7" s="13" t="s">
        <v>25</v>
      </c>
      <c r="D7" s="69">
        <f>SUM(E7:G7)</f>
        <v>67961</v>
      </c>
      <c r="E7" s="72">
        <f>ROUND('VHČ 2016 (v Kč)'!E7/1000,0)</f>
        <v>67961</v>
      </c>
      <c r="F7" s="53">
        <f>ROUND('VHČ 2016 (v Kč)'!F7/1000,0)</f>
        <v>0</v>
      </c>
      <c r="G7" s="71"/>
      <c r="H7" s="72">
        <f>ROUND('VHČ 2016 (v Kč)'!H7/1000,0)</f>
        <v>0</v>
      </c>
      <c r="I7" s="140">
        <f>ROUND('VHČ 2016 (v Kč)'!I7/1000,0)</f>
        <v>0</v>
      </c>
      <c r="J7" s="128">
        <f>ROUND('VHČ 2016 (v Kč)'!J7/1000,0)</f>
        <v>0</v>
      </c>
      <c r="K7" s="94">
        <f>ROUND('VHČ 2016 (v Kč)'!K7/1000,0)</f>
        <v>0</v>
      </c>
      <c r="L7" s="94">
        <f>ROUND('VHČ 2016 (v Kč)'!L7/1000,0)</f>
        <v>0</v>
      </c>
      <c r="M7" s="94">
        <f>ROUND('VHČ 2016 (v Kč)'!M7/1000,0)</f>
        <v>0</v>
      </c>
      <c r="N7" s="94">
        <f>ROUND('VHČ 2016 (v Kč)'!N7/1000,0)</f>
        <v>0</v>
      </c>
      <c r="O7" s="94">
        <f>ROUND('VHČ 2016 (v Kč)'!O7/1000,0)</f>
        <v>0</v>
      </c>
      <c r="P7" s="95">
        <f>ROUND('VHČ 2016 (v Kč)'!P7/1000,0)</f>
        <v>0</v>
      </c>
      <c r="Q7" s="137">
        <f>ROUND('VHČ 2016 (v Kč)'!Q7/1000,0)</f>
        <v>0</v>
      </c>
      <c r="R7" s="149">
        <f>ROUND('VHČ 2016 (v Kč)'!R7/1000,0)</f>
        <v>0</v>
      </c>
      <c r="S7" s="94">
        <f>ROUND('VHČ 2016 (v Kč)'!S7/1000,0)</f>
        <v>0</v>
      </c>
      <c r="T7" s="94">
        <f>ROUND('VHČ 2016 (v Kč)'!T7/1000,0)</f>
        <v>0</v>
      </c>
      <c r="U7" s="94">
        <f>ROUND('VHČ 2016 (v Kč)'!U7/1000,0)</f>
        <v>0</v>
      </c>
      <c r="V7" s="94">
        <f>ROUND('VHČ 2016 (v Kč)'!V7/1000,0)</f>
        <v>0</v>
      </c>
      <c r="W7" s="79">
        <f>ROUND('VHČ 2016 (v Kč)'!W7/1000,0)</f>
        <v>0</v>
      </c>
      <c r="X7" s="137">
        <f>ROUND('VHČ 2016 (v Kč)'!X7/1000,0)</f>
        <v>0</v>
      </c>
      <c r="Y7" s="94">
        <f>ROUND('VHČ 2016 (v Kč)'!Y7/1000,0)</f>
        <v>0</v>
      </c>
      <c r="Z7" s="94">
        <f>ROUND('VHČ 2016 (v Kč)'!Z7/1000,0)</f>
        <v>0</v>
      </c>
      <c r="AA7" s="94">
        <f>ROUND('VHČ 2016 (v Kč)'!AA7/1000,0)</f>
        <v>0</v>
      </c>
      <c r="AB7" s="94">
        <f>ROUND('VHČ 2016 (v Kč)'!AB7/1000,0)</f>
        <v>0</v>
      </c>
      <c r="AC7" s="214">
        <f>ROUND('VHČ 2016 (v Kč)'!AC7/1000,0)</f>
        <v>0</v>
      </c>
    </row>
    <row r="8" spans="1:29" s="150" customFormat="1" ht="18" customHeight="1" x14ac:dyDescent="0.3">
      <c r="A8" s="11">
        <v>4</v>
      </c>
      <c r="B8" s="12">
        <v>672</v>
      </c>
      <c r="C8" s="13" t="s">
        <v>48</v>
      </c>
      <c r="D8" s="69">
        <f>SUM(E8:G8)</f>
        <v>43677</v>
      </c>
      <c r="E8" s="72">
        <f>ROUND('VHČ 2016 (v Kč)'!E8/1000,0)</f>
        <v>30846</v>
      </c>
      <c r="F8" s="77">
        <f>ROUND('VHČ 2016 (v Kč)'!F8/1000,0)</f>
        <v>0</v>
      </c>
      <c r="G8" s="71">
        <f>SUM(H8:AC8)</f>
        <v>12831</v>
      </c>
      <c r="H8" s="72">
        <f>ROUND('VHČ 2016 (v Kč)'!H8/1000,0)</f>
        <v>5411</v>
      </c>
      <c r="I8" s="140">
        <f>ROUND('VHČ 2016 (v Kč)'!I8/1000,0)</f>
        <v>179</v>
      </c>
      <c r="J8" s="128">
        <f>ROUND('VHČ 2016 (v Kč)'!J8/1000,0)</f>
        <v>138</v>
      </c>
      <c r="K8" s="94">
        <f>ROUND('VHČ 2016 (v Kč)'!K8/1000,0)</f>
        <v>182</v>
      </c>
      <c r="L8" s="94">
        <f>ROUND('VHČ 2016 (v Kč)'!L8/1000,0)</f>
        <v>618</v>
      </c>
      <c r="M8" s="94">
        <f>ROUND('VHČ 2016 (v Kč)'!M8/1000,0)</f>
        <v>75</v>
      </c>
      <c r="N8" s="94">
        <f>ROUND('VHČ 2016 (v Kč)'!N8/1000,0)</f>
        <v>363</v>
      </c>
      <c r="O8" s="94">
        <f>ROUND('VHČ 2016 (v Kč)'!O8/1000,0)</f>
        <v>62</v>
      </c>
      <c r="P8" s="95">
        <f>ROUND('VHČ 2016 (v Kč)'!P8/1000,0)</f>
        <v>78</v>
      </c>
      <c r="Q8" s="137">
        <f>ROUND('VHČ 2016 (v Kč)'!Q8/1000,0)</f>
        <v>0</v>
      </c>
      <c r="R8" s="149">
        <f>ROUND('VHČ 2016 (v Kč)'!R8/1000,0)</f>
        <v>2053</v>
      </c>
      <c r="S8" s="94">
        <f>ROUND('VHČ 2016 (v Kč)'!S8/1000,0)</f>
        <v>0</v>
      </c>
      <c r="T8" s="94">
        <f>ROUND('VHČ 2016 (v Kč)'!T8/1000,0)</f>
        <v>637</v>
      </c>
      <c r="U8" s="94">
        <f>ROUND('VHČ 2016 (v Kč)'!U8/1000,0)</f>
        <v>390</v>
      </c>
      <c r="V8" s="94">
        <f>ROUND('VHČ 2016 (v Kč)'!V8/1000,0)</f>
        <v>211</v>
      </c>
      <c r="W8" s="79">
        <f>ROUND('VHČ 2016 (v Kč)'!W8/1000,0)</f>
        <v>269</v>
      </c>
      <c r="X8" s="137">
        <f>ROUND('VHČ 2016 (v Kč)'!X8/1000,0)</f>
        <v>836</v>
      </c>
      <c r="Y8" s="94">
        <f>ROUND('VHČ 2016 (v Kč)'!Y8/1000,0)</f>
        <v>327</v>
      </c>
      <c r="Z8" s="94">
        <f>ROUND('VHČ 2016 (v Kč)'!Z8/1000,0)</f>
        <v>67</v>
      </c>
      <c r="AA8" s="94">
        <f>ROUND('VHČ 2016 (v Kč)'!AA8/1000,0)</f>
        <v>417</v>
      </c>
      <c r="AB8" s="94">
        <f>ROUND('VHČ 2016 (v Kč)'!AB8/1000,0)</f>
        <v>244</v>
      </c>
      <c r="AC8" s="214">
        <f>ROUND('VHČ 2016 (v Kč)'!AC8/1000,0)</f>
        <v>274</v>
      </c>
    </row>
    <row r="9" spans="1:29" s="150" customFormat="1" ht="18" customHeight="1" thickBot="1" x14ac:dyDescent="0.35">
      <c r="A9" s="17">
        <v>5</v>
      </c>
      <c r="B9" s="18" t="s">
        <v>42</v>
      </c>
      <c r="C9" s="13" t="s">
        <v>26</v>
      </c>
      <c r="D9" s="69">
        <f>SUM(E9:G9)</f>
        <v>64804</v>
      </c>
      <c r="E9" s="78">
        <f>ROUND('VHČ 2016 (v Kč)'!E9/1000,0)</f>
        <v>630</v>
      </c>
      <c r="F9" s="77">
        <f>ROUND('VHČ 2016 (v Kč)'!F9/1000,0)</f>
        <v>1</v>
      </c>
      <c r="G9" s="71">
        <f>SUM(H9:AC9)</f>
        <v>64173</v>
      </c>
      <c r="H9" s="72">
        <f>ROUND('VHČ 2016 (v Kč)'!H9/1000,0)+1</f>
        <v>15930</v>
      </c>
      <c r="I9" s="140">
        <f>ROUND('VHČ 2016 (v Kč)'!I9/1000,0)</f>
        <v>61</v>
      </c>
      <c r="J9" s="128">
        <f>ROUND('VHČ 2016 (v Kč)'!J9/1000,0)</f>
        <v>3415</v>
      </c>
      <c r="K9" s="94">
        <f>ROUND('VHČ 2016 (v Kč)'!K9/1000,0)</f>
        <v>1374</v>
      </c>
      <c r="L9" s="94">
        <f>ROUND('VHČ 2016 (v Kč)'!L9/1000,0)</f>
        <v>512</v>
      </c>
      <c r="M9" s="94">
        <f>ROUND('VHČ 2016 (v Kč)'!M9/1000,0)</f>
        <v>0</v>
      </c>
      <c r="N9" s="94">
        <f>ROUND('VHČ 2016 (v Kč)'!N9/1000,0)</f>
        <v>1821</v>
      </c>
      <c r="O9" s="94">
        <f>ROUND('VHČ 2016 (v Kč)'!O9/1000,0)+1</f>
        <v>4171</v>
      </c>
      <c r="P9" s="95">
        <f>ROUND('VHČ 2016 (v Kč)'!P9/1000,0)</f>
        <v>32</v>
      </c>
      <c r="Q9" s="137">
        <f>ROUND('VHČ 2016 (v Kč)'!Q9/1000,0)</f>
        <v>2</v>
      </c>
      <c r="R9" s="149">
        <f>ROUND('VHČ 2016 (v Kč)'!R9/1000,0)</f>
        <v>7654</v>
      </c>
      <c r="S9" s="94">
        <f>ROUND('VHČ 2016 (v Kč)'!S9/1000,0)</f>
        <v>35</v>
      </c>
      <c r="T9" s="94">
        <f>ROUND('VHČ 2016 (v Kč)'!T9/1000,0)</f>
        <v>15799</v>
      </c>
      <c r="U9" s="94">
        <f>ROUND('VHČ 2016 (v Kč)'!U9/1000,0)</f>
        <v>-1959</v>
      </c>
      <c r="V9" s="94">
        <f>ROUND('VHČ 2016 (v Kč)'!V9/1000,0)</f>
        <v>1136</v>
      </c>
      <c r="W9" s="79">
        <f>ROUND('VHČ 2016 (v Kč)'!W9/1000,0)</f>
        <v>1608</v>
      </c>
      <c r="X9" s="137">
        <f>ROUND('VHČ 2016 (v Kč)'!X9/1000,0)</f>
        <v>2271</v>
      </c>
      <c r="Y9" s="94">
        <f>ROUND('VHČ 2016 (v Kč)'!Y9/1000,0)</f>
        <v>950</v>
      </c>
      <c r="Z9" s="94">
        <f>ROUND('VHČ 2016 (v Kč)'!Z9/1000,0)</f>
        <v>70</v>
      </c>
      <c r="AA9" s="94">
        <f>ROUND('VHČ 2016 (v Kč)'!AA9/1000,0)</f>
        <v>8991</v>
      </c>
      <c r="AB9" s="94">
        <f>ROUND('VHČ 2016 (v Kč)'!AB9/1000,0)</f>
        <v>0</v>
      </c>
      <c r="AC9" s="214">
        <f>ROUND('VHČ 2016 (v Kč)'!AC9/1000,0)</f>
        <v>300</v>
      </c>
    </row>
    <row r="10" spans="1:29" s="150" customFormat="1" ht="21" customHeight="1" thickBot="1" x14ac:dyDescent="0.35">
      <c r="A10" s="19">
        <v>6</v>
      </c>
      <c r="B10" s="20"/>
      <c r="C10" s="21" t="s">
        <v>40</v>
      </c>
      <c r="D10" s="80">
        <f>SUM(D5:D9)</f>
        <v>2341875</v>
      </c>
      <c r="E10" s="81">
        <f>SUM(E5:E9)</f>
        <v>830113</v>
      </c>
      <c r="F10" s="215">
        <f>SUM(F5:F9)</f>
        <v>10787</v>
      </c>
      <c r="G10" s="82">
        <f>SUM(G5:G9)</f>
        <v>1500975</v>
      </c>
      <c r="H10" s="107">
        <f>SUM(H5:H9)</f>
        <v>357576</v>
      </c>
      <c r="I10" s="80">
        <f t="shared" ref="I10:AC10" si="0">SUM(I5:I9)</f>
        <v>878</v>
      </c>
      <c r="J10" s="130">
        <f t="shared" si="0"/>
        <v>41454</v>
      </c>
      <c r="K10" s="216">
        <f t="shared" si="0"/>
        <v>40275</v>
      </c>
      <c r="L10" s="216">
        <f t="shared" si="0"/>
        <v>71535</v>
      </c>
      <c r="M10" s="217">
        <f t="shared" si="0"/>
        <v>659</v>
      </c>
      <c r="N10" s="217">
        <f t="shared" si="0"/>
        <v>80573</v>
      </c>
      <c r="O10" s="217">
        <f t="shared" si="0"/>
        <v>81461</v>
      </c>
      <c r="P10" s="84">
        <f t="shared" si="0"/>
        <v>3845</v>
      </c>
      <c r="Q10" s="83">
        <f t="shared" si="0"/>
        <v>9314</v>
      </c>
      <c r="R10" s="122">
        <f t="shared" si="0"/>
        <v>266586</v>
      </c>
      <c r="S10" s="217">
        <f t="shared" si="0"/>
        <v>4899</v>
      </c>
      <c r="T10" s="217">
        <f t="shared" si="0"/>
        <v>127842</v>
      </c>
      <c r="U10" s="217">
        <f t="shared" si="0"/>
        <v>48804</v>
      </c>
      <c r="V10" s="217">
        <f t="shared" si="0"/>
        <v>47130</v>
      </c>
      <c r="W10" s="86">
        <f t="shared" si="0"/>
        <v>37803</v>
      </c>
      <c r="X10" s="83">
        <f t="shared" si="0"/>
        <v>112523</v>
      </c>
      <c r="Y10" s="217">
        <f t="shared" si="0"/>
        <v>37267</v>
      </c>
      <c r="Z10" s="217">
        <f>SUM(Z5:Z9)</f>
        <v>540</v>
      </c>
      <c r="AA10" s="217">
        <f t="shared" si="0"/>
        <v>106142</v>
      </c>
      <c r="AB10" s="217">
        <f t="shared" si="0"/>
        <v>833</v>
      </c>
      <c r="AC10" s="218">
        <f t="shared" si="0"/>
        <v>23036</v>
      </c>
    </row>
    <row r="11" spans="1:29" s="150" customFormat="1" ht="18" customHeight="1" x14ac:dyDescent="0.3">
      <c r="A11" s="22"/>
      <c r="B11" s="23"/>
      <c r="C11" s="13"/>
      <c r="D11" s="87"/>
      <c r="E11" s="88"/>
      <c r="F11" s="89"/>
      <c r="G11" s="88"/>
      <c r="H11" s="90"/>
      <c r="I11" s="141"/>
      <c r="J11" s="129"/>
      <c r="K11" s="91"/>
      <c r="L11" s="91"/>
      <c r="M11" s="91"/>
      <c r="N11" s="91"/>
      <c r="O11" s="91"/>
      <c r="P11" s="92"/>
      <c r="Q11" s="135"/>
      <c r="R11" s="123"/>
      <c r="S11" s="91"/>
      <c r="T11" s="91"/>
      <c r="U11" s="91"/>
      <c r="V11" s="91"/>
      <c r="W11" s="93"/>
      <c r="X11" s="135"/>
      <c r="Y11" s="91"/>
      <c r="Z11" s="91"/>
      <c r="AA11" s="91"/>
      <c r="AB11" s="91"/>
      <c r="AC11" s="219"/>
    </row>
    <row r="12" spans="1:29" s="150" customFormat="1" ht="21.75" customHeight="1" x14ac:dyDescent="0.3">
      <c r="A12" s="27"/>
      <c r="B12" s="28"/>
      <c r="C12" s="6" t="s">
        <v>47</v>
      </c>
      <c r="D12" s="7"/>
      <c r="E12" s="8"/>
      <c r="F12" s="9"/>
      <c r="G12" s="8"/>
      <c r="H12" s="72"/>
      <c r="I12" s="140"/>
      <c r="J12" s="128"/>
      <c r="K12" s="73"/>
      <c r="L12" s="73"/>
      <c r="M12" s="73"/>
      <c r="N12" s="73"/>
      <c r="O12" s="73"/>
      <c r="P12" s="74"/>
      <c r="Q12" s="134"/>
      <c r="R12" s="121"/>
      <c r="S12" s="73"/>
      <c r="T12" s="73"/>
      <c r="U12" s="73"/>
      <c r="V12" s="73"/>
      <c r="W12" s="75"/>
      <c r="X12" s="134"/>
      <c r="Y12" s="73"/>
      <c r="Z12" s="73"/>
      <c r="AA12" s="73"/>
      <c r="AB12" s="73"/>
      <c r="AC12" s="213"/>
    </row>
    <row r="13" spans="1:29" s="150" customFormat="1" ht="18" customHeight="1" x14ac:dyDescent="0.3">
      <c r="A13" s="11">
        <v>7</v>
      </c>
      <c r="B13" s="12">
        <v>501.2</v>
      </c>
      <c r="C13" s="13" t="s">
        <v>28</v>
      </c>
      <c r="D13" s="69">
        <f t="shared" ref="D13:D19" si="1">SUM(E13:G13)</f>
        <v>36505</v>
      </c>
      <c r="E13" s="78">
        <f>ROUND('VHČ 2016 (v Kč)'!E13/1000,0)</f>
        <v>2000</v>
      </c>
      <c r="F13" s="53">
        <f>ROUND('VHČ 2016 (v Kč)'!F13/1000,0)</f>
        <v>6892</v>
      </c>
      <c r="G13" s="71">
        <f>SUM(H13:AC13)</f>
        <v>27613</v>
      </c>
      <c r="H13" s="78">
        <f>ROUND('VHČ 2016 (v Kč)'!H13/1000,0)-1</f>
        <v>161</v>
      </c>
      <c r="I13" s="140">
        <f>ROUND('VHČ 2016 (v Kč)'!I13/1000,0)</f>
        <v>14</v>
      </c>
      <c r="J13" s="128">
        <f>ROUND('VHČ 2016 (v Kč)'!J13/1000,0)</f>
        <v>375</v>
      </c>
      <c r="K13" s="73">
        <f>ROUND('VHČ 2016 (v Kč)'!K13/1000,0)</f>
        <v>36</v>
      </c>
      <c r="L13" s="73">
        <f>ROUND('VHČ 2016 (v Kč)'!L13/1000,0)</f>
        <v>278</v>
      </c>
      <c r="M13" s="73">
        <f>ROUND('VHČ 2016 (v Kč)'!M13/1000,0)</f>
        <v>0</v>
      </c>
      <c r="N13" s="73">
        <f>ROUND('VHČ 2016 (v Kč)'!N13/1000,0)</f>
        <v>1</v>
      </c>
      <c r="O13" s="73">
        <f>ROUND('VHČ 2016 (v Kč)'!O13/1000,0)-1</f>
        <v>380</v>
      </c>
      <c r="P13" s="74">
        <f>ROUND('VHČ 2016 (v Kč)'!P13/1000,0)</f>
        <v>55</v>
      </c>
      <c r="Q13" s="121">
        <f>ROUND('VHČ 2016 (v Kč)'!Q13/1000,0)</f>
        <v>1</v>
      </c>
      <c r="R13" s="121">
        <f>ROUND('VHČ 2016 (v Kč)'!R13/1000,0)</f>
        <v>11778</v>
      </c>
      <c r="S13" s="73">
        <f>ROUND('VHČ 2016 (v Kč)'!S13/1000,0)</f>
        <v>347</v>
      </c>
      <c r="T13" s="73">
        <f>ROUND('VHČ 2016 (v Kč)'!T13/1000,0)</f>
        <v>633</v>
      </c>
      <c r="U13" s="73">
        <f>ROUND('VHČ 2016 (v Kč)'!U13/1000,0)</f>
        <v>7186</v>
      </c>
      <c r="V13" s="73">
        <f>ROUND('VHČ 2016 (v Kč)'!V13/1000,0)</f>
        <v>44</v>
      </c>
      <c r="W13" s="75">
        <f>ROUND('VHČ 2016 (v Kč)'!W13/1000,0)</f>
        <v>40</v>
      </c>
      <c r="X13" s="134">
        <f>ROUND('VHČ 2016 (v Kč)'!X13/1000,0)</f>
        <v>87</v>
      </c>
      <c r="Y13" s="73">
        <f>ROUND('VHČ 2016 (v Kč)'!Y13/1000,0)</f>
        <v>52</v>
      </c>
      <c r="Z13" s="73">
        <f>ROUND('VHČ 2016 (v Kč)'!Z13/1000,0)</f>
        <v>10</v>
      </c>
      <c r="AA13" s="73">
        <f>ROUND('VHČ 2016 (v Kč)'!AA13/1000,0)</f>
        <v>6094</v>
      </c>
      <c r="AB13" s="73">
        <f>ROUND('VHČ 2016 (v Kč)'!AB13/1000,0)</f>
        <v>0</v>
      </c>
      <c r="AC13" s="213">
        <f>ROUND('VHČ 2016 (v Kč)'!AC13/1000,0)</f>
        <v>41</v>
      </c>
    </row>
    <row r="14" spans="1:29" s="150" customFormat="1" ht="18" customHeight="1" x14ac:dyDescent="0.3">
      <c r="A14" s="11">
        <v>8</v>
      </c>
      <c r="B14" s="12">
        <v>511</v>
      </c>
      <c r="C14" s="13" t="s">
        <v>29</v>
      </c>
      <c r="D14" s="69">
        <f t="shared" si="1"/>
        <v>406525</v>
      </c>
      <c r="E14" s="72">
        <f>ROUND('VHČ 2016 (v Kč)'!E14/1000,0)</f>
        <v>389</v>
      </c>
      <c r="F14" s="53">
        <f>ROUND('VHČ 2016 (v Kč)'!F14/1000,0)</f>
        <v>0</v>
      </c>
      <c r="G14" s="71">
        <f t="shared" ref="G14:G19" si="2">SUM(H14:AC14)</f>
        <v>406136</v>
      </c>
      <c r="H14" s="72">
        <f>ROUND('VHČ 2016 (v Kč)'!H14/1000,0)</f>
        <v>142318</v>
      </c>
      <c r="I14" s="140">
        <f>ROUND('VHČ 2016 (v Kč)'!I14/1000,0)</f>
        <v>165</v>
      </c>
      <c r="J14" s="128">
        <f>ROUND('VHČ 2016 (v Kč)'!J14/1000,0)</f>
        <v>10927</v>
      </c>
      <c r="K14" s="73">
        <f>ROUND('VHČ 2016 (v Kč)'!K14/1000,0)</f>
        <v>3731</v>
      </c>
      <c r="L14" s="73">
        <f>ROUND('VHČ 2016 (v Kč)'!L14/1000,0)</f>
        <v>13295</v>
      </c>
      <c r="M14" s="73">
        <f>ROUND('VHČ 2016 (v Kč)'!M14/1000,0)</f>
        <v>6</v>
      </c>
      <c r="N14" s="73">
        <f>ROUND('VHČ 2016 (v Kč)'!N14/1000,0)-1</f>
        <v>26776</v>
      </c>
      <c r="O14" s="73">
        <f>ROUND('VHČ 2016 (v Kč)'!O14/1000,0)</f>
        <v>7805</v>
      </c>
      <c r="P14" s="74">
        <f>ROUND('VHČ 2016 (v Kč)'!P14/1000,0)</f>
        <v>283</v>
      </c>
      <c r="Q14" s="121">
        <f>ROUND('VHČ 2016 (v Kč)'!Q14/1000,0)</f>
        <v>1144</v>
      </c>
      <c r="R14" s="121">
        <f>ROUND('VHČ 2016 (v Kč)'!R14/1000,0)</f>
        <v>94019</v>
      </c>
      <c r="S14" s="73">
        <f>ROUND('VHČ 2016 (v Kč)'!S14/1000,0)</f>
        <v>2381</v>
      </c>
      <c r="T14" s="73">
        <f>ROUND('VHČ 2016 (v Kč)'!T14/1000,0)</f>
        <v>17260</v>
      </c>
      <c r="U14" s="73">
        <f>ROUND('VHČ 2016 (v Kč)'!U14/1000,0)</f>
        <v>13636</v>
      </c>
      <c r="V14" s="73">
        <f>ROUND('VHČ 2016 (v Kč)'!V14/1000,0)</f>
        <v>10287</v>
      </c>
      <c r="W14" s="75">
        <f>ROUND('VHČ 2016 (v Kč)'!W14/1000,0)</f>
        <v>11913</v>
      </c>
      <c r="X14" s="134">
        <f>ROUND('VHČ 2016 (v Kč)'!X14/1000,0)</f>
        <v>8765</v>
      </c>
      <c r="Y14" s="73">
        <f>ROUND('VHČ 2016 (v Kč)'!Y14/1000,0)</f>
        <v>11922</v>
      </c>
      <c r="Z14" s="73">
        <f>ROUND('VHČ 2016 (v Kč)'!Z14/1000,0)</f>
        <v>15</v>
      </c>
      <c r="AA14" s="73">
        <f>ROUND('VHČ 2016 (v Kč)'!AA14/1000,0)</f>
        <v>26612</v>
      </c>
      <c r="AB14" s="73">
        <f>ROUND('VHČ 2016 (v Kč)'!AB14/1000,0)-1</f>
        <v>390</v>
      </c>
      <c r="AC14" s="213">
        <f>ROUND('VHČ 2016 (v Kč)'!AC14/1000,0)</f>
        <v>2486</v>
      </c>
    </row>
    <row r="15" spans="1:29" s="150" customFormat="1" ht="18" customHeight="1" x14ac:dyDescent="0.3">
      <c r="A15" s="11">
        <v>9</v>
      </c>
      <c r="B15" s="12" t="s">
        <v>30</v>
      </c>
      <c r="C15" s="13" t="s">
        <v>31</v>
      </c>
      <c r="D15" s="69">
        <f t="shared" si="1"/>
        <v>177683</v>
      </c>
      <c r="E15" s="72">
        <f>ROUND('VHČ 2016 (v Kč)'!E15/1000,0)</f>
        <v>57070</v>
      </c>
      <c r="F15" s="53">
        <f>ROUND('VHČ 2016 (v Kč)'!F15/1000,0)</f>
        <v>76</v>
      </c>
      <c r="G15" s="71">
        <f t="shared" si="2"/>
        <v>120537</v>
      </c>
      <c r="H15" s="72">
        <f>ROUND('VHČ 2016 (v Kč)'!H15/1000,0)</f>
        <v>34225</v>
      </c>
      <c r="I15" s="140">
        <f>ROUND('VHČ 2016 (v Kč)'!I15/1000,0)</f>
        <v>40</v>
      </c>
      <c r="J15" s="128">
        <f>ROUND('VHČ 2016 (v Kč)'!J15/1000,0)+1</f>
        <v>1337</v>
      </c>
      <c r="K15" s="73">
        <f>ROUND('VHČ 2016 (v Kč)'!K15/1000,0)+1</f>
        <v>2970</v>
      </c>
      <c r="L15" s="73">
        <f>ROUND('VHČ 2016 (v Kč)'!L15/1000,0)</f>
        <v>7491</v>
      </c>
      <c r="M15" s="73">
        <f>ROUND('VHČ 2016 (v Kč)'!M15/1000,0)</f>
        <v>32</v>
      </c>
      <c r="N15" s="73">
        <f>ROUND('VHČ 2016 (v Kč)'!N15/1000,0)</f>
        <v>7565</v>
      </c>
      <c r="O15" s="73">
        <f>ROUND('VHČ 2016 (v Kč)'!O15/1000,0)</f>
        <v>5948</v>
      </c>
      <c r="P15" s="74">
        <f>ROUND('VHČ 2016 (v Kč)'!P15/1000,0)</f>
        <v>414</v>
      </c>
      <c r="Q15" s="121">
        <f>ROUND('VHČ 2016 (v Kč)'!Q15/1000,0)</f>
        <v>185</v>
      </c>
      <c r="R15" s="121">
        <f>ROUND('VHČ 2016 (v Kč)'!R15/1000,0)</f>
        <v>23296</v>
      </c>
      <c r="S15" s="73">
        <f>ROUND('VHČ 2016 (v Kč)'!S15/1000,0)</f>
        <v>868</v>
      </c>
      <c r="T15" s="73">
        <f>ROUND('VHČ 2016 (v Kč)'!T15/1000,0)</f>
        <v>9980</v>
      </c>
      <c r="U15" s="73">
        <f>ROUND('VHČ 2016 (v Kč)'!U15/1000,0)</f>
        <v>3089</v>
      </c>
      <c r="V15" s="73">
        <f>ROUND('VHČ 2016 (v Kč)'!V15/1000,0)</f>
        <v>1445</v>
      </c>
      <c r="W15" s="75">
        <f>ROUND('VHČ 2016 (v Kč)'!W15/1000,0)</f>
        <v>1198</v>
      </c>
      <c r="X15" s="134">
        <f>ROUND('VHČ 2016 (v Kč)'!X15/1000,0)</f>
        <v>8979</v>
      </c>
      <c r="Y15" s="73">
        <f>ROUND('VHČ 2016 (v Kč)'!Y15/1000,0)</f>
        <v>4103</v>
      </c>
      <c r="Z15" s="73">
        <f>ROUND('VHČ 2016 (v Kč)'!Z15/1000,0)</f>
        <v>61</v>
      </c>
      <c r="AA15" s="73">
        <f>ROUND('VHČ 2016 (v Kč)'!AA15/1000,0)</f>
        <v>6854</v>
      </c>
      <c r="AB15" s="73">
        <f>ROUND('VHČ 2016 (v Kč)'!AB15/1000,0)</f>
        <v>66</v>
      </c>
      <c r="AC15" s="213">
        <f>ROUND('VHČ 2016 (v Kč)'!AC15/1000,0)</f>
        <v>391</v>
      </c>
    </row>
    <row r="16" spans="1:29" s="150" customFormat="1" ht="18" customHeight="1" x14ac:dyDescent="0.3">
      <c r="A16" s="11">
        <v>10</v>
      </c>
      <c r="B16" s="12" t="s">
        <v>32</v>
      </c>
      <c r="C16" s="13" t="s">
        <v>33</v>
      </c>
      <c r="D16" s="69">
        <f t="shared" si="1"/>
        <v>65110</v>
      </c>
      <c r="E16" s="72">
        <f>ROUND('VHČ 2016 (v Kč)'!E16/1000,0)</f>
        <v>0</v>
      </c>
      <c r="F16" s="53">
        <f>ROUND('VHČ 2016 (v Kč)'!F16/1000,0)</f>
        <v>4108</v>
      </c>
      <c r="G16" s="71">
        <f t="shared" si="2"/>
        <v>61002</v>
      </c>
      <c r="H16" s="72">
        <f>ROUND('VHČ 2016 (v Kč)'!H16/1000,0)</f>
        <v>16432</v>
      </c>
      <c r="I16" s="140">
        <f>ROUND('VHČ 2016 (v Kč)'!I16/1000,0)</f>
        <v>556</v>
      </c>
      <c r="J16" s="128">
        <f>ROUND('VHČ 2016 (v Kč)'!J16/1000,0)</f>
        <v>6083</v>
      </c>
      <c r="K16" s="73">
        <f>ROUND('VHČ 2016 (v Kč)'!K16/1000,0)</f>
        <v>3376</v>
      </c>
      <c r="L16" s="73">
        <f>ROUND('VHČ 2016 (v Kč)'!L16/1000,0)</f>
        <v>3793</v>
      </c>
      <c r="M16" s="73">
        <f>ROUND('VHČ 2016 (v Kč)'!M16/1000,0)</f>
        <v>10</v>
      </c>
      <c r="N16" s="73">
        <f>ROUND('VHČ 2016 (v Kč)'!N16/1000,0)</f>
        <v>0</v>
      </c>
      <c r="O16" s="73">
        <f>ROUND('VHČ 2016 (v Kč)'!O16/1000,0)</f>
        <v>0</v>
      </c>
      <c r="P16" s="74">
        <f>ROUND('VHČ 2016 (v Kč)'!P16/1000,0)</f>
        <v>0</v>
      </c>
      <c r="Q16" s="121">
        <f>ROUND('VHČ 2016 (v Kč)'!Q16/1000,0)</f>
        <v>739</v>
      </c>
      <c r="R16" s="121">
        <f>ROUND('VHČ 2016 (v Kč)'!R16/1000,0)</f>
        <v>7251</v>
      </c>
      <c r="S16" s="73">
        <f>ROUND('VHČ 2016 (v Kč)'!S16/1000,0)</f>
        <v>0</v>
      </c>
      <c r="T16" s="73">
        <f>ROUND('VHČ 2016 (v Kč)'!T16/1000,0)</f>
        <v>0</v>
      </c>
      <c r="U16" s="73">
        <f>ROUND('VHČ 2016 (v Kč)'!U16/1000,0)</f>
        <v>5661</v>
      </c>
      <c r="V16" s="73">
        <f>ROUND('VHČ 2016 (v Kč)'!V16/1000,0)+1</f>
        <v>2135</v>
      </c>
      <c r="W16" s="75">
        <f>ROUND('VHČ 2016 (v Kč)'!W16/1000,0)</f>
        <v>2093</v>
      </c>
      <c r="X16" s="134">
        <f>ROUND('VHČ 2016 (v Kč)'!X16/1000,0)</f>
        <v>452</v>
      </c>
      <c r="Y16" s="73">
        <f>ROUND('VHČ 2016 (v Kč)'!Y16/1000,0)</f>
        <v>2934</v>
      </c>
      <c r="Z16" s="73">
        <f>ROUND('VHČ 2016 (v Kč)'!Z16/1000,0)</f>
        <v>0</v>
      </c>
      <c r="AA16" s="73">
        <f>ROUND('VHČ 2016 (v Kč)'!AA16/1000,0)</f>
        <v>7795</v>
      </c>
      <c r="AB16" s="73">
        <f>ROUND('VHČ 2016 (v Kč)'!AB16/1000,0)</f>
        <v>0</v>
      </c>
      <c r="AC16" s="213">
        <f>ROUND('VHČ 2016 (v Kč)'!AC16/1000,0)</f>
        <v>1692</v>
      </c>
    </row>
    <row r="17" spans="1:219" s="150" customFormat="1" ht="18" customHeight="1" x14ac:dyDescent="0.3">
      <c r="A17" s="11">
        <v>11</v>
      </c>
      <c r="B17" s="12" t="s">
        <v>34</v>
      </c>
      <c r="C17" s="13" t="s">
        <v>35</v>
      </c>
      <c r="D17" s="69">
        <f t="shared" si="1"/>
        <v>1904</v>
      </c>
      <c r="E17" s="72">
        <f>ROUND('VHČ 2016 (v Kč)'!E17/1000,0)</f>
        <v>0</v>
      </c>
      <c r="F17" s="53"/>
      <c r="G17" s="71">
        <f t="shared" si="2"/>
        <v>1904</v>
      </c>
      <c r="H17" s="72">
        <f>ROUND('VHČ 2016 (v Kč)'!H17/1000,0)</f>
        <v>1339</v>
      </c>
      <c r="I17" s="140">
        <f>ROUND('VHČ 2016 (v Kč)'!I17/1000,0)</f>
        <v>0</v>
      </c>
      <c r="J17" s="128">
        <f>ROUND('VHČ 2016 (v Kč)'!J17/1000,0)-1</f>
        <v>185</v>
      </c>
      <c r="K17" s="73">
        <f>ROUND('VHČ 2016 (v Kč)'!K17/1000,0)</f>
        <v>27</v>
      </c>
      <c r="L17" s="73">
        <f>ROUND('VHČ 2016 (v Kč)'!L17/1000,0)</f>
        <v>71</v>
      </c>
      <c r="M17" s="73">
        <f>ROUND('VHČ 2016 (v Kč)'!M17/1000,0)</f>
        <v>0</v>
      </c>
      <c r="N17" s="73">
        <f>ROUND('VHČ 2016 (v Kč)'!N17/1000,0)</f>
        <v>0</v>
      </c>
      <c r="O17" s="73">
        <f>ROUND('VHČ 2016 (v Kč)'!O17/1000,0)</f>
        <v>0</v>
      </c>
      <c r="P17" s="74">
        <f>ROUND('VHČ 2016 (v Kč)'!P17/1000,0)</f>
        <v>0</v>
      </c>
      <c r="Q17" s="121">
        <f>ROUND('VHČ 2016 (v Kč)'!Q17/1000,0)</f>
        <v>0</v>
      </c>
      <c r="R17" s="121">
        <f>ROUND('VHČ 2016 (v Kč)'!R17/1000,0)</f>
        <v>15</v>
      </c>
      <c r="S17" s="73">
        <f>ROUND('VHČ 2016 (v Kč)'!S17/1000,0)</f>
        <v>0</v>
      </c>
      <c r="T17" s="73">
        <f>ROUND('VHČ 2016 (v Kč)'!T17/1000,0)</f>
        <v>220</v>
      </c>
      <c r="U17" s="73">
        <f>ROUND('VHČ 2016 (v Kč)'!U17/1000,0)</f>
        <v>21</v>
      </c>
      <c r="V17" s="73">
        <f>ROUND('VHČ 2016 (v Kč)'!V17/1000,0)</f>
        <v>0</v>
      </c>
      <c r="W17" s="75">
        <f>ROUND('VHČ 2016 (v Kč)'!W17/1000,0)</f>
        <v>0</v>
      </c>
      <c r="X17" s="134">
        <f>ROUND('VHČ 2016 (v Kč)'!X17/1000,0)</f>
        <v>0</v>
      </c>
      <c r="Y17" s="73">
        <f>ROUND('VHČ 2016 (v Kč)'!Y17/1000,0)</f>
        <v>26</v>
      </c>
      <c r="Z17" s="73">
        <f>ROUND('VHČ 2016 (v Kč)'!Z17/1000,0)</f>
        <v>0</v>
      </c>
      <c r="AA17" s="73">
        <f>ROUND('VHČ 2016 (v Kč)'!AA17/1000,0)</f>
        <v>0</v>
      </c>
      <c r="AB17" s="73">
        <f>ROUND('VHČ 2016 (v Kč)'!AB17/1000,0)</f>
        <v>0</v>
      </c>
      <c r="AC17" s="213">
        <f>ROUND('VHČ 2016 (v Kč)'!AC17/1000,0)</f>
        <v>0</v>
      </c>
    </row>
    <row r="18" spans="1:219" s="150" customFormat="1" ht="18" customHeight="1" x14ac:dyDescent="0.3">
      <c r="A18" s="11">
        <v>12</v>
      </c>
      <c r="B18" s="12">
        <v>551</v>
      </c>
      <c r="C18" s="151" t="s">
        <v>64</v>
      </c>
      <c r="D18" s="69">
        <f t="shared" si="1"/>
        <v>581384</v>
      </c>
      <c r="E18" s="72">
        <f>ROUND('VHČ 2016 (v Kč)'!E18/1000,0)</f>
        <v>420601</v>
      </c>
      <c r="F18" s="53">
        <f>ROUND('VHČ 2016 (v Kč)'!F18/1000,0)</f>
        <v>0</v>
      </c>
      <c r="G18" s="71">
        <f>SUM(H18:AC18)</f>
        <v>160783</v>
      </c>
      <c r="H18" s="72">
        <f>ROUND('VHČ 2016 (v Kč)'!H18/1000,0)</f>
        <v>29158</v>
      </c>
      <c r="I18" s="140">
        <f>ROUND('VHČ 2016 (v Kč)'!I18/1000,0)</f>
        <v>568</v>
      </c>
      <c r="J18" s="128">
        <f>ROUND('VHČ 2016 (v Kč)'!J18/1000,0)</f>
        <v>5340</v>
      </c>
      <c r="K18" s="73">
        <f>ROUND('VHČ 2016 (v Kč)'!K18/1000,0)</f>
        <v>6955</v>
      </c>
      <c r="L18" s="73">
        <f>ROUND('VHČ 2016 (v Kč)'!L18/1000,0)</f>
        <v>10152</v>
      </c>
      <c r="M18" s="73">
        <f>ROUND('VHČ 2016 (v Kč)'!M18/1000,0)</f>
        <v>196</v>
      </c>
      <c r="N18" s="73">
        <f>ROUND('VHČ 2016 (v Kč)'!N18/1000,0)</f>
        <v>9076</v>
      </c>
      <c r="O18" s="73">
        <f>ROUND('VHČ 2016 (v Kč)'!O18/1000,0)</f>
        <v>11921</v>
      </c>
      <c r="P18" s="74">
        <f>ROUND('VHČ 2016 (v Kč)'!P18/1000,0)+1</f>
        <v>884</v>
      </c>
      <c r="Q18" s="121">
        <f>ROUND('VHČ 2016 (v Kč)'!Q18/1000,0)</f>
        <v>1192</v>
      </c>
      <c r="R18" s="121">
        <f>ROUND('VHČ 2016 (v Kč)'!R18/1000,0)</f>
        <v>26850</v>
      </c>
      <c r="S18" s="73">
        <f>ROUND('VHČ 2016 (v Kč)'!S18/1000,0)</f>
        <v>316</v>
      </c>
      <c r="T18" s="73">
        <f>ROUND('VHČ 2016 (v Kč)'!T18/1000,0)</f>
        <v>11321</v>
      </c>
      <c r="U18" s="73">
        <f>ROUND('VHČ 2016 (v Kč)'!U18/1000,0)</f>
        <v>5939</v>
      </c>
      <c r="V18" s="73">
        <f>ROUND('VHČ 2016 (v Kč)'!V18/1000,0)</f>
        <v>6923</v>
      </c>
      <c r="W18" s="75">
        <f>ROUND('VHČ 2016 (v Kč)'!W18/1000,0)</f>
        <v>4787</v>
      </c>
      <c r="X18" s="134">
        <f>ROUND('VHČ 2016 (v Kč)'!X18/1000,0)</f>
        <v>13742</v>
      </c>
      <c r="Y18" s="73">
        <f>ROUND('VHČ 2016 (v Kč)'!Y18/1000,0)</f>
        <v>5637</v>
      </c>
      <c r="Z18" s="73">
        <f>ROUND('VHČ 2016 (v Kč)'!Z18/1000,0)</f>
        <v>134</v>
      </c>
      <c r="AA18" s="73">
        <f>ROUND('VHČ 2016 (v Kč)'!AA18/1000,0)</f>
        <v>6174</v>
      </c>
      <c r="AB18" s="73">
        <f>ROUND('VHČ 2016 (v Kč)'!AB18/1000,0)</f>
        <v>244</v>
      </c>
      <c r="AC18" s="213">
        <f>ROUND('VHČ 2016 (v Kč)'!AC18/1000,0)</f>
        <v>3274</v>
      </c>
    </row>
    <row r="19" spans="1:219" s="150" customFormat="1" ht="18" customHeight="1" thickBot="1" x14ac:dyDescent="0.35">
      <c r="A19" s="11">
        <v>13</v>
      </c>
      <c r="B19" s="12" t="s">
        <v>43</v>
      </c>
      <c r="C19" s="13" t="s">
        <v>36</v>
      </c>
      <c r="D19" s="69">
        <f t="shared" si="1"/>
        <v>189123</v>
      </c>
      <c r="E19" s="72">
        <f>ROUND('VHČ 2016 (v Kč)'!E19/1000,0)</f>
        <v>111423</v>
      </c>
      <c r="F19" s="53">
        <f>ROUND('VHČ 2016 (v Kč)'!F19/1000,0)</f>
        <v>17</v>
      </c>
      <c r="G19" s="76">
        <f t="shared" si="2"/>
        <v>77683</v>
      </c>
      <c r="H19" s="78">
        <f>ROUND('VHČ 2016 (v Kč)'!H19/1000,0)</f>
        <v>20777</v>
      </c>
      <c r="I19" s="140">
        <f>ROUND('VHČ 2016 (v Kč)'!I19/1000,0)</f>
        <v>47</v>
      </c>
      <c r="J19" s="128">
        <f>ROUND('VHČ 2016 (v Kč)'!J19/1000,0)</f>
        <v>4045</v>
      </c>
      <c r="K19" s="73">
        <f>ROUND('VHČ 2016 (v Kč)'!K19/1000,0)</f>
        <v>41</v>
      </c>
      <c r="L19" s="73">
        <f>ROUND('VHČ 2016 (v Kč)'!L19/1000,0)</f>
        <v>448</v>
      </c>
      <c r="M19" s="73">
        <f>ROUND('VHČ 2016 (v Kč)'!M19/1000,0)</f>
        <v>4</v>
      </c>
      <c r="N19" s="73">
        <f>ROUND('VHČ 2016 (v Kč)'!N19/1000,0)</f>
        <v>2833</v>
      </c>
      <c r="O19" s="73">
        <f>ROUND('VHČ 2016 (v Kč)'!O19/1000,0)</f>
        <v>3635</v>
      </c>
      <c r="P19" s="74">
        <f>ROUND('VHČ 2016 (v Kč)'!P19/1000,0)</f>
        <v>324</v>
      </c>
      <c r="Q19" s="121">
        <f>ROUND('VHČ 2016 (v Kč)'!Q19/1000,0)</f>
        <v>16</v>
      </c>
      <c r="R19" s="121">
        <f>ROUND('VHČ 2016 (v Kč)'!R19/1000,0)</f>
        <v>13758</v>
      </c>
      <c r="S19" s="73">
        <f>ROUND('VHČ 2016 (v Kč)'!S19/1000,0)</f>
        <v>182</v>
      </c>
      <c r="T19" s="73">
        <f>ROUND('VHČ 2016 (v Kč)'!T19/1000,0)</f>
        <v>17190</v>
      </c>
      <c r="U19" s="73">
        <f>ROUND('VHČ 2016 (v Kč)'!U19/1000,0)</f>
        <v>1327</v>
      </c>
      <c r="V19" s="73">
        <f>ROUND('VHČ 2016 (v Kč)'!V19/1000,0)</f>
        <v>963</v>
      </c>
      <c r="W19" s="75">
        <f>ROUND('VHČ 2016 (v Kč)'!W19/1000,0)</f>
        <v>3528</v>
      </c>
      <c r="X19" s="134">
        <f>ROUND('VHČ 2016 (v Kč)'!X19/1000,0)</f>
        <v>2965</v>
      </c>
      <c r="Y19" s="73">
        <f>ROUND('VHČ 2016 (v Kč)'!Y19/1000,0)</f>
        <v>-3115</v>
      </c>
      <c r="Z19" s="73">
        <f>ROUND('VHČ 2016 (v Kč)'!Z19/1000,0)</f>
        <v>13</v>
      </c>
      <c r="AA19" s="73">
        <f>ROUND('VHČ 2016 (v Kč)'!AA19/1000,0)</f>
        <v>8431</v>
      </c>
      <c r="AB19" s="73">
        <f>ROUND('VHČ 2016 (v Kč)'!AB19/1000,0)</f>
        <v>0</v>
      </c>
      <c r="AC19" s="213">
        <f>ROUND('VHČ 2016 (v Kč)'!AC19/1000,0)</f>
        <v>271</v>
      </c>
    </row>
    <row r="20" spans="1:219" s="150" customFormat="1" ht="23.25" customHeight="1" thickBot="1" x14ac:dyDescent="0.35">
      <c r="A20" s="19">
        <v>14</v>
      </c>
      <c r="B20" s="20"/>
      <c r="C20" s="21" t="s">
        <v>52</v>
      </c>
      <c r="D20" s="96">
        <f t="shared" ref="D20:I20" si="3">SUM(D13:D19)</f>
        <v>1458234</v>
      </c>
      <c r="E20" s="97">
        <f t="shared" si="3"/>
        <v>591483</v>
      </c>
      <c r="F20" s="98">
        <f t="shared" si="3"/>
        <v>11093</v>
      </c>
      <c r="G20" s="85">
        <f t="shared" si="3"/>
        <v>855658</v>
      </c>
      <c r="H20" s="107">
        <f t="shared" si="3"/>
        <v>244410</v>
      </c>
      <c r="I20" s="80">
        <f t="shared" si="3"/>
        <v>1390</v>
      </c>
      <c r="J20" s="130">
        <f t="shared" ref="J20:AC20" si="4">SUM(J13:J19)</f>
        <v>28292</v>
      </c>
      <c r="K20" s="216">
        <f t="shared" si="4"/>
        <v>17136</v>
      </c>
      <c r="L20" s="216">
        <f t="shared" si="4"/>
        <v>35528</v>
      </c>
      <c r="M20" s="217">
        <f t="shared" si="4"/>
        <v>248</v>
      </c>
      <c r="N20" s="217">
        <f t="shared" si="4"/>
        <v>46251</v>
      </c>
      <c r="O20" s="217">
        <f t="shared" si="4"/>
        <v>29689</v>
      </c>
      <c r="P20" s="84">
        <f t="shared" si="4"/>
        <v>1960</v>
      </c>
      <c r="Q20" s="83">
        <f t="shared" si="4"/>
        <v>3277</v>
      </c>
      <c r="R20" s="122">
        <f t="shared" si="4"/>
        <v>176967</v>
      </c>
      <c r="S20" s="217">
        <f t="shared" si="4"/>
        <v>4094</v>
      </c>
      <c r="T20" s="217">
        <f t="shared" si="4"/>
        <v>56604</v>
      </c>
      <c r="U20" s="217">
        <f t="shared" si="4"/>
        <v>36859</v>
      </c>
      <c r="V20" s="217">
        <f t="shared" si="4"/>
        <v>21797</v>
      </c>
      <c r="W20" s="86">
        <f t="shared" si="4"/>
        <v>23559</v>
      </c>
      <c r="X20" s="83">
        <f t="shared" si="4"/>
        <v>34990</v>
      </c>
      <c r="Y20" s="217">
        <f t="shared" si="4"/>
        <v>21559</v>
      </c>
      <c r="Z20" s="217">
        <f t="shared" si="4"/>
        <v>233</v>
      </c>
      <c r="AA20" s="217">
        <f t="shared" si="4"/>
        <v>61960</v>
      </c>
      <c r="AB20" s="217">
        <f t="shared" si="4"/>
        <v>700</v>
      </c>
      <c r="AC20" s="218">
        <f t="shared" si="4"/>
        <v>8155</v>
      </c>
    </row>
    <row r="21" spans="1:219" s="150" customFormat="1" ht="18" customHeight="1" thickBot="1" x14ac:dyDescent="0.35">
      <c r="A21" s="2"/>
      <c r="B21" s="3"/>
      <c r="C21" s="33"/>
      <c r="D21" s="99"/>
      <c r="E21" s="100"/>
      <c r="F21" s="101"/>
      <c r="G21" s="100"/>
      <c r="H21" s="102"/>
      <c r="I21" s="105"/>
      <c r="J21" s="42"/>
      <c r="K21" s="103"/>
      <c r="L21" s="103"/>
      <c r="M21" s="103"/>
      <c r="N21" s="103"/>
      <c r="O21" s="103"/>
      <c r="P21" s="104"/>
      <c r="Q21" s="102"/>
      <c r="R21" s="124"/>
      <c r="S21" s="103"/>
      <c r="T21" s="103"/>
      <c r="U21" s="103"/>
      <c r="V21" s="103"/>
      <c r="W21" s="105"/>
      <c r="X21" s="102"/>
      <c r="Y21" s="103"/>
      <c r="Z21" s="103"/>
      <c r="AA21" s="103"/>
      <c r="AB21" s="103"/>
      <c r="AC21" s="220"/>
    </row>
    <row r="22" spans="1:219" s="152" customFormat="1" ht="24" customHeight="1" thickBot="1" x14ac:dyDescent="0.35">
      <c r="A22" s="19">
        <v>15</v>
      </c>
      <c r="B22" s="20"/>
      <c r="C22" s="21" t="s">
        <v>55</v>
      </c>
      <c r="D22" s="96">
        <f>SUM(D10-D20)</f>
        <v>883641</v>
      </c>
      <c r="E22" s="97">
        <f>0+E10-E20</f>
        <v>238630</v>
      </c>
      <c r="F22" s="106">
        <f>0+F10-F20</f>
        <v>-306</v>
      </c>
      <c r="G22" s="97">
        <f t="shared" ref="G22:AC22" si="5">SUM(G10-G20)</f>
        <v>645317</v>
      </c>
      <c r="H22" s="107">
        <f>SUM(H10-H20)</f>
        <v>113166</v>
      </c>
      <c r="I22" s="80">
        <f t="shared" si="5"/>
        <v>-512</v>
      </c>
      <c r="J22" s="130">
        <f t="shared" si="5"/>
        <v>13162</v>
      </c>
      <c r="K22" s="216">
        <f t="shared" si="5"/>
        <v>23139</v>
      </c>
      <c r="L22" s="216">
        <f t="shared" si="5"/>
        <v>36007</v>
      </c>
      <c r="M22" s="216">
        <f t="shared" si="5"/>
        <v>411</v>
      </c>
      <c r="N22" s="216">
        <f t="shared" si="5"/>
        <v>34322</v>
      </c>
      <c r="O22" s="216">
        <f t="shared" si="5"/>
        <v>51772</v>
      </c>
      <c r="P22" s="108">
        <f t="shared" si="5"/>
        <v>1885</v>
      </c>
      <c r="Q22" s="107">
        <f t="shared" si="5"/>
        <v>6037</v>
      </c>
      <c r="R22" s="125">
        <f t="shared" si="5"/>
        <v>89619</v>
      </c>
      <c r="S22" s="216">
        <f t="shared" si="5"/>
        <v>805</v>
      </c>
      <c r="T22" s="216">
        <f t="shared" si="5"/>
        <v>71238</v>
      </c>
      <c r="U22" s="216">
        <f t="shared" si="5"/>
        <v>11945</v>
      </c>
      <c r="V22" s="216">
        <f t="shared" si="5"/>
        <v>25333</v>
      </c>
      <c r="W22" s="80">
        <f t="shared" si="5"/>
        <v>14244</v>
      </c>
      <c r="X22" s="138">
        <f t="shared" si="5"/>
        <v>77533</v>
      </c>
      <c r="Y22" s="216">
        <f t="shared" si="5"/>
        <v>15708</v>
      </c>
      <c r="Z22" s="216">
        <f t="shared" si="5"/>
        <v>307</v>
      </c>
      <c r="AA22" s="216">
        <f t="shared" si="5"/>
        <v>44182</v>
      </c>
      <c r="AB22" s="216">
        <f t="shared" si="5"/>
        <v>133</v>
      </c>
      <c r="AC22" s="221">
        <f t="shared" si="5"/>
        <v>14881</v>
      </c>
    </row>
    <row r="23" spans="1:219" s="150" customFormat="1" ht="18" customHeight="1" x14ac:dyDescent="0.3">
      <c r="A23" s="2"/>
      <c r="B23" s="3"/>
      <c r="C23" s="33"/>
      <c r="D23" s="99"/>
      <c r="E23" s="100"/>
      <c r="F23" s="101"/>
      <c r="G23" s="100"/>
      <c r="H23" s="109"/>
      <c r="I23" s="143"/>
      <c r="J23" s="131"/>
      <c r="K23" s="110"/>
      <c r="L23" s="110"/>
      <c r="M23" s="110"/>
      <c r="N23" s="110"/>
      <c r="O23" s="110"/>
      <c r="P23" s="111"/>
      <c r="Q23" s="102"/>
      <c r="R23" s="126"/>
      <c r="S23" s="110"/>
      <c r="T23" s="110"/>
      <c r="U23" s="110"/>
      <c r="V23" s="110"/>
      <c r="W23" s="105"/>
      <c r="X23" s="102"/>
      <c r="Y23" s="110"/>
      <c r="Z23" s="110"/>
      <c r="AA23" s="110"/>
      <c r="AB23" s="110"/>
      <c r="AC23" s="222"/>
    </row>
    <row r="24" spans="1:219" s="150" customFormat="1" ht="18" customHeight="1" x14ac:dyDescent="0.3">
      <c r="A24" s="11">
        <v>16</v>
      </c>
      <c r="B24" s="12">
        <v>591</v>
      </c>
      <c r="C24" s="13" t="s">
        <v>37</v>
      </c>
      <c r="D24" s="69">
        <f>SUM(E24:G24)</f>
        <v>154683</v>
      </c>
      <c r="E24" s="72">
        <f>ROUND('VHČ 2016 (v Kč)'!E24/1000,0)-1</f>
        <v>8612</v>
      </c>
      <c r="F24" s="53">
        <f>ROUND('VHČ 2016 (v Kč)'!F24/1000,0)</f>
        <v>0</v>
      </c>
      <c r="G24" s="71">
        <f>SUM(H24:AC24)</f>
        <v>146071</v>
      </c>
      <c r="H24" s="72">
        <f>ROUND('VHČ 2016 (v Kč)'!H24/1000,0)</f>
        <v>29167</v>
      </c>
      <c r="I24" s="140">
        <f>ROUND('VHČ 2016 (v Kč)'!I24/1000,0)</f>
        <v>68</v>
      </c>
      <c r="J24" s="128">
        <f>ROUND('VHČ 2016 (v Kč)'!J24/1000,0)</f>
        <v>3673</v>
      </c>
      <c r="K24" s="73">
        <f>ROUND('VHČ 2016 (v Kč)'!K24/1000,0)</f>
        <v>5395</v>
      </c>
      <c r="L24" s="73">
        <f>ROUND('VHČ 2016 (v Kč)'!L24/1000,0)</f>
        <v>8567</v>
      </c>
      <c r="M24" s="73">
        <f>ROUND('VHČ 2016 (v Kč)'!M24/1000,0)</f>
        <v>219</v>
      </c>
      <c r="N24" s="73">
        <f>ROUND('VHČ 2016 (v Kč)'!N24/1000,0)</f>
        <v>8888</v>
      </c>
      <c r="O24" s="73">
        <f>ROUND('VHČ 2016 (v Kč)'!O24/1000,0)</f>
        <v>12122</v>
      </c>
      <c r="P24" s="74">
        <f>ROUND('VHČ 2016 (v Kč)'!P24/1000,0)</f>
        <v>526</v>
      </c>
      <c r="Q24" s="134">
        <f>ROUND('VHČ 2016 (v Kč)'!Q24/1000,0)</f>
        <v>1374</v>
      </c>
      <c r="R24" s="121">
        <f>ROUND('VHČ 2016 (v Kč)'!R24/1000,0)</f>
        <v>11099</v>
      </c>
      <c r="S24" s="73">
        <f>ROUND('VHČ 2016 (v Kč)'!S24/1000,0)</f>
        <v>246</v>
      </c>
      <c r="T24" s="73">
        <f>ROUND('VHČ 2016 (v Kč)'!T24/1000,0)</f>
        <v>15489</v>
      </c>
      <c r="U24" s="73">
        <f>ROUND('VHČ 2016 (v Kč)'!U24/1000,0)</f>
        <v>2775</v>
      </c>
      <c r="V24" s="73">
        <f>ROUND('VHČ 2016 (v Kč)'!V24/1000,0)</f>
        <v>6145</v>
      </c>
      <c r="W24" s="75">
        <f>ROUND('VHČ 2016 (v Kč)'!W24/1000,0)-1</f>
        <v>4495</v>
      </c>
      <c r="X24" s="134">
        <f>ROUND('VHČ 2016 (v Kč)'!X24/1000,0)</f>
        <v>17439</v>
      </c>
      <c r="Y24" s="73">
        <f>ROUND('VHČ 2016 (v Kč)'!Y24/1000,0)</f>
        <v>3665</v>
      </c>
      <c r="Z24" s="73">
        <f>ROUND('VHČ 2016 (v Kč)'!Z24/1000,0)</f>
        <v>49</v>
      </c>
      <c r="AA24" s="73">
        <f>ROUND('VHČ 2016 (v Kč)'!AA24/1000,0)</f>
        <v>10996</v>
      </c>
      <c r="AB24" s="73">
        <f>ROUND('VHČ 2016 (v Kč)'!AB24/1000,0)</f>
        <v>156</v>
      </c>
      <c r="AC24" s="213">
        <f>ROUND('VHČ 2016 (v Kč)'!AC24/1000,0)</f>
        <v>3518</v>
      </c>
    </row>
    <row r="25" spans="1:219" s="150" customFormat="1" ht="18" customHeight="1" thickBot="1" x14ac:dyDescent="0.35">
      <c r="A25" s="2"/>
      <c r="B25" s="3"/>
      <c r="C25" s="33"/>
      <c r="D25" s="99"/>
      <c r="E25" s="100"/>
      <c r="F25" s="101"/>
      <c r="G25" s="100"/>
      <c r="H25" s="78"/>
      <c r="I25" s="142"/>
      <c r="J25" s="132"/>
      <c r="K25" s="133"/>
      <c r="L25" s="112"/>
      <c r="M25" s="112"/>
      <c r="N25" s="113"/>
      <c r="O25" s="112"/>
      <c r="P25" s="114"/>
      <c r="Q25" s="136"/>
      <c r="R25" s="115"/>
      <c r="S25" s="223"/>
      <c r="T25" s="116"/>
      <c r="U25" s="223"/>
      <c r="V25" s="116"/>
      <c r="W25" s="224"/>
      <c r="X25" s="139"/>
      <c r="Y25" s="225"/>
      <c r="Z25" s="225"/>
      <c r="AA25" s="225"/>
      <c r="AB25" s="225"/>
      <c r="AC25" s="226"/>
    </row>
    <row r="26" spans="1:219" s="150" customFormat="1" ht="21" customHeight="1" thickBot="1" x14ac:dyDescent="0.35">
      <c r="A26" s="175">
        <v>17</v>
      </c>
      <c r="B26" s="176"/>
      <c r="C26" s="37" t="s">
        <v>54</v>
      </c>
      <c r="D26" s="227">
        <f>D22-D24</f>
        <v>728958</v>
      </c>
      <c r="E26" s="228">
        <f>0+E22-E24</f>
        <v>230018</v>
      </c>
      <c r="F26" s="229">
        <f>0+F22-F24</f>
        <v>-306</v>
      </c>
      <c r="G26" s="228">
        <f>SUM(G22-G24)</f>
        <v>499246</v>
      </c>
      <c r="H26" s="230">
        <f t="shared" ref="H26:AC26" si="6">SUM(H22-H24)</f>
        <v>83999</v>
      </c>
      <c r="I26" s="231">
        <f t="shared" si="6"/>
        <v>-580</v>
      </c>
      <c r="J26" s="232">
        <f t="shared" si="6"/>
        <v>9489</v>
      </c>
      <c r="K26" s="233">
        <f t="shared" si="6"/>
        <v>17744</v>
      </c>
      <c r="L26" s="234">
        <f t="shared" si="6"/>
        <v>27440</v>
      </c>
      <c r="M26" s="234">
        <f t="shared" si="6"/>
        <v>192</v>
      </c>
      <c r="N26" s="235">
        <f t="shared" si="6"/>
        <v>25434</v>
      </c>
      <c r="O26" s="234">
        <f t="shared" si="6"/>
        <v>39650</v>
      </c>
      <c r="P26" s="236">
        <f t="shared" si="6"/>
        <v>1359</v>
      </c>
      <c r="Q26" s="237">
        <f t="shared" si="6"/>
        <v>4663</v>
      </c>
      <c r="R26" s="238">
        <f t="shared" si="6"/>
        <v>78520</v>
      </c>
      <c r="S26" s="239">
        <f t="shared" si="6"/>
        <v>559</v>
      </c>
      <c r="T26" s="240">
        <f t="shared" si="6"/>
        <v>55749</v>
      </c>
      <c r="U26" s="239">
        <f t="shared" si="6"/>
        <v>9170</v>
      </c>
      <c r="V26" s="240">
        <f t="shared" si="6"/>
        <v>19188</v>
      </c>
      <c r="W26" s="241">
        <f t="shared" si="6"/>
        <v>9749</v>
      </c>
      <c r="X26" s="242">
        <f t="shared" si="6"/>
        <v>60094</v>
      </c>
      <c r="Y26" s="243">
        <f t="shared" si="6"/>
        <v>12043</v>
      </c>
      <c r="Z26" s="243">
        <f t="shared" si="6"/>
        <v>258</v>
      </c>
      <c r="AA26" s="243">
        <f t="shared" si="6"/>
        <v>33186</v>
      </c>
      <c r="AB26" s="243">
        <f t="shared" si="6"/>
        <v>-23</v>
      </c>
      <c r="AC26" s="244">
        <f t="shared" si="6"/>
        <v>11363</v>
      </c>
    </row>
    <row r="27" spans="1:219" s="150" customFormat="1" ht="15" customHeight="1" thickTop="1" x14ac:dyDescent="0.3">
      <c r="A27" s="40"/>
      <c r="B27" s="40"/>
      <c r="C27" s="117"/>
      <c r="D27" s="42"/>
      <c r="E27" s="43"/>
      <c r="F27" s="43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19" s="150" customFormat="1" ht="18.75" customHeight="1" thickBot="1" x14ac:dyDescent="0.35">
      <c r="A28" s="40"/>
      <c r="B28" s="40"/>
      <c r="C28" s="117"/>
      <c r="D28" s="42"/>
      <c r="E28" s="43"/>
      <c r="F28" s="43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19" s="150" customFormat="1" ht="19.5" thickBot="1" x14ac:dyDescent="0.35">
      <c r="A29" s="184">
        <v>18</v>
      </c>
      <c r="B29" s="185">
        <v>241</v>
      </c>
      <c r="C29" s="186" t="s">
        <v>45</v>
      </c>
      <c r="D29" s="187">
        <f>SUM(E29:G29)</f>
        <v>1233471</v>
      </c>
      <c r="E29" s="190">
        <f>ROUND('VHČ 2016 (v Kč)'!E32/1000,0)</f>
        <v>174396</v>
      </c>
      <c r="F29" s="189">
        <f>ROUND('VHČ 2016 (v Kč)'!F32/1000,0)</f>
        <v>514</v>
      </c>
      <c r="G29" s="188">
        <f>SUM(H29:AC29)</f>
        <v>1058561</v>
      </c>
      <c r="H29" s="190">
        <f>ROUND('VHČ 2016 (v Kč)'!H32/1000,0)</f>
        <v>211897</v>
      </c>
      <c r="I29" s="191">
        <f>ROUND('VHČ 2016 (v Kč)'!I32/1000,0)</f>
        <v>1743</v>
      </c>
      <c r="J29" s="192">
        <f>ROUND('VHČ 2016 (v Kč)'!J32/1000,0)</f>
        <v>76140</v>
      </c>
      <c r="K29" s="193">
        <f>ROUND('VHČ 2016 (v Kč)'!K32/1000,0)</f>
        <v>28680</v>
      </c>
      <c r="L29" s="193">
        <f>ROUND('VHČ 2016 (v Kč)'!L32/1000,0)</f>
        <v>67030</v>
      </c>
      <c r="M29" s="193">
        <f>ROUND('VHČ 2016 (v Kč)'!M32/1000,0)</f>
        <v>5238</v>
      </c>
      <c r="N29" s="193">
        <f>ROUND('VHČ 2016 (v Kč)'!N32/1000,0)</f>
        <v>49343</v>
      </c>
      <c r="O29" s="193">
        <f>ROUND('VHČ 2016 (v Kč)'!O32/1000,0)</f>
        <v>64194</v>
      </c>
      <c r="P29" s="191">
        <f>ROUND('VHČ 2016 (v Kč)'!P32/1000,0)</f>
        <v>3978</v>
      </c>
      <c r="Q29" s="194">
        <f>ROUND('VHČ 2016 (v Kč)'!Q32/1000,0)</f>
        <v>14300</v>
      </c>
      <c r="R29" s="193">
        <f>ROUND('VHČ 2016 (v Kč)'!R32/1000,0)</f>
        <v>108690</v>
      </c>
      <c r="S29" s="193">
        <f>ROUND('VHČ 2016 (v Kč)'!S32/1000,0)</f>
        <v>9638</v>
      </c>
      <c r="T29" s="193">
        <f>ROUND('VHČ 2016 (v Kč)'!T32/1000,0)</f>
        <v>75035</v>
      </c>
      <c r="U29" s="193">
        <f>ROUND('VHČ 2016 (v Kč)'!U32/1000,0)</f>
        <v>28455</v>
      </c>
      <c r="V29" s="193">
        <f>ROUND('VHČ 2016 (v Kč)'!V32/1000,0)</f>
        <v>23645</v>
      </c>
      <c r="W29" s="195">
        <f>ROUND('VHČ 2016 (v Kč)'!W32/1000,0)</f>
        <v>49136</v>
      </c>
      <c r="X29" s="194">
        <f>ROUND('VHČ 2016 (v Kč)'!X32/1000,0)</f>
        <v>72008</v>
      </c>
      <c r="Y29" s="193">
        <f>ROUND('VHČ 2016 (v Kč)'!Y32/1000,0)</f>
        <v>38824</v>
      </c>
      <c r="Z29" s="193">
        <f>ROUND('VHČ 2016 (v Kč)'!Z32/1000,0)-1</f>
        <v>2412</v>
      </c>
      <c r="AA29" s="193">
        <f>ROUND('VHČ 2016 (v Kč)'!AA32/1000,0)</f>
        <v>100407</v>
      </c>
      <c r="AB29" s="193">
        <f>ROUND('VHČ 2016 (v Kč)'!AB32/1000,0)</f>
        <v>1307</v>
      </c>
      <c r="AC29" s="191">
        <f>ROUND('VHČ 2016 (v Kč)'!AC32/1000,0)</f>
        <v>26461</v>
      </c>
    </row>
    <row r="30" spans="1:219" s="150" customFormat="1" ht="15" customHeight="1" thickBot="1" x14ac:dyDescent="0.3">
      <c r="A30" s="44" t="s">
        <v>38</v>
      </c>
      <c r="B30" s="44"/>
      <c r="C30" s="45"/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154"/>
      <c r="O30" s="154"/>
      <c r="P30" s="154"/>
      <c r="Q30" s="154"/>
      <c r="R30" s="154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</row>
    <row r="31" spans="1:219" s="150" customFormat="1" ht="19.5" thickBot="1" x14ac:dyDescent="0.35">
      <c r="A31" s="184">
        <v>19</v>
      </c>
      <c r="B31" s="185">
        <v>432</v>
      </c>
      <c r="C31" s="256" t="s">
        <v>66</v>
      </c>
      <c r="D31" s="187">
        <f>SUM(E31:G31)</f>
        <v>671150</v>
      </c>
      <c r="E31" s="190">
        <f>ROUND('VHČ 2016 (v Kč)'!E33/1000,0)</f>
        <v>21626</v>
      </c>
      <c r="F31" s="189">
        <f>ROUND('VHČ 2016 (v Kč)'!F33/1000,0)</f>
        <v>1026</v>
      </c>
      <c r="G31" s="188">
        <f>SUM(H31:AC31)</f>
        <v>648498</v>
      </c>
      <c r="H31" s="190">
        <f>ROUND('VHČ 2016 (v Kč)'!H33/1000,0)</f>
        <v>359987</v>
      </c>
      <c r="I31" s="191">
        <f>ROUND('VHČ 2016 (v Kč)'!I33/1000,0)</f>
        <v>2667</v>
      </c>
      <c r="J31" s="192">
        <f>ROUND('VHČ 2016 (v Kč)'!J33/1000,0)</f>
        <v>79017</v>
      </c>
      <c r="K31" s="193">
        <f>ROUND('VHČ 2016 (v Kč)'!K33/1000,0)</f>
        <v>0</v>
      </c>
      <c r="L31" s="193">
        <f>ROUND('VHČ 2016 (v Kč)'!L33/1000,0)</f>
        <v>34403</v>
      </c>
      <c r="M31" s="193">
        <f>ROUND('VHČ 2016 (v Kč)'!M33/1000,0)</f>
        <v>2484</v>
      </c>
      <c r="N31" s="193">
        <f>ROUND('VHČ 2016 (v Kč)'!N33/1000,0)</f>
        <v>38839</v>
      </c>
      <c r="O31" s="193">
        <f>ROUND('VHČ 2016 (v Kč)'!O33/1000,0)</f>
        <v>0</v>
      </c>
      <c r="P31" s="191">
        <f>ROUND('VHČ 2016 (v Kč)'!P33/1000,0)</f>
        <v>0</v>
      </c>
      <c r="Q31" s="194">
        <f>ROUND('VHČ 2016 (v Kč)'!Q33/1000,0)</f>
        <v>2176</v>
      </c>
      <c r="R31" s="193">
        <f>ROUND('VHČ 2016 (v Kč)'!R33/1000,0)</f>
        <v>0</v>
      </c>
      <c r="S31" s="193">
        <f>ROUND('VHČ 2016 (v Kč)'!S33/1000,0)</f>
        <v>9828</v>
      </c>
      <c r="T31" s="193">
        <f>ROUND('VHČ 2016 (v Kč)'!T33/1000,0)</f>
        <v>0</v>
      </c>
      <c r="U31" s="193">
        <f>ROUND('VHČ 2016 (v Kč)'!U33/1000,0)</f>
        <v>9132</v>
      </c>
      <c r="V31" s="193">
        <f>ROUND('VHČ 2016 (v Kč)'!V33/1000,0)+1</f>
        <v>5021</v>
      </c>
      <c r="W31" s="195">
        <f>ROUND('VHČ 2016 (v Kč)'!W33/1000,0)</f>
        <v>15493</v>
      </c>
      <c r="X31" s="194">
        <f>ROUND('VHČ 2016 (v Kč)'!X33/1000,0)</f>
        <v>0</v>
      </c>
      <c r="Y31" s="193">
        <f>ROUND('VHČ 2016 (v Kč)'!Y33/1000,0)</f>
        <v>19546</v>
      </c>
      <c r="Z31" s="193">
        <f>ROUND('VHČ 2016 (v Kč)'!Z33/1000,0)</f>
        <v>1255</v>
      </c>
      <c r="AA31" s="193">
        <f>ROUND('VHČ 2016 (v Kč)'!AA33/1000,0)</f>
        <v>55359</v>
      </c>
      <c r="AB31" s="193">
        <f>ROUND('VHČ 2016 (v Kč)'!AB33/1000,0)</f>
        <v>1223</v>
      </c>
      <c r="AC31" s="191">
        <f>ROUND('VHČ 2016 (v Kč)'!AC33/1000,0)</f>
        <v>12068</v>
      </c>
    </row>
    <row r="32" spans="1:219" s="150" customFormat="1" ht="18" x14ac:dyDescent="0.25">
      <c r="E32" s="47"/>
      <c r="F32" s="47"/>
      <c r="G32" s="49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</row>
    <row r="33" spans="5:13" ht="18" x14ac:dyDescent="0.25">
      <c r="E33" s="47"/>
      <c r="F33" s="47"/>
      <c r="G33" s="47"/>
      <c r="H33" s="47"/>
      <c r="I33" s="47"/>
      <c r="J33" s="47"/>
      <c r="K33" s="47"/>
      <c r="L33" s="47"/>
      <c r="M33" s="48"/>
    </row>
    <row r="34" spans="5:13" ht="18" x14ac:dyDescent="0.25">
      <c r="E34" s="50"/>
      <c r="F34" s="50"/>
      <c r="G34" s="50"/>
      <c r="H34" s="50"/>
      <c r="I34" s="50"/>
      <c r="J34" s="50"/>
      <c r="K34" s="50"/>
      <c r="L34" s="50"/>
    </row>
    <row r="35" spans="5:13" ht="18" x14ac:dyDescent="0.25">
      <c r="E35" s="50"/>
      <c r="F35" s="50"/>
      <c r="G35" s="50"/>
      <c r="H35" s="50"/>
      <c r="I35" s="50"/>
      <c r="J35" s="50"/>
      <c r="K35" s="50"/>
      <c r="L35" s="50"/>
    </row>
    <row r="36" spans="5:13" ht="18" x14ac:dyDescent="0.25">
      <c r="E36" s="50"/>
      <c r="F36" s="50"/>
      <c r="G36" s="50"/>
      <c r="H36" s="50"/>
      <c r="I36" s="50"/>
      <c r="J36" s="50"/>
      <c r="K36" s="50"/>
      <c r="L36" s="50"/>
    </row>
    <row r="37" spans="5:13" ht="18" x14ac:dyDescent="0.25">
      <c r="E37" s="50"/>
      <c r="F37" s="50"/>
      <c r="G37" s="50"/>
      <c r="H37" s="50"/>
      <c r="I37" s="50"/>
      <c r="J37" s="50"/>
      <c r="K37" s="50"/>
      <c r="L37" s="50"/>
    </row>
    <row r="38" spans="5:13" ht="18" x14ac:dyDescent="0.25">
      <c r="E38" s="50"/>
      <c r="F38" s="50"/>
      <c r="G38" s="50"/>
      <c r="H38" s="50"/>
      <c r="I38" s="50"/>
      <c r="J38" s="50"/>
      <c r="K38" s="50"/>
      <c r="L38" s="50"/>
    </row>
    <row r="39" spans="5:13" ht="18" x14ac:dyDescent="0.25">
      <c r="E39" s="50"/>
      <c r="F39" s="50"/>
      <c r="G39" s="50"/>
      <c r="H39" s="50"/>
      <c r="I39" s="50"/>
      <c r="J39" s="50"/>
      <c r="K39" s="50"/>
      <c r="L39" s="50"/>
    </row>
    <row r="40" spans="5:13" ht="18" x14ac:dyDescent="0.25">
      <c r="E40" s="50"/>
      <c r="F40" s="50"/>
      <c r="G40" s="50"/>
      <c r="H40" s="50"/>
      <c r="I40" s="50"/>
      <c r="J40" s="50"/>
      <c r="K40" s="50"/>
      <c r="L40" s="50"/>
    </row>
    <row r="41" spans="5:13" ht="18" x14ac:dyDescent="0.25">
      <c r="E41" s="50"/>
      <c r="F41" s="50"/>
      <c r="G41" s="50"/>
      <c r="H41" s="50"/>
      <c r="I41" s="50"/>
      <c r="J41" s="50"/>
      <c r="K41" s="50"/>
      <c r="L41" s="50"/>
    </row>
    <row r="42" spans="5:13" ht="18" x14ac:dyDescent="0.25">
      <c r="E42" s="50"/>
      <c r="F42" s="50"/>
      <c r="G42" s="50"/>
      <c r="H42" s="50"/>
      <c r="I42" s="50"/>
      <c r="J42" s="50"/>
      <c r="K42" s="50"/>
      <c r="L42" s="50"/>
    </row>
  </sheetData>
  <mergeCells count="30">
    <mergeCell ref="AA1:AA3"/>
    <mergeCell ref="AB1:AB3"/>
    <mergeCell ref="AC1:AC3"/>
    <mergeCell ref="E2:E3"/>
    <mergeCell ref="F2:F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</mergeCells>
  <phoneticPr fontId="0" type="noConversion"/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statutárního města Brna za rok 2016 (v tis. Kč)</oddHeader>
    <oddFooter>&amp;R&amp;"Times New Roman,Obyčejné"&amp;11&amp;P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5"/>
  <sheetViews>
    <sheetView zoomScale="70" zoomScaleNormal="70" zoomScaleSheetLayoutView="75" workbookViewId="0">
      <pane xSplit="3" topLeftCell="D1" activePane="topRight" state="frozen"/>
      <selection pane="topRight" activeCell="F24" sqref="F24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s="150" customFormat="1" ht="20.100000000000001" customHeight="1" thickTop="1" x14ac:dyDescent="0.3">
      <c r="A1" s="357" t="s">
        <v>1</v>
      </c>
      <c r="B1" s="360" t="s">
        <v>2</v>
      </c>
      <c r="C1" s="360" t="s">
        <v>3</v>
      </c>
      <c r="D1" s="363" t="s">
        <v>56</v>
      </c>
      <c r="E1" s="355" t="s">
        <v>0</v>
      </c>
      <c r="F1" s="356"/>
      <c r="G1" s="363" t="s">
        <v>57</v>
      </c>
      <c r="H1" s="372" t="s">
        <v>5</v>
      </c>
      <c r="I1" s="366" t="s">
        <v>6</v>
      </c>
      <c r="J1" s="406" t="s">
        <v>58</v>
      </c>
      <c r="K1" s="381" t="s">
        <v>59</v>
      </c>
      <c r="L1" s="366" t="s">
        <v>7</v>
      </c>
      <c r="M1" s="366" t="s">
        <v>8</v>
      </c>
      <c r="N1" s="366" t="s">
        <v>9</v>
      </c>
      <c r="O1" s="366" t="s">
        <v>10</v>
      </c>
      <c r="P1" s="409" t="s">
        <v>11</v>
      </c>
      <c r="Q1" s="412" t="s">
        <v>12</v>
      </c>
      <c r="R1" s="400" t="s">
        <v>13</v>
      </c>
      <c r="S1" s="403" t="s">
        <v>62</v>
      </c>
      <c r="T1" s="384" t="s">
        <v>14</v>
      </c>
      <c r="U1" s="384" t="s">
        <v>15</v>
      </c>
      <c r="V1" s="384" t="s">
        <v>16</v>
      </c>
      <c r="W1" s="384" t="s">
        <v>17</v>
      </c>
      <c r="X1" s="384" t="s">
        <v>18</v>
      </c>
      <c r="Y1" s="384" t="s">
        <v>19</v>
      </c>
      <c r="Z1" s="384" t="s">
        <v>20</v>
      </c>
      <c r="AA1" s="384" t="s">
        <v>60</v>
      </c>
      <c r="AB1" s="384" t="s">
        <v>21</v>
      </c>
      <c r="AC1" s="387" t="s">
        <v>61</v>
      </c>
    </row>
    <row r="2" spans="1:29" s="150" customFormat="1" ht="20.100000000000001" customHeight="1" x14ac:dyDescent="0.2">
      <c r="A2" s="358"/>
      <c r="B2" s="361"/>
      <c r="C2" s="361"/>
      <c r="D2" s="364"/>
      <c r="E2" s="390" t="s">
        <v>4</v>
      </c>
      <c r="F2" s="392" t="s">
        <v>63</v>
      </c>
      <c r="G2" s="364"/>
      <c r="H2" s="373"/>
      <c r="I2" s="367"/>
      <c r="J2" s="407"/>
      <c r="K2" s="382"/>
      <c r="L2" s="367"/>
      <c r="M2" s="367"/>
      <c r="N2" s="367"/>
      <c r="O2" s="367"/>
      <c r="P2" s="410"/>
      <c r="Q2" s="413"/>
      <c r="R2" s="401"/>
      <c r="S2" s="404"/>
      <c r="T2" s="385"/>
      <c r="U2" s="385"/>
      <c r="V2" s="385"/>
      <c r="W2" s="385"/>
      <c r="X2" s="385"/>
      <c r="Y2" s="385"/>
      <c r="Z2" s="385"/>
      <c r="AA2" s="385"/>
      <c r="AB2" s="385"/>
      <c r="AC2" s="388"/>
    </row>
    <row r="3" spans="1:29" s="150" customFormat="1" ht="20.100000000000001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68"/>
      <c r="J3" s="408"/>
      <c r="K3" s="383"/>
      <c r="L3" s="368"/>
      <c r="M3" s="368"/>
      <c r="N3" s="368"/>
      <c r="O3" s="368"/>
      <c r="P3" s="411"/>
      <c r="Q3" s="414"/>
      <c r="R3" s="415"/>
      <c r="S3" s="405"/>
      <c r="T3" s="386"/>
      <c r="U3" s="386"/>
      <c r="V3" s="386"/>
      <c r="W3" s="386"/>
      <c r="X3" s="386"/>
      <c r="Y3" s="386"/>
      <c r="Z3" s="386"/>
      <c r="AA3" s="386"/>
      <c r="AB3" s="386"/>
      <c r="AC3" s="389"/>
    </row>
    <row r="4" spans="1:29" s="150" customFormat="1" ht="18" customHeight="1" x14ac:dyDescent="0.3">
      <c r="A4" s="4"/>
      <c r="B4" s="5"/>
      <c r="C4" s="6" t="s">
        <v>22</v>
      </c>
      <c r="D4" s="7"/>
      <c r="E4" s="8"/>
      <c r="F4" s="9"/>
      <c r="G4" s="51"/>
      <c r="H4" s="52"/>
      <c r="I4" s="156"/>
      <c r="J4" s="52"/>
      <c r="K4" s="201"/>
      <c r="L4" s="156"/>
      <c r="M4" s="157"/>
      <c r="N4" s="54"/>
      <c r="O4" s="156"/>
      <c r="P4" s="197"/>
      <c r="Q4" s="207"/>
      <c r="R4" s="56"/>
      <c r="S4" s="156"/>
      <c r="T4" s="57"/>
      <c r="U4" s="55"/>
      <c r="V4" s="54"/>
      <c r="W4" s="156"/>
      <c r="X4" s="156"/>
      <c r="Y4" s="156"/>
      <c r="Z4" s="157"/>
      <c r="AA4" s="157"/>
      <c r="AB4" s="156"/>
      <c r="AC4" s="158"/>
    </row>
    <row r="5" spans="1:29" s="150" customFormat="1" ht="18" customHeight="1" x14ac:dyDescent="0.3">
      <c r="A5" s="11">
        <v>1</v>
      </c>
      <c r="B5" s="12">
        <v>601.20000000000005</v>
      </c>
      <c r="C5" s="13" t="s">
        <v>23</v>
      </c>
      <c r="D5" s="14">
        <f>SUM(E5:G5)</f>
        <v>83584205.110000014</v>
      </c>
      <c r="E5" s="318">
        <f>374034.27+52995532.13</f>
        <v>53369566.400000006</v>
      </c>
      <c r="F5" s="254">
        <v>10786179.029999999</v>
      </c>
      <c r="G5" s="179">
        <f>SUM(H5:AC5)</f>
        <v>19428459.68</v>
      </c>
      <c r="H5" s="56">
        <v>2367397.9500000002</v>
      </c>
      <c r="I5" s="55"/>
      <c r="J5" s="56">
        <v>214968</v>
      </c>
      <c r="K5" s="202">
        <v>46677.62</v>
      </c>
      <c r="L5" s="55"/>
      <c r="M5" s="55"/>
      <c r="N5" s="54"/>
      <c r="O5" s="55"/>
      <c r="P5" s="197"/>
      <c r="Q5" s="207"/>
      <c r="R5" s="56"/>
      <c r="S5" s="55"/>
      <c r="T5" s="54"/>
      <c r="U5" s="55">
        <v>6911633.2300000004</v>
      </c>
      <c r="V5" s="54"/>
      <c r="W5" s="55"/>
      <c r="X5" s="55"/>
      <c r="Y5" s="55"/>
      <c r="Z5" s="54"/>
      <c r="AA5" s="54">
        <v>9887782.8800000008</v>
      </c>
      <c r="AB5" s="55"/>
      <c r="AC5" s="180"/>
    </row>
    <row r="6" spans="1:29" s="150" customFormat="1" ht="18" customHeight="1" x14ac:dyDescent="0.3">
      <c r="A6" s="11">
        <v>2</v>
      </c>
      <c r="B6" s="12">
        <v>603</v>
      </c>
      <c r="C6" s="13" t="s">
        <v>41</v>
      </c>
      <c r="D6" s="14">
        <f>SUM(E6:G6)</f>
        <v>2081848645.0799999</v>
      </c>
      <c r="E6" s="318">
        <v>677306792.07000005</v>
      </c>
      <c r="F6" s="254"/>
      <c r="G6" s="179">
        <f>SUM(H6:AC6)</f>
        <v>1404541853.0099998</v>
      </c>
      <c r="H6" s="56">
        <v>333868342.81</v>
      </c>
      <c r="I6" s="55">
        <v>638090</v>
      </c>
      <c r="J6" s="56">
        <v>37685556.280000001</v>
      </c>
      <c r="K6" s="202">
        <v>38671783.5</v>
      </c>
      <c r="L6" s="55">
        <v>70404960.540000007</v>
      </c>
      <c r="M6" s="55">
        <v>583583</v>
      </c>
      <c r="N6" s="54">
        <v>78389308.269999996</v>
      </c>
      <c r="O6" s="55">
        <v>77228428</v>
      </c>
      <c r="P6" s="197">
        <v>3734782</v>
      </c>
      <c r="Q6" s="207">
        <v>9311628.5199999996</v>
      </c>
      <c r="R6" s="56">
        <v>256879243.52000001</v>
      </c>
      <c r="S6" s="55">
        <v>4863938.5</v>
      </c>
      <c r="T6" s="54">
        <v>111405743</v>
      </c>
      <c r="U6" s="55">
        <v>43460623.539999999</v>
      </c>
      <c r="V6" s="54">
        <v>45783278</v>
      </c>
      <c r="W6" s="55">
        <v>35926510.100000001</v>
      </c>
      <c r="X6" s="55">
        <v>109415954</v>
      </c>
      <c r="Y6" s="55">
        <v>35989810.829999998</v>
      </c>
      <c r="Z6" s="54">
        <v>402879</v>
      </c>
      <c r="AA6" s="54">
        <v>86846466.599999994</v>
      </c>
      <c r="AB6" s="55">
        <v>589395</v>
      </c>
      <c r="AC6" s="180">
        <v>22461548</v>
      </c>
    </row>
    <row r="7" spans="1:29" s="150" customFormat="1" ht="18" customHeight="1" x14ac:dyDescent="0.3">
      <c r="A7" s="11">
        <v>3</v>
      </c>
      <c r="B7" s="12" t="s">
        <v>24</v>
      </c>
      <c r="C7" s="13" t="s">
        <v>25</v>
      </c>
      <c r="D7" s="14">
        <f>SUM(E7:G7)</f>
        <v>67960750.180000007</v>
      </c>
      <c r="E7" s="15">
        <f>19622989.19+48337760.99</f>
        <v>67960750.180000007</v>
      </c>
      <c r="F7" s="255"/>
      <c r="G7" s="179">
        <f>SUM(H7:AC7)</f>
        <v>0</v>
      </c>
      <c r="H7" s="181"/>
      <c r="I7" s="55"/>
      <c r="J7" s="56"/>
      <c r="K7" s="202"/>
      <c r="L7" s="55"/>
      <c r="M7" s="55"/>
      <c r="N7" s="54"/>
      <c r="O7" s="55"/>
      <c r="P7" s="197"/>
      <c r="Q7" s="207"/>
      <c r="R7" s="56"/>
      <c r="S7" s="55"/>
      <c r="T7" s="54"/>
      <c r="U7" s="55"/>
      <c r="V7" s="54"/>
      <c r="W7" s="55"/>
      <c r="X7" s="55"/>
      <c r="Y7" s="55"/>
      <c r="Z7" s="54"/>
      <c r="AA7" s="54"/>
      <c r="AB7" s="55"/>
      <c r="AC7" s="58"/>
    </row>
    <row r="8" spans="1:29" s="150" customFormat="1" ht="18" customHeight="1" x14ac:dyDescent="0.3">
      <c r="A8" s="11">
        <v>4</v>
      </c>
      <c r="B8" s="12">
        <v>672</v>
      </c>
      <c r="C8" s="13" t="s">
        <v>48</v>
      </c>
      <c r="D8" s="14">
        <f>SUM(E8:G8)</f>
        <v>43677211.170000002</v>
      </c>
      <c r="E8" s="319">
        <v>30845749.469999999</v>
      </c>
      <c r="F8" s="16"/>
      <c r="G8" s="179">
        <f>SUM(H8:AC8)</f>
        <v>12831461.700000001</v>
      </c>
      <c r="H8" s="258">
        <v>5410936.7999999998</v>
      </c>
      <c r="I8" s="10">
        <v>179098.32</v>
      </c>
      <c r="J8" s="258">
        <v>137559.35999999999</v>
      </c>
      <c r="K8" s="259">
        <v>182447.4</v>
      </c>
      <c r="L8" s="10">
        <v>618317.06999999995</v>
      </c>
      <c r="M8" s="10">
        <v>75112.95</v>
      </c>
      <c r="N8" s="260">
        <v>362536.64</v>
      </c>
      <c r="O8" s="10">
        <v>62463.75</v>
      </c>
      <c r="P8" s="261">
        <v>77917.440000000002</v>
      </c>
      <c r="Q8" s="257"/>
      <c r="R8" s="262">
        <v>2053476.39</v>
      </c>
      <c r="S8" s="10"/>
      <c r="T8" s="260">
        <v>637323.39</v>
      </c>
      <c r="U8" s="10">
        <v>389504.35</v>
      </c>
      <c r="V8" s="260">
        <v>211453.42</v>
      </c>
      <c r="W8" s="10">
        <v>268734.65000000002</v>
      </c>
      <c r="X8" s="10">
        <v>836135.31</v>
      </c>
      <c r="Y8" s="10">
        <v>326790.84000000003</v>
      </c>
      <c r="Z8" s="260">
        <v>66768.84</v>
      </c>
      <c r="AA8" s="260">
        <v>417076.34</v>
      </c>
      <c r="AB8" s="10">
        <v>244104</v>
      </c>
      <c r="AC8" s="263">
        <v>273704.44</v>
      </c>
    </row>
    <row r="9" spans="1:29" s="150" customFormat="1" ht="18" customHeight="1" thickBot="1" x14ac:dyDescent="0.35">
      <c r="A9" s="17">
        <v>5</v>
      </c>
      <c r="B9" s="18" t="s">
        <v>42</v>
      </c>
      <c r="C9" s="13" t="s">
        <v>26</v>
      </c>
      <c r="D9" s="14">
        <f>SUM(E9:G9)</f>
        <v>64804266.780000009</v>
      </c>
      <c r="E9" s="319">
        <f>173634.91+562.22+316827.35+139242.21</f>
        <v>630266.68999999994</v>
      </c>
      <c r="F9" s="16">
        <f>223.14+963.25</f>
        <v>1186.3899999999999</v>
      </c>
      <c r="G9" s="179">
        <f>SUM(H9:AC9)</f>
        <v>64172813.70000001</v>
      </c>
      <c r="H9" s="264">
        <v>15929418.670000028</v>
      </c>
      <c r="I9" s="10">
        <v>60523.710000000021</v>
      </c>
      <c r="J9" s="258">
        <v>3415069.5799999977</v>
      </c>
      <c r="K9" s="265">
        <v>1373772.5900000022</v>
      </c>
      <c r="L9" s="266">
        <v>512310.37999998813</v>
      </c>
      <c r="M9" s="266">
        <v>498.629999999961</v>
      </c>
      <c r="N9" s="266">
        <v>1820976.2800000017</v>
      </c>
      <c r="O9" s="266">
        <v>4170471.1599999964</v>
      </c>
      <c r="P9" s="266">
        <v>32111.050000000221</v>
      </c>
      <c r="Q9" s="257">
        <v>1715.3300000000745</v>
      </c>
      <c r="R9" s="267">
        <v>7654498.7799999872</v>
      </c>
      <c r="S9" s="266">
        <v>34796.019999999553</v>
      </c>
      <c r="T9" s="266">
        <v>15799223.819999993</v>
      </c>
      <c r="U9" s="266">
        <v>-1958941.2199999974</v>
      </c>
      <c r="V9" s="266">
        <v>1135703.9000000004</v>
      </c>
      <c r="W9" s="268">
        <v>1607849.6700000004</v>
      </c>
      <c r="X9" s="266">
        <v>2270976.6100000017</v>
      </c>
      <c r="Y9" s="266">
        <v>950362.44000000111</v>
      </c>
      <c r="Z9" s="266">
        <v>70456.639999999985</v>
      </c>
      <c r="AA9" s="266">
        <v>8990588.5000000037</v>
      </c>
      <c r="AB9" s="266">
        <v>489.84999999997672</v>
      </c>
      <c r="AC9" s="269">
        <v>299941.31</v>
      </c>
    </row>
    <row r="10" spans="1:29" s="150" customFormat="1" ht="18" customHeight="1" thickBot="1" x14ac:dyDescent="0.35">
      <c r="A10" s="19">
        <v>6</v>
      </c>
      <c r="B10" s="20"/>
      <c r="C10" s="21" t="s">
        <v>40</v>
      </c>
      <c r="D10" s="329">
        <f>SUM(D5:D9)</f>
        <v>2341875078.3200002</v>
      </c>
      <c r="E10" s="324">
        <f>SUM(E5:E9)</f>
        <v>830113124.81000018</v>
      </c>
      <c r="F10" s="325">
        <f>SUM(F5:F9)</f>
        <v>10787365.42</v>
      </c>
      <c r="G10" s="331">
        <f>SUM(G5:G9)</f>
        <v>1500974588.0899999</v>
      </c>
      <c r="H10" s="270">
        <v>368862235.75</v>
      </c>
      <c r="I10" s="271">
        <v>1191475.58</v>
      </c>
      <c r="J10" s="272">
        <v>45916824.219999999</v>
      </c>
      <c r="K10" s="273">
        <v>40667850.57</v>
      </c>
      <c r="L10" s="274">
        <v>71677932.670000002</v>
      </c>
      <c r="M10" s="274">
        <v>1175563.97</v>
      </c>
      <c r="N10" s="274">
        <v>80200049.069999993</v>
      </c>
      <c r="O10" s="274">
        <v>84718981.620000005</v>
      </c>
      <c r="P10" s="275">
        <v>3826585.96</v>
      </c>
      <c r="Q10" s="273">
        <v>9216934.7100000009</v>
      </c>
      <c r="R10" s="276">
        <v>326879219.72000003</v>
      </c>
      <c r="S10" s="274">
        <v>4530764.8499999996</v>
      </c>
      <c r="T10" s="274">
        <v>112579359.01000001</v>
      </c>
      <c r="U10" s="274">
        <f>54245370.04+7063331.92</f>
        <v>61308701.960000001</v>
      </c>
      <c r="V10" s="274">
        <v>52691993.240000002</v>
      </c>
      <c r="W10" s="274">
        <v>43524799.609999999</v>
      </c>
      <c r="X10" s="274">
        <v>115481580.34999999</v>
      </c>
      <c r="Y10" s="274">
        <v>38346773.969999999</v>
      </c>
      <c r="Z10" s="274">
        <v>494051.09</v>
      </c>
      <c r="AA10" s="274">
        <f>95784830.02+9615293.18</f>
        <v>105400123.19999999</v>
      </c>
      <c r="AB10" s="274">
        <v>1124500.02</v>
      </c>
      <c r="AC10" s="277">
        <v>23424087.329999998</v>
      </c>
    </row>
    <row r="11" spans="1:29" s="150" customFormat="1" ht="18" customHeight="1" x14ac:dyDescent="0.3">
      <c r="A11" s="22"/>
      <c r="B11" s="23"/>
      <c r="C11" s="13"/>
      <c r="D11" s="24"/>
      <c r="E11" s="25"/>
      <c r="F11" s="26"/>
      <c r="G11" s="59"/>
      <c r="H11" s="60"/>
      <c r="I11" s="61"/>
      <c r="J11" s="60"/>
      <c r="K11" s="203"/>
      <c r="L11" s="61"/>
      <c r="M11" s="61"/>
      <c r="N11" s="62"/>
      <c r="O11" s="61"/>
      <c r="P11" s="198"/>
      <c r="Q11" s="209"/>
      <c r="R11" s="60"/>
      <c r="S11" s="61"/>
      <c r="T11" s="62"/>
      <c r="U11" s="61"/>
      <c r="V11" s="62"/>
      <c r="W11" s="61"/>
      <c r="X11" s="61"/>
      <c r="Y11" s="61"/>
      <c r="Z11" s="62"/>
      <c r="AA11" s="62"/>
      <c r="AB11" s="61"/>
      <c r="AC11" s="63"/>
    </row>
    <row r="12" spans="1:29" s="150" customFormat="1" ht="18" customHeight="1" x14ac:dyDescent="0.3">
      <c r="A12" s="27"/>
      <c r="B12" s="28"/>
      <c r="C12" s="6" t="s">
        <v>27</v>
      </c>
      <c r="D12" s="29"/>
      <c r="E12" s="30"/>
      <c r="F12" s="31"/>
      <c r="G12" s="64"/>
      <c r="H12" s="56"/>
      <c r="I12" s="55"/>
      <c r="J12" s="56"/>
      <c r="K12" s="202"/>
      <c r="L12" s="55"/>
      <c r="M12" s="55"/>
      <c r="N12" s="54"/>
      <c r="O12" s="55"/>
      <c r="P12" s="197"/>
      <c r="Q12" s="210"/>
      <c r="R12" s="56"/>
      <c r="S12" s="55"/>
      <c r="T12" s="54"/>
      <c r="U12" s="55"/>
      <c r="V12" s="54"/>
      <c r="W12" s="55"/>
      <c r="X12" s="55"/>
      <c r="Y12" s="55"/>
      <c r="Z12" s="54"/>
      <c r="AA12" s="54"/>
      <c r="AB12" s="55"/>
      <c r="AC12" s="58"/>
    </row>
    <row r="13" spans="1:29" s="150" customFormat="1" ht="18" customHeight="1" x14ac:dyDescent="0.3">
      <c r="A13" s="11">
        <v>7</v>
      </c>
      <c r="B13" s="12">
        <v>501.2</v>
      </c>
      <c r="C13" s="13" t="s">
        <v>28</v>
      </c>
      <c r="D13" s="14">
        <f t="shared" ref="D13:D19" si="0">SUM(E13:G13)</f>
        <v>36505474.369999997</v>
      </c>
      <c r="E13" s="15">
        <v>1999708.4</v>
      </c>
      <c r="F13" s="255">
        <f>6078325.6+813466</f>
        <v>6891791.5999999996</v>
      </c>
      <c r="G13" s="179">
        <f t="shared" ref="G13:G19" si="1">SUM(H13:AC13)</f>
        <v>27613974.369999997</v>
      </c>
      <c r="H13" s="56">
        <v>161592.47999999998</v>
      </c>
      <c r="I13" s="55">
        <v>14475.51</v>
      </c>
      <c r="J13" s="56">
        <v>374946.41000000003</v>
      </c>
      <c r="K13" s="202">
        <v>36218.42</v>
      </c>
      <c r="L13" s="55">
        <v>277727.40000000002</v>
      </c>
      <c r="M13" s="55"/>
      <c r="N13" s="54">
        <v>703.8</v>
      </c>
      <c r="O13" s="55">
        <v>380587.04</v>
      </c>
      <c r="P13" s="197">
        <v>54678</v>
      </c>
      <c r="Q13" s="210">
        <v>1150</v>
      </c>
      <c r="R13" s="56">
        <v>11777660.169999998</v>
      </c>
      <c r="S13" s="55">
        <v>346894.24</v>
      </c>
      <c r="T13" s="54">
        <v>633268.16</v>
      </c>
      <c r="U13" s="55">
        <v>7185613.7000000011</v>
      </c>
      <c r="V13" s="54">
        <v>44484.61</v>
      </c>
      <c r="W13" s="55">
        <v>39744</v>
      </c>
      <c r="X13" s="55">
        <v>87269</v>
      </c>
      <c r="Y13" s="55">
        <v>51857.5</v>
      </c>
      <c r="Z13" s="54">
        <v>10392</v>
      </c>
      <c r="AA13" s="54">
        <v>6093838.7200000007</v>
      </c>
      <c r="AB13" s="55"/>
      <c r="AC13" s="58">
        <v>40873.21</v>
      </c>
    </row>
    <row r="14" spans="1:29" s="150" customFormat="1" ht="18" customHeight="1" x14ac:dyDescent="0.3">
      <c r="A14" s="11">
        <v>8</v>
      </c>
      <c r="B14" s="12">
        <v>511</v>
      </c>
      <c r="C14" s="13" t="s">
        <v>29</v>
      </c>
      <c r="D14" s="14">
        <f t="shared" si="0"/>
        <v>406525255.88000005</v>
      </c>
      <c r="E14" s="15">
        <v>388715</v>
      </c>
      <c r="F14" s="255"/>
      <c r="G14" s="179">
        <f t="shared" si="1"/>
        <v>406136540.88000005</v>
      </c>
      <c r="H14" s="56">
        <v>142317668.40000001</v>
      </c>
      <c r="I14" s="55">
        <v>164674.76</v>
      </c>
      <c r="J14" s="56">
        <v>10927216.26</v>
      </c>
      <c r="K14" s="202">
        <v>3730843.91</v>
      </c>
      <c r="L14" s="55">
        <v>13295150.82</v>
      </c>
      <c r="M14" s="55">
        <v>6420</v>
      </c>
      <c r="N14" s="54">
        <v>26776602.239999998</v>
      </c>
      <c r="O14" s="55">
        <v>7805437.3899999997</v>
      </c>
      <c r="P14" s="197">
        <v>282881.09999999998</v>
      </c>
      <c r="Q14" s="210">
        <v>1143620</v>
      </c>
      <c r="R14" s="56">
        <v>94019378.349999994</v>
      </c>
      <c r="S14" s="55">
        <v>2380671.5</v>
      </c>
      <c r="T14" s="54">
        <v>17259912.460000001</v>
      </c>
      <c r="U14" s="55">
        <v>13636470.979999999</v>
      </c>
      <c r="V14" s="54">
        <v>10286657.359999999</v>
      </c>
      <c r="W14" s="55">
        <v>11912785.550000001</v>
      </c>
      <c r="X14" s="55">
        <v>8764837.3699999992</v>
      </c>
      <c r="Y14" s="55">
        <v>11921662.99</v>
      </c>
      <c r="Z14" s="54">
        <v>14840.75</v>
      </c>
      <c r="AA14" s="54">
        <v>26612259.869999997</v>
      </c>
      <c r="AB14" s="55">
        <v>390505.47</v>
      </c>
      <c r="AC14" s="58">
        <v>2486043.35</v>
      </c>
    </row>
    <row r="15" spans="1:29" s="150" customFormat="1" ht="18" customHeight="1" x14ac:dyDescent="0.3">
      <c r="A15" s="11">
        <v>9</v>
      </c>
      <c r="B15" s="12" t="s">
        <v>30</v>
      </c>
      <c r="C15" s="13" t="s">
        <v>31</v>
      </c>
      <c r="D15" s="14">
        <f t="shared" si="0"/>
        <v>177682697.68000001</v>
      </c>
      <c r="E15" s="15">
        <v>57070424.259999998</v>
      </c>
      <c r="F15" s="255">
        <v>76044.12</v>
      </c>
      <c r="G15" s="179">
        <f t="shared" si="1"/>
        <v>120536229.3</v>
      </c>
      <c r="H15" s="56">
        <v>34225177.689999998</v>
      </c>
      <c r="I15" s="55">
        <v>39640.400000000001</v>
      </c>
      <c r="J15" s="56">
        <v>1336441.83</v>
      </c>
      <c r="K15" s="202">
        <v>2969466.25</v>
      </c>
      <c r="L15" s="55">
        <v>7491048.29</v>
      </c>
      <c r="M15" s="55">
        <v>32248.1</v>
      </c>
      <c r="N15" s="54">
        <v>7564928.7999999998</v>
      </c>
      <c r="O15" s="55">
        <v>5947586.3499999996</v>
      </c>
      <c r="P15" s="197">
        <v>413670.22</v>
      </c>
      <c r="Q15" s="210">
        <v>185035.4</v>
      </c>
      <c r="R15" s="56">
        <v>23295967.869999997</v>
      </c>
      <c r="S15" s="55">
        <v>867965.2</v>
      </c>
      <c r="T15" s="54">
        <v>9980265.3300000001</v>
      </c>
      <c r="U15" s="55">
        <v>3088910.22</v>
      </c>
      <c r="V15" s="54">
        <v>1445324.37</v>
      </c>
      <c r="W15" s="55">
        <v>1197884.02</v>
      </c>
      <c r="X15" s="55">
        <v>8978934.9800000004</v>
      </c>
      <c r="Y15" s="55">
        <v>4103365.7</v>
      </c>
      <c r="Z15" s="54">
        <v>60899.5</v>
      </c>
      <c r="AA15" s="54">
        <v>6854204.4500000002</v>
      </c>
      <c r="AB15" s="55">
        <v>66132.12</v>
      </c>
      <c r="AC15" s="58">
        <v>391132.21</v>
      </c>
    </row>
    <row r="16" spans="1:29" s="150" customFormat="1" ht="18" customHeight="1" x14ac:dyDescent="0.3">
      <c r="A16" s="11">
        <v>10</v>
      </c>
      <c r="B16" s="12" t="s">
        <v>32</v>
      </c>
      <c r="C16" s="13" t="s">
        <v>33</v>
      </c>
      <c r="D16" s="14">
        <f t="shared" si="0"/>
        <v>65109517</v>
      </c>
      <c r="E16" s="15"/>
      <c r="F16" s="255">
        <f>2876598+971191+11735+41430+207344</f>
        <v>4108298</v>
      </c>
      <c r="G16" s="179">
        <f t="shared" si="1"/>
        <v>61001219</v>
      </c>
      <c r="H16" s="56">
        <v>16432160</v>
      </c>
      <c r="I16" s="55">
        <v>556240</v>
      </c>
      <c r="J16" s="56">
        <v>6082990</v>
      </c>
      <c r="K16" s="202">
        <v>3376426</v>
      </c>
      <c r="L16" s="55">
        <v>3793120</v>
      </c>
      <c r="M16" s="55">
        <v>10200</v>
      </c>
      <c r="N16" s="54"/>
      <c r="O16" s="55"/>
      <c r="P16" s="197"/>
      <c r="Q16" s="210">
        <v>738875</v>
      </c>
      <c r="R16" s="56">
        <v>7250626</v>
      </c>
      <c r="S16" s="55"/>
      <c r="T16" s="54"/>
      <c r="U16" s="55">
        <v>5661144</v>
      </c>
      <c r="V16" s="54">
        <v>2134402</v>
      </c>
      <c r="W16" s="55">
        <v>2092568</v>
      </c>
      <c r="X16" s="55">
        <v>451741</v>
      </c>
      <c r="Y16" s="55">
        <v>2933651</v>
      </c>
      <c r="Z16" s="54"/>
      <c r="AA16" s="54">
        <v>7795025</v>
      </c>
      <c r="AB16" s="55"/>
      <c r="AC16" s="58">
        <v>1692051</v>
      </c>
    </row>
    <row r="17" spans="1:29" s="150" customFormat="1" ht="18" customHeight="1" x14ac:dyDescent="0.3">
      <c r="A17" s="11">
        <v>11</v>
      </c>
      <c r="B17" s="12" t="s">
        <v>34</v>
      </c>
      <c r="C17" s="13" t="s">
        <v>35</v>
      </c>
      <c r="D17" s="14">
        <f t="shared" si="0"/>
        <v>1903987.4</v>
      </c>
      <c r="E17" s="15"/>
      <c r="F17" s="255"/>
      <c r="G17" s="179">
        <f t="shared" si="1"/>
        <v>1903987.4</v>
      </c>
      <c r="H17" s="56">
        <v>1338770</v>
      </c>
      <c r="I17" s="55"/>
      <c r="J17" s="56">
        <v>185665</v>
      </c>
      <c r="K17" s="202">
        <v>26782</v>
      </c>
      <c r="L17" s="55">
        <v>71188</v>
      </c>
      <c r="M17" s="55"/>
      <c r="N17" s="54"/>
      <c r="O17" s="55"/>
      <c r="P17" s="197"/>
      <c r="Q17" s="210"/>
      <c r="R17" s="56">
        <v>15000</v>
      </c>
      <c r="S17" s="55"/>
      <c r="T17" s="54">
        <v>219860.4</v>
      </c>
      <c r="U17" s="55">
        <v>20821</v>
      </c>
      <c r="V17" s="54"/>
      <c r="W17" s="55"/>
      <c r="X17" s="55"/>
      <c r="Y17" s="55">
        <v>25901</v>
      </c>
      <c r="Z17" s="54"/>
      <c r="AA17" s="54"/>
      <c r="AB17" s="55"/>
      <c r="AC17" s="180"/>
    </row>
    <row r="18" spans="1:29" s="150" customFormat="1" ht="18" customHeight="1" x14ac:dyDescent="0.3">
      <c r="A18" s="11">
        <v>12</v>
      </c>
      <c r="B18" s="12">
        <v>551</v>
      </c>
      <c r="C18" s="151" t="s">
        <v>64</v>
      </c>
      <c r="D18" s="14">
        <f t="shared" si="0"/>
        <v>581383889.63999999</v>
      </c>
      <c r="E18" s="15">
        <v>420600946</v>
      </c>
      <c r="F18" s="255"/>
      <c r="G18" s="179">
        <f t="shared" si="1"/>
        <v>160782943.64000002</v>
      </c>
      <c r="H18" s="56">
        <v>29157952</v>
      </c>
      <c r="I18" s="55">
        <v>568368</v>
      </c>
      <c r="J18" s="56">
        <v>5339628</v>
      </c>
      <c r="K18" s="202">
        <v>6954587.7999999998</v>
      </c>
      <c r="L18" s="55">
        <v>10151820</v>
      </c>
      <c r="M18" s="55">
        <v>196174</v>
      </c>
      <c r="N18" s="54">
        <v>9075876.5999999996</v>
      </c>
      <c r="O18" s="55">
        <v>11921301</v>
      </c>
      <c r="P18" s="197">
        <v>883476</v>
      </c>
      <c r="Q18" s="210">
        <v>1192327</v>
      </c>
      <c r="R18" s="56">
        <v>26850067.690000001</v>
      </c>
      <c r="S18" s="55">
        <v>316416</v>
      </c>
      <c r="T18" s="54">
        <v>11321250</v>
      </c>
      <c r="U18" s="55">
        <v>5938639.9500000002</v>
      </c>
      <c r="V18" s="54">
        <v>6922984</v>
      </c>
      <c r="W18" s="55">
        <v>4786952</v>
      </c>
      <c r="X18" s="55">
        <v>13742371</v>
      </c>
      <c r="Y18" s="55">
        <v>5636830.5999999996</v>
      </c>
      <c r="Z18" s="54">
        <v>133824</v>
      </c>
      <c r="AA18" s="54">
        <v>6174040</v>
      </c>
      <c r="AB18" s="55">
        <v>244104</v>
      </c>
      <c r="AC18" s="180">
        <v>3273954</v>
      </c>
    </row>
    <row r="19" spans="1:29" s="150" customFormat="1" ht="18" customHeight="1" thickBot="1" x14ac:dyDescent="0.35">
      <c r="A19" s="11">
        <v>13</v>
      </c>
      <c r="B19" s="12" t="s">
        <v>43</v>
      </c>
      <c r="C19" s="13" t="s">
        <v>36</v>
      </c>
      <c r="D19" s="14">
        <f t="shared" si="0"/>
        <v>189123302.72000009</v>
      </c>
      <c r="E19" s="320">
        <f>387492.31+109134327.09+1150349.68+558308.57+79680+112817.95+36.66</f>
        <v>111423012.26000001</v>
      </c>
      <c r="F19" s="321">
        <f>1933.8+15238.29</f>
        <v>17172.09</v>
      </c>
      <c r="G19" s="332">
        <f t="shared" si="1"/>
        <v>77683118.370000064</v>
      </c>
      <c r="H19" s="60">
        <v>20776564.200000018</v>
      </c>
      <c r="I19" s="172">
        <v>47360.780000000028</v>
      </c>
      <c r="J19" s="173">
        <v>4045497.2700000014</v>
      </c>
      <c r="K19" s="278">
        <v>41198.229999997653</v>
      </c>
      <c r="L19" s="182">
        <v>447781.38000000268</v>
      </c>
      <c r="M19" s="182">
        <v>3723.1000000000058</v>
      </c>
      <c r="N19" s="182">
        <v>2832972.9700000081</v>
      </c>
      <c r="O19" s="182">
        <v>3634753.7000000011</v>
      </c>
      <c r="P19" s="279">
        <v>323919.32999999984</v>
      </c>
      <c r="Q19" s="209">
        <v>15536.919999999925</v>
      </c>
      <c r="R19" s="280">
        <v>13758293.590000007</v>
      </c>
      <c r="S19" s="182">
        <v>181598.05000000005</v>
      </c>
      <c r="T19" s="182">
        <v>17190452.620000012</v>
      </c>
      <c r="U19" s="182">
        <v>1327464.96</v>
      </c>
      <c r="V19" s="182">
        <v>962750.75</v>
      </c>
      <c r="W19" s="182">
        <v>3527544.3999999985</v>
      </c>
      <c r="X19" s="182">
        <v>2965109.1700000055</v>
      </c>
      <c r="Y19" s="182">
        <v>-3114586.5500000017</v>
      </c>
      <c r="Z19" s="182">
        <v>13176.329999999987</v>
      </c>
      <c r="AA19" s="182">
        <v>8431401.7800000049</v>
      </c>
      <c r="AB19" s="182">
        <v>0.53000000002793968</v>
      </c>
      <c r="AC19" s="281">
        <v>270604.86000000034</v>
      </c>
    </row>
    <row r="20" spans="1:29" s="150" customFormat="1" ht="18" customHeight="1" thickBot="1" x14ac:dyDescent="0.35">
      <c r="A20" s="19">
        <v>14</v>
      </c>
      <c r="B20" s="20"/>
      <c r="C20" s="21" t="s">
        <v>52</v>
      </c>
      <c r="D20" s="330">
        <f>SUM(D13:D19)</f>
        <v>1458234124.6900001</v>
      </c>
      <c r="E20" s="32">
        <f>SUM(E13:E19)</f>
        <v>591482805.91999996</v>
      </c>
      <c r="F20" s="326">
        <f>SUM(F13:F19)</f>
        <v>11093305.809999999</v>
      </c>
      <c r="G20" s="333">
        <f>SUM(G13:G19)</f>
        <v>855658012.96000004</v>
      </c>
      <c r="H20" s="270">
        <v>208691284.97</v>
      </c>
      <c r="I20" s="271">
        <f>1171354.14</f>
        <v>1171354.1399999999</v>
      </c>
      <c r="J20" s="272">
        <f>34313586.15+15207.37</f>
        <v>34328793.519999996</v>
      </c>
      <c r="K20" s="282">
        <v>20846672.129999999</v>
      </c>
      <c r="L20" s="274">
        <f>37145995.16</f>
        <v>37145995.159999996</v>
      </c>
      <c r="M20" s="274">
        <v>432661.7</v>
      </c>
      <c r="N20" s="274">
        <f>53784982.03+46811.8-3213100</f>
        <v>50618693.829999998</v>
      </c>
      <c r="O20" s="274">
        <f>28566540.59</f>
        <v>28566540.59</v>
      </c>
      <c r="P20" s="275">
        <v>2616055.94</v>
      </c>
      <c r="Q20" s="273">
        <v>2557266.31</v>
      </c>
      <c r="R20" s="283">
        <v>235760116.84</v>
      </c>
      <c r="S20" s="274">
        <f>3262974.75-48000</f>
        <v>3214974.75</v>
      </c>
      <c r="T20" s="274">
        <f>49422467.55+61682.4</f>
        <v>49484149.949999996</v>
      </c>
      <c r="U20" s="274">
        <f>26655548.33+7131196.62</f>
        <v>33786744.949999996</v>
      </c>
      <c r="V20" s="274">
        <f>33124548.08+21735.6-1352000</f>
        <v>31794283.68</v>
      </c>
      <c r="W20" s="274">
        <f>27682478.31</f>
        <v>27682478.309999999</v>
      </c>
      <c r="X20" s="274">
        <v>46081885.039999999</v>
      </c>
      <c r="Y20" s="274">
        <f>25314735.12</f>
        <v>25314735.120000001</v>
      </c>
      <c r="Z20" s="274">
        <v>476914.83</v>
      </c>
      <c r="AA20" s="274">
        <f>47379411.85+9367659.82</f>
        <v>56747071.670000002</v>
      </c>
      <c r="AB20" s="274">
        <v>869503.78</v>
      </c>
      <c r="AC20" s="277">
        <v>12240792.49</v>
      </c>
    </row>
    <row r="21" spans="1:29" s="150" customFormat="1" ht="18" customHeight="1" thickBot="1" x14ac:dyDescent="0.35">
      <c r="A21" s="2"/>
      <c r="B21" s="3"/>
      <c r="C21" s="33"/>
      <c r="D21" s="34"/>
      <c r="E21" s="35"/>
      <c r="F21" s="36"/>
      <c r="G21" s="65"/>
      <c r="H21" s="66"/>
      <c r="I21" s="159"/>
      <c r="J21" s="162"/>
      <c r="K21" s="204"/>
      <c r="L21" s="160"/>
      <c r="M21" s="160"/>
      <c r="N21" s="161"/>
      <c r="O21" s="159"/>
      <c r="P21" s="199"/>
      <c r="Q21" s="211"/>
      <c r="R21" s="162"/>
      <c r="S21" s="159"/>
      <c r="T21" s="161"/>
      <c r="U21" s="160"/>
      <c r="V21" s="161"/>
      <c r="W21" s="159"/>
      <c r="X21" s="159"/>
      <c r="Y21" s="159"/>
      <c r="Z21" s="161"/>
      <c r="AA21" s="161"/>
      <c r="AB21" s="159"/>
      <c r="AC21" s="163"/>
    </row>
    <row r="22" spans="1:29" s="152" customFormat="1" ht="18" customHeight="1" thickBot="1" x14ac:dyDescent="0.35">
      <c r="A22" s="19">
        <v>15</v>
      </c>
      <c r="B22" s="20"/>
      <c r="C22" s="21" t="s">
        <v>53</v>
      </c>
      <c r="D22" s="330">
        <f>SUM(D10-D20)</f>
        <v>883640953.63000011</v>
      </c>
      <c r="E22" s="32">
        <f>0+E10-E20</f>
        <v>238630318.89000022</v>
      </c>
      <c r="F22" s="327">
        <f>0+F10-F20</f>
        <v>-305940.38999999873</v>
      </c>
      <c r="G22" s="334">
        <f t="shared" ref="G22" si="2">SUM(G10-G20)</f>
        <v>645316575.12999988</v>
      </c>
      <c r="H22" s="32">
        <f>SUM(H10-H20)</f>
        <v>160170950.78</v>
      </c>
      <c r="I22" s="284">
        <f t="shared" ref="I22:AB22" si="3">SUM(I10-I20)</f>
        <v>20121.440000000177</v>
      </c>
      <c r="J22" s="270">
        <f t="shared" si="3"/>
        <v>11588030.700000003</v>
      </c>
      <c r="K22" s="285">
        <f t="shared" si="3"/>
        <v>19821178.440000001</v>
      </c>
      <c r="L22" s="284">
        <f t="shared" si="3"/>
        <v>34531937.510000005</v>
      </c>
      <c r="M22" s="284">
        <f t="shared" si="3"/>
        <v>742902.27</v>
      </c>
      <c r="N22" s="286">
        <f t="shared" si="3"/>
        <v>29581355.239999995</v>
      </c>
      <c r="O22" s="284">
        <f t="shared" si="3"/>
        <v>56152441.030000001</v>
      </c>
      <c r="P22" s="284">
        <f>SUM(P10-P20)</f>
        <v>1210530.02</v>
      </c>
      <c r="Q22" s="335">
        <f t="shared" si="3"/>
        <v>6659668.4000000004</v>
      </c>
      <c r="R22" s="270">
        <f t="shared" si="3"/>
        <v>91119102.880000025</v>
      </c>
      <c r="S22" s="284">
        <f t="shared" si="3"/>
        <v>1315790.0999999996</v>
      </c>
      <c r="T22" s="286">
        <f>SUM(T10-T20)</f>
        <v>63095209.06000001</v>
      </c>
      <c r="U22" s="284">
        <f>SUM(U10-U20)</f>
        <v>27521957.010000005</v>
      </c>
      <c r="V22" s="286">
        <f t="shared" si="3"/>
        <v>20897709.560000002</v>
      </c>
      <c r="W22" s="284">
        <f t="shared" si="3"/>
        <v>15842321.300000001</v>
      </c>
      <c r="X22" s="284">
        <f t="shared" si="3"/>
        <v>69399695.310000002</v>
      </c>
      <c r="Y22" s="284">
        <f t="shared" si="3"/>
        <v>13032038.849999998</v>
      </c>
      <c r="Z22" s="284">
        <f t="shared" si="3"/>
        <v>17136.260000000009</v>
      </c>
      <c r="AA22" s="286">
        <f t="shared" si="3"/>
        <v>48653051.529999986</v>
      </c>
      <c r="AB22" s="284">
        <f t="shared" si="3"/>
        <v>254996.24</v>
      </c>
      <c r="AC22" s="287">
        <f>SUM(AC10-AC20)</f>
        <v>11183294.839999998</v>
      </c>
    </row>
    <row r="23" spans="1:29" s="150" customFormat="1" ht="18" customHeight="1" x14ac:dyDescent="0.3">
      <c r="A23" s="2"/>
      <c r="B23" s="3"/>
      <c r="C23" s="33"/>
      <c r="D23" s="34"/>
      <c r="E23" s="35"/>
      <c r="F23" s="36"/>
      <c r="G23" s="65"/>
      <c r="H23" s="35"/>
      <c r="I23" s="164"/>
      <c r="J23" s="166"/>
      <c r="K23" s="205"/>
      <c r="L23" s="160"/>
      <c r="M23" s="160"/>
      <c r="N23" s="165"/>
      <c r="O23" s="160"/>
      <c r="P23" s="200"/>
      <c r="Q23" s="212"/>
      <c r="R23" s="166"/>
      <c r="S23" s="160"/>
      <c r="T23" s="165"/>
      <c r="U23" s="159"/>
      <c r="V23" s="165"/>
      <c r="W23" s="160"/>
      <c r="X23" s="160"/>
      <c r="Y23" s="160"/>
      <c r="Z23" s="165"/>
      <c r="AA23" s="165"/>
      <c r="AB23" s="160"/>
      <c r="AC23" s="167"/>
    </row>
    <row r="24" spans="1:29" s="150" customFormat="1" ht="18" customHeight="1" x14ac:dyDescent="0.3">
      <c r="A24" s="11">
        <v>16</v>
      </c>
      <c r="B24" s="12">
        <v>591</v>
      </c>
      <c r="C24" s="13" t="s">
        <v>37</v>
      </c>
      <c r="D24" s="14">
        <f>SUM(E24:G24)</f>
        <v>154683420.25999999</v>
      </c>
      <c r="E24" s="15">
        <v>8612614</v>
      </c>
      <c r="F24" s="316"/>
      <c r="G24" s="179">
        <f>SUM(H24:AC24)</f>
        <v>146070806.25999999</v>
      </c>
      <c r="H24" s="15">
        <v>29166576</v>
      </c>
      <c r="I24" s="55">
        <v>67855</v>
      </c>
      <c r="J24" s="56">
        <v>3673452</v>
      </c>
      <c r="K24" s="288">
        <v>5394774</v>
      </c>
      <c r="L24" s="289">
        <v>8566935</v>
      </c>
      <c r="M24" s="289">
        <v>218876</v>
      </c>
      <c r="N24" s="289">
        <v>8888480</v>
      </c>
      <c r="O24" s="289">
        <v>12122149</v>
      </c>
      <c r="P24" s="290">
        <v>526236</v>
      </c>
      <c r="Q24" s="210">
        <v>1374069</v>
      </c>
      <c r="R24" s="56">
        <v>11099120</v>
      </c>
      <c r="S24" s="289">
        <v>245576</v>
      </c>
      <c r="T24" s="289">
        <v>15488532</v>
      </c>
      <c r="U24" s="289">
        <v>2775086.26</v>
      </c>
      <c r="V24" s="289">
        <v>6144959</v>
      </c>
      <c r="W24" s="289">
        <v>4495571</v>
      </c>
      <c r="X24" s="289">
        <v>17439207</v>
      </c>
      <c r="Y24" s="289">
        <v>3664743</v>
      </c>
      <c r="Z24" s="289">
        <v>48896</v>
      </c>
      <c r="AA24" s="289">
        <v>10995696</v>
      </c>
      <c r="AB24" s="336">
        <v>156195</v>
      </c>
      <c r="AC24" s="63">
        <v>3517823</v>
      </c>
    </row>
    <row r="25" spans="1:29" s="150" customFormat="1" ht="18" customHeight="1" thickBot="1" x14ac:dyDescent="0.35">
      <c r="A25" s="2"/>
      <c r="B25" s="3"/>
      <c r="C25" s="33"/>
      <c r="D25" s="34"/>
      <c r="E25" s="35"/>
      <c r="F25" s="36"/>
      <c r="G25" s="65"/>
      <c r="H25" s="168"/>
      <c r="I25" s="169"/>
      <c r="J25" s="173"/>
      <c r="K25" s="206"/>
      <c r="L25" s="170"/>
      <c r="M25" s="170"/>
      <c r="N25" s="171"/>
      <c r="O25" s="172"/>
      <c r="P25" s="208"/>
      <c r="Q25" s="182"/>
      <c r="R25" s="173"/>
      <c r="S25" s="172"/>
      <c r="T25" s="171"/>
      <c r="U25" s="172"/>
      <c r="V25" s="171"/>
      <c r="W25" s="172"/>
      <c r="X25" s="172"/>
      <c r="Y25" s="172"/>
      <c r="Z25" s="171"/>
      <c r="AA25" s="171"/>
      <c r="AB25" s="172"/>
      <c r="AC25" s="174"/>
    </row>
    <row r="26" spans="1:29" s="150" customFormat="1" ht="18" customHeight="1" thickBot="1" x14ac:dyDescent="0.35">
      <c r="A26" s="175">
        <v>17</v>
      </c>
      <c r="B26" s="176"/>
      <c r="C26" s="37" t="s">
        <v>54</v>
      </c>
      <c r="D26" s="38">
        <f>D22-D24</f>
        <v>728957533.37000012</v>
      </c>
      <c r="E26" s="39">
        <f>0+E22-E24</f>
        <v>230017704.89000022</v>
      </c>
      <c r="F26" s="328">
        <f>0+F22-F24</f>
        <v>-305940.38999999873</v>
      </c>
      <c r="G26" s="337">
        <f t="shared" ref="G26" si="4">SUM(G22-G24)</f>
        <v>499245768.86999989</v>
      </c>
      <c r="H26" s="39">
        <f t="shared" ref="H26:AC26" si="5">SUM(H22-H24)</f>
        <v>131004374.78</v>
      </c>
      <c r="I26" s="291">
        <f t="shared" si="5"/>
        <v>-47733.559999999823</v>
      </c>
      <c r="J26" s="292">
        <f t="shared" si="5"/>
        <v>7914578.700000003</v>
      </c>
      <c r="K26" s="293">
        <f t="shared" si="5"/>
        <v>14426404.440000001</v>
      </c>
      <c r="L26" s="291">
        <f t="shared" si="5"/>
        <v>25965002.510000005</v>
      </c>
      <c r="M26" s="291">
        <f t="shared" si="5"/>
        <v>524026.27</v>
      </c>
      <c r="N26" s="294">
        <f t="shared" si="5"/>
        <v>20692875.239999995</v>
      </c>
      <c r="O26" s="291">
        <f t="shared" si="5"/>
        <v>44030292.030000001</v>
      </c>
      <c r="P26" s="295">
        <f t="shared" si="5"/>
        <v>684294.02</v>
      </c>
      <c r="Q26" s="338">
        <f t="shared" si="5"/>
        <v>5285599.4000000004</v>
      </c>
      <c r="R26" s="292">
        <f t="shared" si="5"/>
        <v>80019982.880000025</v>
      </c>
      <c r="S26" s="291">
        <f t="shared" si="5"/>
        <v>1070214.0999999996</v>
      </c>
      <c r="T26" s="294">
        <f t="shared" si="5"/>
        <v>47606677.06000001</v>
      </c>
      <c r="U26" s="291">
        <f>SUM(U22-U24)</f>
        <v>24746870.750000007</v>
      </c>
      <c r="V26" s="294">
        <f t="shared" si="5"/>
        <v>14752750.560000002</v>
      </c>
      <c r="W26" s="291">
        <f t="shared" si="5"/>
        <v>11346750.300000001</v>
      </c>
      <c r="X26" s="291">
        <f t="shared" si="5"/>
        <v>51960488.310000002</v>
      </c>
      <c r="Y26" s="291">
        <f t="shared" si="5"/>
        <v>9367295.8499999978</v>
      </c>
      <c r="Z26" s="291">
        <f t="shared" si="5"/>
        <v>-31759.739999999991</v>
      </c>
      <c r="AA26" s="294">
        <f t="shared" si="5"/>
        <v>37657355.529999986</v>
      </c>
      <c r="AB26" s="291">
        <f t="shared" si="5"/>
        <v>98801.239999999991</v>
      </c>
      <c r="AC26" s="296">
        <f t="shared" si="5"/>
        <v>7665471.839999998</v>
      </c>
    </row>
    <row r="27" spans="1:29" s="150" customFormat="1" ht="12.75" customHeight="1" thickTop="1" x14ac:dyDescent="0.3">
      <c r="A27" s="40"/>
      <c r="B27" s="40"/>
      <c r="C27" s="41"/>
      <c r="D27" s="42"/>
      <c r="E27" s="43"/>
      <c r="F27" s="43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67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9" s="150" customFormat="1" ht="18" customHeight="1" x14ac:dyDescent="0.3">
      <c r="A28" s="40"/>
      <c r="B28" s="40"/>
      <c r="C28" s="127" t="s">
        <v>44</v>
      </c>
      <c r="D28" s="42"/>
      <c r="E28" s="43"/>
      <c r="F28" s="43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9" s="150" customFormat="1" ht="9.75" customHeight="1" thickBot="1" x14ac:dyDescent="0.35">
      <c r="A29" s="40"/>
      <c r="B29" s="40"/>
      <c r="C29" s="127"/>
      <c r="D29" s="42"/>
      <c r="E29" s="43"/>
      <c r="F29" s="43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s="155" customFormat="1" ht="18" customHeight="1" x14ac:dyDescent="0.3">
      <c r="A30" s="146" t="s">
        <v>51</v>
      </c>
      <c r="B30" s="177">
        <v>385</v>
      </c>
      <c r="C30" s="119" t="s">
        <v>67</v>
      </c>
      <c r="D30" s="145">
        <f>SUM(E30:G30)</f>
        <v>23014370.310000002</v>
      </c>
      <c r="E30" s="322">
        <v>8903000</v>
      </c>
      <c r="F30" s="315"/>
      <c r="G30" s="315">
        <f>SUM(H30:AC30)</f>
        <v>14111370.310000001</v>
      </c>
      <c r="H30" s="297">
        <v>318750</v>
      </c>
      <c r="I30" s="298"/>
      <c r="J30" s="299"/>
      <c r="K30" s="300">
        <v>1411579</v>
      </c>
      <c r="L30" s="300"/>
      <c r="M30" s="300"/>
      <c r="N30" s="300">
        <v>8034581</v>
      </c>
      <c r="O30" s="300"/>
      <c r="P30" s="299">
        <v>122379</v>
      </c>
      <c r="Q30" s="301"/>
      <c r="R30" s="302"/>
      <c r="S30" s="300">
        <v>34450</v>
      </c>
      <c r="T30" s="300">
        <v>4070445.31</v>
      </c>
      <c r="U30" s="300">
        <v>104607</v>
      </c>
      <c r="V30" s="300"/>
      <c r="W30" s="301"/>
      <c r="X30" s="303"/>
      <c r="Y30" s="300"/>
      <c r="Z30" s="300"/>
      <c r="AA30" s="300"/>
      <c r="AB30" s="300">
        <v>14579</v>
      </c>
      <c r="AC30" s="304"/>
    </row>
    <row r="31" spans="1:29" s="155" customFormat="1" ht="18" customHeight="1" x14ac:dyDescent="0.3">
      <c r="A31" s="147" t="s">
        <v>49</v>
      </c>
      <c r="B31" s="118">
        <v>378</v>
      </c>
      <c r="C31" s="178" t="s">
        <v>39</v>
      </c>
      <c r="D31" s="14">
        <f>SUM(E31:G31)</f>
        <v>-308943677.31000006</v>
      </c>
      <c r="E31" s="15">
        <v>-100759015.31</v>
      </c>
      <c r="F31" s="255"/>
      <c r="G31" s="316">
        <f>SUM(H31:AC31)</f>
        <v>-208184662.00000006</v>
      </c>
      <c r="H31" s="339">
        <v>-206443895.09</v>
      </c>
      <c r="I31" s="340">
        <v>2123532.04</v>
      </c>
      <c r="J31" s="341">
        <v>5008805.2</v>
      </c>
      <c r="K31" s="342">
        <v>7142408.4000000004</v>
      </c>
      <c r="L31" s="342">
        <v>9922186.5700000003</v>
      </c>
      <c r="M31" s="342">
        <v>385194.25</v>
      </c>
      <c r="N31" s="289">
        <v>-40868827.789999999</v>
      </c>
      <c r="O31" s="342">
        <v>12633773.25</v>
      </c>
      <c r="P31" s="341">
        <v>2609392.16</v>
      </c>
      <c r="Q31" s="343">
        <v>3581981</v>
      </c>
      <c r="R31" s="56">
        <v>-34635343.740000002</v>
      </c>
      <c r="S31" s="342">
        <v>1241884</v>
      </c>
      <c r="T31" s="344">
        <v>-8757855.3900000006</v>
      </c>
      <c r="U31" s="289">
        <v>8046593.5099999998</v>
      </c>
      <c r="V31" s="289">
        <v>-7647744.8499999996</v>
      </c>
      <c r="W31" s="345">
        <v>13508708.119999999</v>
      </c>
      <c r="X31" s="346">
        <v>13453756.689999999</v>
      </c>
      <c r="Y31" s="342">
        <v>1697446.73</v>
      </c>
      <c r="Z31" s="342">
        <v>201157.56</v>
      </c>
      <c r="AA31" s="342">
        <v>7649392.5999999996</v>
      </c>
      <c r="AB31" s="342">
        <v>26310</v>
      </c>
      <c r="AC31" s="347">
        <v>936482.78</v>
      </c>
    </row>
    <row r="32" spans="1:29" s="68" customFormat="1" ht="19.5" thickBot="1" x14ac:dyDescent="0.35">
      <c r="A32" s="148" t="s">
        <v>50</v>
      </c>
      <c r="B32" s="120">
        <v>241</v>
      </c>
      <c r="C32" s="153" t="s">
        <v>45</v>
      </c>
      <c r="D32" s="144">
        <f>SUM(E32:G32)</f>
        <v>1233471121.2099998</v>
      </c>
      <c r="E32" s="323">
        <v>174396119.94999999</v>
      </c>
      <c r="F32" s="317">
        <v>513602.59</v>
      </c>
      <c r="G32" s="317">
        <f>SUM(H32:AC32)</f>
        <v>1058561398.6699998</v>
      </c>
      <c r="H32" s="305">
        <v>211897025.94999999</v>
      </c>
      <c r="I32" s="306">
        <v>1742594.77</v>
      </c>
      <c r="J32" s="348">
        <v>76139870.489999995</v>
      </c>
      <c r="K32" s="349">
        <v>28680373.260000002</v>
      </c>
      <c r="L32" s="349">
        <v>67029773.469999999</v>
      </c>
      <c r="M32" s="349">
        <v>5237942.45</v>
      </c>
      <c r="N32" s="349">
        <v>49343210.869999997</v>
      </c>
      <c r="O32" s="349">
        <v>64194067.600000001</v>
      </c>
      <c r="P32" s="348">
        <v>3978449.97</v>
      </c>
      <c r="Q32" s="350">
        <v>14299894.949999999</v>
      </c>
      <c r="R32" s="351">
        <v>108689552.7</v>
      </c>
      <c r="S32" s="349">
        <v>9637544.2699999996</v>
      </c>
      <c r="T32" s="352">
        <v>75035377.25</v>
      </c>
      <c r="U32" s="349">
        <v>28454961.390000001</v>
      </c>
      <c r="V32" s="349">
        <v>23645356.530000001</v>
      </c>
      <c r="W32" s="350">
        <v>49136405.759999998</v>
      </c>
      <c r="X32" s="353">
        <v>72007887.189999998</v>
      </c>
      <c r="Y32" s="349">
        <v>38824162.82</v>
      </c>
      <c r="Z32" s="349">
        <v>2412523.6800000002</v>
      </c>
      <c r="AA32" s="349">
        <v>100406641.92</v>
      </c>
      <c r="AB32" s="349">
        <v>1307187.8899999999</v>
      </c>
      <c r="AC32" s="354">
        <v>26460593.489999998</v>
      </c>
    </row>
    <row r="33" spans="1:29" s="68" customFormat="1" ht="19.5" thickBot="1" x14ac:dyDescent="0.35">
      <c r="A33" s="148" t="s">
        <v>65</v>
      </c>
      <c r="B33" s="120">
        <v>432</v>
      </c>
      <c r="C33" s="153" t="s">
        <v>66</v>
      </c>
      <c r="D33" s="144">
        <f>SUM(E33:G33)</f>
        <v>671150359.72000003</v>
      </c>
      <c r="E33" s="323">
        <v>21626375.09</v>
      </c>
      <c r="F33" s="317">
        <v>1026305.42</v>
      </c>
      <c r="G33" s="317">
        <f>SUM(H33:AC33)</f>
        <v>648497679.21000004</v>
      </c>
      <c r="H33" s="305">
        <v>359987045.56</v>
      </c>
      <c r="I33" s="306">
        <v>2667126.5699999998</v>
      </c>
      <c r="J33" s="306">
        <v>79017185.260000005</v>
      </c>
      <c r="K33" s="307"/>
      <c r="L33" s="308">
        <v>34402663.520000003</v>
      </c>
      <c r="M33" s="308">
        <v>2484155.81</v>
      </c>
      <c r="N33" s="308">
        <v>38839272.359999999</v>
      </c>
      <c r="O33" s="307"/>
      <c r="P33" s="309"/>
      <c r="Q33" s="310">
        <v>2176192.92</v>
      </c>
      <c r="R33" s="311"/>
      <c r="S33" s="308">
        <v>9827747.25</v>
      </c>
      <c r="T33" s="312">
        <v>0</v>
      </c>
      <c r="U33" s="308">
        <v>9131955.0099999998</v>
      </c>
      <c r="V33" s="308">
        <v>5020415.08</v>
      </c>
      <c r="W33" s="310">
        <v>15492560.539999999</v>
      </c>
      <c r="X33" s="313"/>
      <c r="Y33" s="308">
        <v>19546378.079999998</v>
      </c>
      <c r="Z33" s="308">
        <v>1255378.22</v>
      </c>
      <c r="AA33" s="308">
        <v>55358703.380000003</v>
      </c>
      <c r="AB33" s="308">
        <v>1223233.4099999999</v>
      </c>
      <c r="AC33" s="314">
        <v>12067666.24</v>
      </c>
    </row>
    <row r="34" spans="1:29" s="150" customFormat="1" ht="18" x14ac:dyDescent="0.25">
      <c r="E34" s="47"/>
      <c r="F34" s="47"/>
      <c r="G34" s="47"/>
      <c r="H34" s="47"/>
      <c r="I34" s="47"/>
      <c r="J34" s="47"/>
      <c r="K34" s="47"/>
      <c r="L34" s="47"/>
      <c r="M34" s="155"/>
    </row>
    <row r="35" spans="1:29" ht="18" x14ac:dyDescent="0.25">
      <c r="E35" s="47"/>
      <c r="F35" s="47"/>
      <c r="G35" s="49"/>
      <c r="H35" s="47"/>
      <c r="I35" s="47"/>
      <c r="J35" s="47"/>
      <c r="K35" s="47"/>
      <c r="L35" s="47"/>
      <c r="M35" s="48"/>
      <c r="W35" s="196"/>
    </row>
    <row r="36" spans="1:29" ht="18" x14ac:dyDescent="0.25">
      <c r="E36" s="47"/>
      <c r="F36" s="47"/>
      <c r="G36" s="47"/>
      <c r="H36" s="47"/>
      <c r="I36" s="47"/>
      <c r="J36" s="47"/>
      <c r="K36" s="47"/>
      <c r="L36" s="47"/>
      <c r="M36" s="48"/>
    </row>
    <row r="37" spans="1:29" ht="18" x14ac:dyDescent="0.25">
      <c r="D37" s="48"/>
      <c r="E37" s="50"/>
      <c r="F37" s="50"/>
      <c r="G37" s="50"/>
      <c r="H37" s="50"/>
      <c r="I37" s="50"/>
      <c r="J37" s="50"/>
      <c r="K37" s="50"/>
      <c r="L37" s="50"/>
    </row>
    <row r="38" spans="1:29" ht="18" x14ac:dyDescent="0.25">
      <c r="E38" s="50"/>
      <c r="F38" s="50"/>
      <c r="G38" s="50"/>
      <c r="H38" s="50"/>
      <c r="I38" s="50"/>
      <c r="J38" s="50"/>
      <c r="K38" s="50"/>
      <c r="L38" s="50"/>
    </row>
    <row r="39" spans="1:29" ht="18" x14ac:dyDescent="0.25">
      <c r="E39" s="50"/>
      <c r="F39" s="50"/>
      <c r="G39" s="50"/>
      <c r="H39" s="50"/>
      <c r="I39" s="50"/>
      <c r="J39" s="50"/>
      <c r="K39" s="50"/>
      <c r="L39" s="50"/>
    </row>
    <row r="40" spans="1:29" ht="18" x14ac:dyDescent="0.25">
      <c r="E40" s="50"/>
      <c r="F40" s="50"/>
      <c r="G40" s="50"/>
      <c r="H40" s="50"/>
      <c r="I40" s="50"/>
      <c r="J40" s="50"/>
      <c r="K40" s="50"/>
      <c r="L40" s="50"/>
    </row>
    <row r="41" spans="1:29" ht="18" x14ac:dyDescent="0.25">
      <c r="E41" s="50"/>
      <c r="F41" s="50"/>
      <c r="G41" s="50"/>
      <c r="H41" s="50"/>
      <c r="I41" s="50"/>
      <c r="J41" s="50"/>
      <c r="K41" s="50"/>
      <c r="L41" s="50"/>
    </row>
    <row r="42" spans="1:29" ht="18" x14ac:dyDescent="0.25">
      <c r="E42" s="50"/>
      <c r="F42" s="50"/>
      <c r="G42" s="50"/>
      <c r="H42" s="50"/>
      <c r="I42" s="50"/>
      <c r="J42" s="50"/>
      <c r="K42" s="50"/>
      <c r="L42" s="50"/>
    </row>
    <row r="43" spans="1:29" ht="18" x14ac:dyDescent="0.25">
      <c r="E43" s="50"/>
      <c r="F43" s="50"/>
      <c r="G43" s="50"/>
      <c r="H43" s="50"/>
      <c r="I43" s="50"/>
      <c r="J43" s="50"/>
      <c r="K43" s="50"/>
      <c r="L43" s="50"/>
    </row>
    <row r="44" spans="1:29" ht="18" x14ac:dyDescent="0.25">
      <c r="E44" s="50"/>
      <c r="F44" s="50"/>
      <c r="G44" s="50"/>
      <c r="H44" s="50"/>
      <c r="I44" s="50"/>
      <c r="J44" s="50"/>
      <c r="K44" s="50"/>
      <c r="L44" s="50"/>
    </row>
    <row r="45" spans="1:29" ht="18" x14ac:dyDescent="0.25">
      <c r="E45" s="50"/>
      <c r="F45" s="50"/>
      <c r="G45" s="50"/>
      <c r="H45" s="50"/>
      <c r="I45" s="50"/>
      <c r="J45" s="50"/>
      <c r="K45" s="50"/>
      <c r="L45" s="50"/>
    </row>
  </sheetData>
  <mergeCells count="30">
    <mergeCell ref="AA1:AA3"/>
    <mergeCell ref="AB1:AB3"/>
    <mergeCell ref="AC1:AC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  <mergeCell ref="E2:E3"/>
    <mergeCell ref="F2:F3"/>
  </mergeCells>
  <phoneticPr fontId="0" type="noConversion"/>
  <printOptions horizontalCentered="1"/>
  <pageMargins left="0.51181102362204722" right="0.51181102362204722" top="1.6535433070866143" bottom="0.9055118110236221" header="1.0236220472440944" footer="0.51181102362204722"/>
  <pageSetup paperSize="9" scale="68" fitToHeight="4" orientation="landscape" r:id="rId1"/>
  <headerFooter alignWithMargins="0">
    <oddHeader>&amp;C&amp;"Times New Roman CE,Tučné"&amp;20Přehled o vedlejší hospodářské činnosti statutárního města Brna za rok 2016 (v Kč)</oddHeader>
    <oddFooter>&amp;R&amp;P/&amp;N</oddFooter>
  </headerFooter>
  <colBreaks count="3" manualBreakCount="3">
    <brk id="9" max="1048575" man="1"/>
    <brk id="16" max="1048575" man="1"/>
    <brk id="2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K6F56YJ4D42X-540-959</_dlc_DocId>
    <_dlc_DocIdUrl xmlns="fc3156d0-6477-4e59-85db-677a3ac3ddef">
      <Url>http://sharepoint.brno.cz/ORF/rozpocet/_layouts/15/DocIdRedir.aspx?ID=K6F56YJ4D42X-540-959</Url>
      <Description>K6F56YJ4D42X-540-959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8DBDF4-1F82-4D68-AF04-6805B5C346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947C8-6095-4375-B8A5-42072F39F368}">
  <ds:schemaRefs>
    <ds:schemaRef ds:uri="626c80ca-c64a-4e2b-8fdc-4ca129da90da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fc3156d0-6477-4e59-85db-677a3ac3ddef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16CF3D-94D0-4BAC-AE16-C17FA9844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E41371-D2B6-46FD-82E5-1C31927F823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6696589-CE32-412E-BD5F-1455EB79B3D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VHČ 2016 (v tis.Kč)</vt:lpstr>
      <vt:lpstr>VHČ 2016 (v Kč)</vt:lpstr>
      <vt:lpstr>'VHČ 2016 (v Kč)'!Názvy_tisku</vt:lpstr>
      <vt:lpstr>'VHČ 2016 (v tis.Kč)'!Názvy_tisku</vt:lpstr>
      <vt:lpstr>'VHČ 2016 (v Kč)'!Oblast_tisku</vt:lpstr>
      <vt:lpstr>'VHČ 2016 (v tis.Kč)'!Oblast_tisku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2017-06-19T09:35:19Z</cp:lastPrinted>
  <dcterms:created xsi:type="dcterms:W3CDTF">2011-02-10T08:15:55Z</dcterms:created>
  <dcterms:modified xsi:type="dcterms:W3CDTF">2017-06-19T09:35:20Z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K6F56YJ4D42X-540-159</vt:lpwstr>
  </property>
  <property fmtid="{D5CDD505-2E9C-101B-9397-08002B2CF9AE}" pid="3" name="_dlc_DocIdItemGuid">
    <vt:lpwstr>2c4ed2f5-0c39-401c-9031-69aec3100f9d</vt:lpwstr>
  </property>
  <property fmtid="{D5CDD505-2E9C-101B-9397-08002B2CF9AE}" pid="4" name="_dlc_DocIdUrl">
    <vt:lpwstr>http://project.brno.cz/ORF/RI/_layouts/DocIdRedir.aspx?ID=K6F56YJ4D42X-540-159, K6F56YJ4D42X-540-159</vt:lpwstr>
  </property>
  <property fmtid="{D5CDD505-2E9C-101B-9397-08002B2CF9AE}" pid="5" name="ContentTypeId">
    <vt:lpwstr>0x010100C27D4E3435A3B64688955AA93779053B</vt:lpwstr>
  </property>
  <property fmtid="{D5CDD505-2E9C-101B-9397-08002B2CF9AE}" pid="6" name="Rok">
    <vt:lpwstr/>
  </property>
</Properties>
</file>