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ávěrečný účet\Závěrečný účet 2016\INTERNET\"/>
    </mc:Choice>
  </mc:AlternateContent>
  <bookViews>
    <workbookView xWindow="0" yWindow="0" windowWidth="28800" windowHeight="12195"/>
  </bookViews>
  <sheets>
    <sheet name="HV" sheetId="2" r:id="rId1"/>
    <sheet name="backup" sheetId="3" state="hidden" r:id="rId2"/>
  </sheets>
  <definedNames>
    <definedName name="_xlnm.Print_Titles" localSheetId="1">backup!$1:$5</definedName>
    <definedName name="_xlnm.Print_Area" localSheetId="1">backup!$A$1:$N$117</definedName>
    <definedName name="_xlnm.Print_Area" localSheetId="0">HV!$A$1:$E$39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33" i="2"/>
  <c r="B9" i="2"/>
  <c r="T18" i="3" s="1"/>
  <c r="S18" i="3" s="1"/>
  <c r="B7" i="2"/>
  <c r="T15" i="3" s="1"/>
  <c r="S15" i="3" s="1"/>
  <c r="B4" i="2"/>
  <c r="B5" i="2"/>
  <c r="B6" i="2"/>
  <c r="T12" i="3" s="1"/>
  <c r="S12" i="3" s="1"/>
  <c r="B26" i="2"/>
  <c r="T66" i="3" s="1"/>
  <c r="S66" i="3" s="1"/>
  <c r="B27" i="2"/>
  <c r="B28" i="2"/>
  <c r="B29" i="2"/>
  <c r="B30" i="2"/>
  <c r="T78" i="3" s="1"/>
  <c r="S78" i="3" s="1"/>
  <c r="B31" i="2"/>
  <c r="B32" i="2"/>
  <c r="D39" i="2"/>
  <c r="C39" i="2"/>
  <c r="E5" i="2"/>
  <c r="E6" i="2"/>
  <c r="E7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4" i="2"/>
  <c r="N111" i="3"/>
  <c r="M111" i="3"/>
  <c r="N110" i="3"/>
  <c r="M110" i="3"/>
  <c r="L110" i="3"/>
  <c r="K110" i="3"/>
  <c r="I110" i="3"/>
  <c r="G110" i="3"/>
  <c r="F110" i="3"/>
  <c r="E110" i="3"/>
  <c r="D110" i="3"/>
  <c r="C110" i="3"/>
  <c r="N104" i="3"/>
  <c r="M104" i="3"/>
  <c r="H102" i="3"/>
  <c r="N101" i="3"/>
  <c r="M101" i="3"/>
  <c r="I101" i="3"/>
  <c r="L100" i="3"/>
  <c r="L101" i="3"/>
  <c r="K100" i="3"/>
  <c r="K101" i="3"/>
  <c r="T99" i="3"/>
  <c r="H99" i="3"/>
  <c r="S99" i="3"/>
  <c r="N98" i="3"/>
  <c r="M98" i="3"/>
  <c r="I98" i="3"/>
  <c r="L97" i="3"/>
  <c r="L98" i="3"/>
  <c r="K97" i="3"/>
  <c r="K98" i="3"/>
  <c r="T96" i="3"/>
  <c r="H96" i="3"/>
  <c r="N95" i="3"/>
  <c r="M95" i="3"/>
  <c r="I95" i="3"/>
  <c r="L94" i="3"/>
  <c r="L95" i="3" s="1"/>
  <c r="K94" i="3"/>
  <c r="K95" i="3"/>
  <c r="T93" i="3"/>
  <c r="S93" i="3" s="1"/>
  <c r="H93" i="3"/>
  <c r="N92" i="3"/>
  <c r="M92" i="3"/>
  <c r="L91" i="3"/>
  <c r="L92" i="3" s="1"/>
  <c r="K91" i="3"/>
  <c r="K92" i="3"/>
  <c r="H90" i="3"/>
  <c r="N89" i="3"/>
  <c r="M89" i="3"/>
  <c r="L88" i="3"/>
  <c r="L89" i="3"/>
  <c r="K88" i="3"/>
  <c r="K89" i="3"/>
  <c r="H87" i="3"/>
  <c r="N86" i="3"/>
  <c r="M86" i="3"/>
  <c r="L85" i="3"/>
  <c r="Q84" i="3" s="1"/>
  <c r="L86" i="3"/>
  <c r="H84" i="3"/>
  <c r="N83" i="3"/>
  <c r="M83" i="3"/>
  <c r="L82" i="3"/>
  <c r="L83" i="3"/>
  <c r="H81" i="3"/>
  <c r="N80" i="3"/>
  <c r="M80" i="3"/>
  <c r="L79" i="3"/>
  <c r="L80" i="3" s="1"/>
  <c r="K79" i="3"/>
  <c r="K80" i="3"/>
  <c r="H78" i="3"/>
  <c r="N77" i="3"/>
  <c r="M77" i="3"/>
  <c r="L76" i="3"/>
  <c r="Q75" i="3" s="1"/>
  <c r="L77" i="3"/>
  <c r="K76" i="3"/>
  <c r="K77" i="3"/>
  <c r="H75" i="3"/>
  <c r="N74" i="3"/>
  <c r="M74" i="3"/>
  <c r="I74" i="3"/>
  <c r="L73" i="3"/>
  <c r="L74" i="3"/>
  <c r="K73" i="3"/>
  <c r="K74" i="3"/>
  <c r="H72" i="3"/>
  <c r="N71" i="3"/>
  <c r="M71" i="3"/>
  <c r="L70" i="3"/>
  <c r="L71" i="3"/>
  <c r="K70" i="3"/>
  <c r="K71" i="3" s="1"/>
  <c r="H69" i="3"/>
  <c r="N68" i="3"/>
  <c r="M68" i="3"/>
  <c r="L67" i="3"/>
  <c r="L68" i="3"/>
  <c r="K67" i="3"/>
  <c r="K68" i="3"/>
  <c r="H66" i="3"/>
  <c r="N65" i="3"/>
  <c r="M65" i="3"/>
  <c r="L64" i="3"/>
  <c r="L65" i="3" s="1"/>
  <c r="K64" i="3"/>
  <c r="K65" i="3"/>
  <c r="T63" i="3"/>
  <c r="S63" i="3" s="1"/>
  <c r="H63" i="3"/>
  <c r="N62" i="3"/>
  <c r="M62" i="3"/>
  <c r="L61" i="3"/>
  <c r="L62" i="3"/>
  <c r="K61" i="3"/>
  <c r="K62" i="3"/>
  <c r="T60" i="3"/>
  <c r="H60" i="3"/>
  <c r="N59" i="3"/>
  <c r="M59" i="3"/>
  <c r="L58" i="3"/>
  <c r="L59" i="3"/>
  <c r="K58" i="3"/>
  <c r="K59" i="3"/>
  <c r="T57" i="3"/>
  <c r="H57" i="3"/>
  <c r="S57" i="3"/>
  <c r="N56" i="3"/>
  <c r="M56" i="3"/>
  <c r="L55" i="3"/>
  <c r="L56" i="3"/>
  <c r="K55" i="3"/>
  <c r="K56" i="3" s="1"/>
  <c r="T54" i="3"/>
  <c r="H54" i="3"/>
  <c r="N53" i="3"/>
  <c r="M53" i="3"/>
  <c r="L52" i="3"/>
  <c r="L53" i="3"/>
  <c r="K52" i="3"/>
  <c r="K53" i="3" s="1"/>
  <c r="T51" i="3"/>
  <c r="H51" i="3"/>
  <c r="S51" i="3"/>
  <c r="N50" i="3"/>
  <c r="M50" i="3"/>
  <c r="L49" i="3"/>
  <c r="L50" i="3"/>
  <c r="K49" i="3"/>
  <c r="K50" i="3"/>
  <c r="T48" i="3"/>
  <c r="S48" i="3" s="1"/>
  <c r="H48" i="3"/>
  <c r="N47" i="3"/>
  <c r="M47" i="3"/>
  <c r="L46" i="3"/>
  <c r="L47" i="3"/>
  <c r="K46" i="3"/>
  <c r="K47" i="3"/>
  <c r="T45" i="3"/>
  <c r="S45" i="3" s="1"/>
  <c r="H45" i="3"/>
  <c r="N44" i="3"/>
  <c r="M44" i="3"/>
  <c r="L43" i="3"/>
  <c r="L44" i="3" s="1"/>
  <c r="K43" i="3"/>
  <c r="K44" i="3"/>
  <c r="T42" i="3"/>
  <c r="S42" i="3" s="1"/>
  <c r="H42" i="3"/>
  <c r="N41" i="3"/>
  <c r="M41" i="3"/>
  <c r="L40" i="3"/>
  <c r="L41" i="3" s="1"/>
  <c r="K40" i="3"/>
  <c r="K41" i="3"/>
  <c r="T39" i="3"/>
  <c r="S39" i="3" s="1"/>
  <c r="H39" i="3"/>
  <c r="N38" i="3"/>
  <c r="M38" i="3"/>
  <c r="L37" i="3"/>
  <c r="L38" i="3"/>
  <c r="K37" i="3"/>
  <c r="K38" i="3"/>
  <c r="T36" i="3"/>
  <c r="H36" i="3"/>
  <c r="N35" i="3"/>
  <c r="M35" i="3"/>
  <c r="L34" i="3"/>
  <c r="L35" i="3"/>
  <c r="K34" i="3"/>
  <c r="K35" i="3"/>
  <c r="T33" i="3"/>
  <c r="H33" i="3"/>
  <c r="S33" i="3"/>
  <c r="N32" i="3"/>
  <c r="M32" i="3"/>
  <c r="L31" i="3"/>
  <c r="L32" i="3"/>
  <c r="K31" i="3"/>
  <c r="K32" i="3" s="1"/>
  <c r="T30" i="3"/>
  <c r="H30" i="3"/>
  <c r="N29" i="3"/>
  <c r="M29" i="3"/>
  <c r="I29" i="3"/>
  <c r="L28" i="3"/>
  <c r="Q27" i="3" s="1"/>
  <c r="L29" i="3"/>
  <c r="T27" i="3"/>
  <c r="H27" i="3"/>
  <c r="S27" i="3"/>
  <c r="N26" i="3"/>
  <c r="M26" i="3"/>
  <c r="K26" i="3"/>
  <c r="L25" i="3"/>
  <c r="L26" i="3"/>
  <c r="T24" i="3"/>
  <c r="S24" i="3"/>
  <c r="N23" i="3"/>
  <c r="M23" i="3"/>
  <c r="I23" i="3"/>
  <c r="L22" i="3"/>
  <c r="L23" i="3"/>
  <c r="T21" i="3"/>
  <c r="S21" i="3" s="1"/>
  <c r="H21" i="3"/>
  <c r="N20" i="3"/>
  <c r="M20" i="3"/>
  <c r="I20" i="3"/>
  <c r="L19" i="3"/>
  <c r="L20" i="3"/>
  <c r="K19" i="3"/>
  <c r="K20" i="3"/>
  <c r="H18" i="3"/>
  <c r="N17" i="3"/>
  <c r="M17" i="3"/>
  <c r="I17" i="3"/>
  <c r="L16" i="3"/>
  <c r="L17" i="3"/>
  <c r="K16" i="3"/>
  <c r="K17" i="3"/>
  <c r="H15" i="3"/>
  <c r="N14" i="3"/>
  <c r="M14" i="3"/>
  <c r="I14" i="3"/>
  <c r="L13" i="3"/>
  <c r="L14" i="3"/>
  <c r="K13" i="3"/>
  <c r="K14" i="3"/>
  <c r="H12" i="3"/>
  <c r="N11" i="3"/>
  <c r="M11" i="3"/>
  <c r="M8" i="3"/>
  <c r="M112" i="3"/>
  <c r="L10" i="3"/>
  <c r="L11" i="3"/>
  <c r="K10" i="3"/>
  <c r="K11" i="3" s="1"/>
  <c r="K112" i="3" s="1"/>
  <c r="H9" i="3"/>
  <c r="N8" i="3"/>
  <c r="L7" i="3"/>
  <c r="L8" i="3" s="1"/>
  <c r="K7" i="3"/>
  <c r="K111" i="3" s="1"/>
  <c r="K8" i="3"/>
  <c r="H6" i="3"/>
  <c r="N112" i="3"/>
  <c r="S96" i="3"/>
  <c r="Q96" i="3"/>
  <c r="Q12" i="3"/>
  <c r="Q99" i="3"/>
  <c r="Q21" i="3"/>
  <c r="Q69" i="3"/>
  <c r="S30" i="3"/>
  <c r="Q33" i="3"/>
  <c r="Q45" i="3"/>
  <c r="S54" i="3"/>
  <c r="Q57" i="3"/>
  <c r="S36" i="3"/>
  <c r="Q39" i="3"/>
  <c r="Q51" i="3"/>
  <c r="S60" i="3"/>
  <c r="Q63" i="3"/>
  <c r="H110" i="3"/>
  <c r="Q9" i="3"/>
  <c r="Q18" i="3"/>
  <c r="Q81" i="3"/>
  <c r="Q87" i="3"/>
  <c r="Q15" i="3"/>
  <c r="Q24" i="3"/>
  <c r="Q30" i="3"/>
  <c r="Q36" i="3"/>
  <c r="Q48" i="3"/>
  <c r="Q54" i="3"/>
  <c r="Q60" i="3"/>
  <c r="Q66" i="3"/>
  <c r="Q72" i="3"/>
  <c r="K85" i="3"/>
  <c r="K86" i="3" s="1"/>
  <c r="T90" i="3"/>
  <c r="S90" i="3"/>
  <c r="T84" i="3"/>
  <c r="S84" i="3" s="1"/>
  <c r="K22" i="3"/>
  <c r="T75" i="3"/>
  <c r="S75" i="3"/>
  <c r="K82" i="3"/>
  <c r="K83" i="3"/>
  <c r="T6" i="3"/>
  <c r="S6" i="3"/>
  <c r="K28" i="3"/>
  <c r="K29" i="3"/>
  <c r="T69" i="3"/>
  <c r="S69" i="3"/>
  <c r="T9" i="3"/>
  <c r="S9" i="3"/>
  <c r="T72" i="3"/>
  <c r="S72" i="3"/>
  <c r="T81" i="3"/>
  <c r="S81" i="3"/>
  <c r="T87" i="3"/>
  <c r="S87" i="3"/>
  <c r="L103" i="3"/>
  <c r="Q102" i="3" s="1"/>
  <c r="K103" i="3"/>
  <c r="K104" i="3" s="1"/>
  <c r="L111" i="3"/>
  <c r="T102" i="3"/>
  <c r="S102" i="3"/>
  <c r="K23" i="3"/>
  <c r="Q90" i="3" l="1"/>
  <c r="B39" i="2"/>
  <c r="H114" i="3"/>
  <c r="H116" i="3" s="1"/>
  <c r="L104" i="3"/>
  <c r="L112" i="3" s="1"/>
  <c r="Q42" i="3"/>
  <c r="Q78" i="3"/>
  <c r="Q93" i="3"/>
  <c r="Q6" i="3"/>
</calcChain>
</file>

<file path=xl/comments1.xml><?xml version="1.0" encoding="utf-8"?>
<comments xmlns="http://schemas.openxmlformats.org/spreadsheetml/2006/main">
  <authors>
    <author>Jiří Trnečka</author>
  </authors>
  <commentList>
    <comment ref="O3" authorId="0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zřejmě nebude využito</t>
        </r>
      </text>
    </comment>
  </commentList>
</comments>
</file>

<file path=xl/sharedStrings.xml><?xml version="1.0" encoding="utf-8"?>
<sst xmlns="http://schemas.openxmlformats.org/spreadsheetml/2006/main" count="253" uniqueCount="76">
  <si>
    <t>Základní údaje o hospodaření příspěvkových organizací, zřízených městem Brnem</t>
  </si>
  <si>
    <t xml:space="preserve"> (v tis. Kč)</t>
  </si>
  <si>
    <t>Správce rozpočtových prostředků</t>
  </si>
  <si>
    <t>Výnosy</t>
  </si>
  <si>
    <t>Náklady</t>
  </si>
  <si>
    <t>Hospodářský výsledek 2015</t>
  </si>
  <si>
    <t>Fondy / finanční vypořádání</t>
  </si>
  <si>
    <t>Fond odměn</t>
  </si>
  <si>
    <t>FKSP</t>
  </si>
  <si>
    <t>Fond investic</t>
  </si>
  <si>
    <t>Rezervní fond</t>
  </si>
  <si>
    <t>Neuhrazená ztráta 2015</t>
  </si>
  <si>
    <t>HV</t>
  </si>
  <si>
    <t>Upravený finanční plán</t>
  </si>
  <si>
    <t>Skutečnost                          k 31. 12. 2015</t>
  </si>
  <si>
    <t>zhoršený (-)</t>
  </si>
  <si>
    <t>zlepšený (+)</t>
  </si>
  <si>
    <t>stav k 31. 12. 2015</t>
  </si>
  <si>
    <t>návrh přídělu</t>
  </si>
  <si>
    <t>celkem po FV</t>
  </si>
  <si>
    <t>Zoo Brno a stanice zájmových činností</t>
  </si>
  <si>
    <t>Veřejná zeleň města Brna</t>
  </si>
  <si>
    <t>Sdružení zdravotnických zařízení II Brno</t>
  </si>
  <si>
    <t>Odbor zdraví</t>
  </si>
  <si>
    <t>Nemocnice Milosrdných bratří</t>
  </si>
  <si>
    <t>Úrazová nemocnice v Brně</t>
  </si>
  <si>
    <t>návrh zapojení</t>
  </si>
  <si>
    <t>Chovánek - dětské centrum rodinného typu</t>
  </si>
  <si>
    <t>Centrum sociálních služeb</t>
  </si>
  <si>
    <t>Domov pro seniory Nopova</t>
  </si>
  <si>
    <t>Domov pro seniory Věstonická</t>
  </si>
  <si>
    <t>Domov pro seniory Foltýnova</t>
  </si>
  <si>
    <t>Domov pro seniory Koniklecová</t>
  </si>
  <si>
    <t>Domov pro seniory Okružní</t>
  </si>
  <si>
    <t>Domov pro seniory Podpěrova</t>
  </si>
  <si>
    <t>Domov pro seniory Vychodilova</t>
  </si>
  <si>
    <t>Domov pro seniory Mikuláškovo náměstí</t>
  </si>
  <si>
    <t>Domov pro seniory Holásecká</t>
  </si>
  <si>
    <t>Národní divadlo Brno</t>
  </si>
  <si>
    <t>Odbor kultury</t>
  </si>
  <si>
    <t>Městské divadlo Brno</t>
  </si>
  <si>
    <t>Divadlo Radost</t>
  </si>
  <si>
    <t>Knihovna Jiřího Mahena v Brně</t>
  </si>
  <si>
    <t>Hvězdárna a planetárium Brno</t>
  </si>
  <si>
    <t>Mateřská škola Brno, Veslařská</t>
  </si>
  <si>
    <t>Mateřská škola Brno, Štolcova</t>
  </si>
  <si>
    <t>Základní škola Brno, Čejkovická</t>
  </si>
  <si>
    <t>Waldorfská ZŠ a MŠ Brno, Plovdivská</t>
  </si>
  <si>
    <t>CELKEM</t>
  </si>
  <si>
    <t>celkem</t>
  </si>
  <si>
    <t>Kancelář strategie města</t>
  </si>
  <si>
    <t>Odbor životního prostředí</t>
  </si>
  <si>
    <t>Odbor sociální péče</t>
  </si>
  <si>
    <t>Odbor školství, mládeže a tělovýchovy</t>
  </si>
  <si>
    <t>Pohledávky k 31. 12. 2014</t>
  </si>
  <si>
    <t>Závazky k 31. 12. 2014</t>
  </si>
  <si>
    <t xml:space="preserve">Příspěvková organizace </t>
  </si>
  <si>
    <t>Fond odměn               - % HV</t>
  </si>
  <si>
    <t>(v Kč)</t>
  </si>
  <si>
    <t>Název příspěvkové organizace</t>
  </si>
  <si>
    <t>Výsledek hospodaření po zdanění</t>
  </si>
  <si>
    <t>Návrh přídělu do rezervního fondu</t>
  </si>
  <si>
    <t>Návrh přídělu do fondu odměn</t>
  </si>
  <si>
    <t>Turistické informační centrum města Brna</t>
  </si>
  <si>
    <t>Správa hřbitovů města Brna</t>
  </si>
  <si>
    <t>Domov pro seniory Kociánka</t>
  </si>
  <si>
    <t>Domov pro seniory Kosmonautů</t>
  </si>
  <si>
    <t>Centrum experimentálního divadla</t>
  </si>
  <si>
    <t>Filharmonie Brno</t>
  </si>
  <si>
    <t>Muzeum města Brna</t>
  </si>
  <si>
    <t>Dům umění města Brna</t>
  </si>
  <si>
    <t>HV z listu HV</t>
  </si>
  <si>
    <t>Průměrná odměna na 1 zaměstnance</t>
  </si>
  <si>
    <t>Kancelář architekta města Brna</t>
  </si>
  <si>
    <t>DROM, romské středisko</t>
  </si>
  <si>
    <t>Rozdělení hospodářského výsledku příspěvkových organizací za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</si>
</sst>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Calibri Light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sz val="10"/>
      <name val="Arial CE"/>
      <charset val="238"/>
    </font>
    <font>
      <sz val="14"/>
      <name val="Calibri Light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3" fontId="3" fillId="0" borderId="0" xfId="0" applyNumberFormat="1" applyFont="1" applyFill="1"/>
    <xf numFmtId="3" fontId="3" fillId="0" borderId="0" xfId="0" applyNumberFormat="1" applyFont="1" applyFill="1" applyBorder="1"/>
    <xf numFmtId="3" fontId="3" fillId="0" borderId="0" xfId="0" applyNumberFormat="1" applyFont="1" applyFill="1" applyBorder="1" applyProtection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3" fontId="3" fillId="0" borderId="1" xfId="0" applyNumberFormat="1" applyFont="1" applyFill="1" applyBorder="1" applyProtection="1"/>
    <xf numFmtId="0" fontId="3" fillId="2" borderId="1" xfId="0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 applyProtection="1"/>
    <xf numFmtId="0" fontId="3" fillId="0" borderId="0" xfId="2" applyFont="1" applyFill="1"/>
    <xf numFmtId="0" fontId="12" fillId="0" borderId="0" xfId="2" applyFont="1" applyFill="1" applyAlignment="1">
      <alignment horizontal="right"/>
    </xf>
    <xf numFmtId="0" fontId="4" fillId="4" borderId="1" xfId="2" applyFont="1" applyFill="1" applyBorder="1" applyAlignment="1">
      <alignment horizontal="center" vertical="center" wrapText="1"/>
    </xf>
    <xf numFmtId="0" fontId="12" fillId="0" borderId="0" xfId="2" applyFont="1" applyFill="1"/>
    <xf numFmtId="0" fontId="3" fillId="0" borderId="1" xfId="2" applyFont="1" applyFill="1" applyBorder="1" applyAlignment="1">
      <alignment vertical="center"/>
    </xf>
    <xf numFmtId="4" fontId="13" fillId="0" borderId="1" xfId="2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vertical="center"/>
    </xf>
    <xf numFmtId="0" fontId="2" fillId="0" borderId="0" xfId="0" applyFont="1" applyFill="1" applyAlignment="1"/>
    <xf numFmtId="4" fontId="3" fillId="0" borderId="1" xfId="2" applyNumberFormat="1" applyFont="1" applyFill="1" applyBorder="1" applyAlignment="1">
      <alignment vertical="center"/>
    </xf>
    <xf numFmtId="4" fontId="3" fillId="0" borderId="3" xfId="2" applyNumberFormat="1" applyFont="1" applyFill="1" applyBorder="1" applyAlignment="1">
      <alignment vertical="center"/>
    </xf>
    <xf numFmtId="0" fontId="4" fillId="0" borderId="4" xfId="2" applyFont="1" applyFill="1" applyBorder="1" applyAlignment="1">
      <alignment vertical="center"/>
    </xf>
    <xf numFmtId="4" fontId="4" fillId="0" borderId="4" xfId="2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="85" zoomScaleNormal="85" workbookViewId="0">
      <pane ySplit="3" topLeftCell="A4" activePane="bottomLeft" state="frozen"/>
      <selection pane="bottomLeft" activeCell="A2" sqref="A2"/>
    </sheetView>
  </sheetViews>
  <sheetFormatPr defaultColWidth="9.140625" defaultRowHeight="12.75" x14ac:dyDescent="0.2"/>
  <cols>
    <col min="1" max="1" width="31.85546875" style="15" customWidth="1"/>
    <col min="2" max="2" width="19.42578125" style="15" customWidth="1"/>
    <col min="3" max="3" width="19" style="15" customWidth="1"/>
    <col min="4" max="4" width="18.7109375" style="15" customWidth="1"/>
    <col min="5" max="5" width="15.28515625" style="15" hidden="1" customWidth="1"/>
    <col min="6" max="16384" width="9.140625" style="15"/>
  </cols>
  <sheetData>
    <row r="1" spans="1:5" ht="28.5" customHeight="1" x14ac:dyDescent="0.2">
      <c r="A1" s="42" t="s">
        <v>75</v>
      </c>
      <c r="B1" s="42"/>
      <c r="C1" s="42"/>
      <c r="D1" s="42"/>
      <c r="E1" s="42"/>
    </row>
    <row r="2" spans="1:5" ht="18" customHeight="1" x14ac:dyDescent="0.2">
      <c r="D2" s="16" t="s">
        <v>58</v>
      </c>
      <c r="E2" s="16" t="s">
        <v>58</v>
      </c>
    </row>
    <row r="3" spans="1:5" s="18" customFormat="1" ht="33.75" customHeight="1" x14ac:dyDescent="0.2">
      <c r="A3" s="17" t="s">
        <v>59</v>
      </c>
      <c r="B3" s="17" t="s">
        <v>60</v>
      </c>
      <c r="C3" s="17" t="s">
        <v>61</v>
      </c>
      <c r="D3" s="17" t="s">
        <v>62</v>
      </c>
      <c r="E3" s="17" t="s">
        <v>72</v>
      </c>
    </row>
    <row r="4" spans="1:5" ht="19.5" customHeight="1" x14ac:dyDescent="0.2">
      <c r="A4" s="19" t="s">
        <v>63</v>
      </c>
      <c r="B4" s="23">
        <f>-7673544.06+7747864.43</f>
        <v>74320.370000000112</v>
      </c>
      <c r="C4" s="23">
        <v>74320.37</v>
      </c>
      <c r="D4" s="20"/>
      <c r="E4" s="23" t="e">
        <f>D4/#REF!</f>
        <v>#REF!</v>
      </c>
    </row>
    <row r="5" spans="1:5" ht="19.5" customHeight="1" x14ac:dyDescent="0.2">
      <c r="A5" s="19" t="s">
        <v>64</v>
      </c>
      <c r="B5" s="23">
        <f>-52237.28+608676.32</f>
        <v>556439.03999999992</v>
      </c>
      <c r="C5" s="23">
        <v>111439.03999999999</v>
      </c>
      <c r="D5" s="23">
        <v>445000</v>
      </c>
      <c r="E5" s="23" t="e">
        <f>D5/#REF!</f>
        <v>#REF!</v>
      </c>
    </row>
    <row r="6" spans="1:5" ht="19.5" customHeight="1" x14ac:dyDescent="0.2">
      <c r="A6" s="19" t="s">
        <v>20</v>
      </c>
      <c r="B6" s="23">
        <f>-274328.08+392664</f>
        <v>118335.91999999998</v>
      </c>
      <c r="C6" s="23">
        <v>118335.92</v>
      </c>
      <c r="D6" s="23"/>
      <c r="E6" s="23" t="e">
        <f>D6/#REF!</f>
        <v>#REF!</v>
      </c>
    </row>
    <row r="7" spans="1:5" ht="19.5" customHeight="1" x14ac:dyDescent="0.2">
      <c r="A7" s="19" t="s">
        <v>21</v>
      </c>
      <c r="B7" s="23">
        <f>-1219529.83+2182085.91</f>
        <v>962556.08000000007</v>
      </c>
      <c r="C7" s="23">
        <v>192511.22</v>
      </c>
      <c r="D7" s="23">
        <v>770044.86</v>
      </c>
      <c r="E7" s="23" t="e">
        <f>D7/#REF!</f>
        <v>#REF!</v>
      </c>
    </row>
    <row r="8" spans="1:5" ht="19.5" customHeight="1" x14ac:dyDescent="0.2">
      <c r="A8" s="19" t="s">
        <v>73</v>
      </c>
      <c r="B8" s="23">
        <v>235119.49</v>
      </c>
      <c r="C8" s="23">
        <v>235119.49</v>
      </c>
      <c r="D8" s="20"/>
      <c r="E8" s="23"/>
    </row>
    <row r="9" spans="1:5" ht="19.5" customHeight="1" x14ac:dyDescent="0.2">
      <c r="A9" s="19" t="s">
        <v>22</v>
      </c>
      <c r="B9" s="23">
        <f>1256365.73+899136.22</f>
        <v>2155501.9500000002</v>
      </c>
      <c r="C9" s="23">
        <v>2155501.9500000002</v>
      </c>
      <c r="D9" s="20"/>
      <c r="E9" s="23" t="e">
        <f>D9/#REF!</f>
        <v>#REF!</v>
      </c>
    </row>
    <row r="10" spans="1:5" ht="19.5" customHeight="1" x14ac:dyDescent="0.2">
      <c r="A10" s="19" t="s">
        <v>24</v>
      </c>
      <c r="B10" s="23">
        <v>440983.5</v>
      </c>
      <c r="C10" s="23">
        <v>440983.5</v>
      </c>
      <c r="D10" s="20"/>
      <c r="E10" s="23" t="e">
        <f>D10/#REF!</f>
        <v>#REF!</v>
      </c>
    </row>
    <row r="11" spans="1:5" ht="19.5" customHeight="1" x14ac:dyDescent="0.2">
      <c r="A11" s="19" t="s">
        <v>25</v>
      </c>
      <c r="B11" s="23">
        <v>48119197</v>
      </c>
      <c r="C11" s="23">
        <v>48119197</v>
      </c>
      <c r="D11" s="20"/>
      <c r="E11" s="23" t="e">
        <f>D11/#REF!</f>
        <v>#REF!</v>
      </c>
    </row>
    <row r="12" spans="1:5" ht="19.5" customHeight="1" x14ac:dyDescent="0.2">
      <c r="A12" s="19" t="s">
        <v>27</v>
      </c>
      <c r="B12" s="23">
        <v>1752155.92</v>
      </c>
      <c r="C12" s="23">
        <v>1752155.92</v>
      </c>
      <c r="D12" s="20"/>
      <c r="E12" s="23" t="e">
        <f>D12/#REF!</f>
        <v>#REF!</v>
      </c>
    </row>
    <row r="13" spans="1:5" ht="19.5" customHeight="1" x14ac:dyDescent="0.2">
      <c r="A13" s="19" t="s">
        <v>28</v>
      </c>
      <c r="B13" s="23">
        <v>427384.46</v>
      </c>
      <c r="C13" s="23">
        <v>427384.46</v>
      </c>
      <c r="D13" s="23"/>
      <c r="E13" s="23" t="e">
        <f>D13/#REF!</f>
        <v>#REF!</v>
      </c>
    </row>
    <row r="14" spans="1:5" ht="19.5" customHeight="1" x14ac:dyDescent="0.2">
      <c r="A14" s="19" t="s">
        <v>65</v>
      </c>
      <c r="B14" s="23">
        <v>349.65</v>
      </c>
      <c r="C14" s="23">
        <v>349.65</v>
      </c>
      <c r="D14" s="23"/>
      <c r="E14" s="23" t="e">
        <f>D14/#REF!</f>
        <v>#REF!</v>
      </c>
    </row>
    <row r="15" spans="1:5" ht="19.5" customHeight="1" x14ac:dyDescent="0.2">
      <c r="A15" s="19" t="s">
        <v>66</v>
      </c>
      <c r="B15" s="23">
        <v>32767.040000000001</v>
      </c>
      <c r="C15" s="23">
        <v>32767.040000000001</v>
      </c>
      <c r="D15" s="23"/>
      <c r="E15" s="23" t="e">
        <f>D15/#REF!</f>
        <v>#REF!</v>
      </c>
    </row>
    <row r="16" spans="1:5" ht="19.5" customHeight="1" x14ac:dyDescent="0.2">
      <c r="A16" s="19" t="s">
        <v>29</v>
      </c>
      <c r="B16" s="23">
        <v>2066.52</v>
      </c>
      <c r="C16" s="23">
        <v>2066.52</v>
      </c>
      <c r="D16" s="23"/>
      <c r="E16" s="23" t="e">
        <f>D16/#REF!</f>
        <v>#REF!</v>
      </c>
    </row>
    <row r="17" spans="1:5" ht="19.5" customHeight="1" x14ac:dyDescent="0.2">
      <c r="A17" s="19" t="s">
        <v>30</v>
      </c>
      <c r="B17" s="23">
        <v>5197.46</v>
      </c>
      <c r="C17" s="23">
        <v>5197.46</v>
      </c>
      <c r="D17" s="23"/>
      <c r="E17" s="23" t="e">
        <f>D17/#REF!</f>
        <v>#REF!</v>
      </c>
    </row>
    <row r="18" spans="1:5" ht="19.5" customHeight="1" x14ac:dyDescent="0.2">
      <c r="A18" s="19" t="s">
        <v>31</v>
      </c>
      <c r="B18" s="23">
        <v>218234.67</v>
      </c>
      <c r="C18" s="23">
        <v>218234.67</v>
      </c>
      <c r="D18" s="23"/>
      <c r="E18" s="23" t="e">
        <f>D18/#REF!</f>
        <v>#REF!</v>
      </c>
    </row>
    <row r="19" spans="1:5" ht="19.5" customHeight="1" x14ac:dyDescent="0.2">
      <c r="A19" s="19" t="s">
        <v>32</v>
      </c>
      <c r="B19" s="23">
        <v>5099.8999999999996</v>
      </c>
      <c r="C19" s="23">
        <v>5099.8999999999996</v>
      </c>
      <c r="D19" s="23"/>
      <c r="E19" s="23" t="e">
        <f>D19/#REF!</f>
        <v>#REF!</v>
      </c>
    </row>
    <row r="20" spans="1:5" ht="19.5" customHeight="1" x14ac:dyDescent="0.2">
      <c r="A20" s="19" t="s">
        <v>33</v>
      </c>
      <c r="B20" s="23">
        <v>132178.96</v>
      </c>
      <c r="C20" s="23">
        <v>100000</v>
      </c>
      <c r="D20" s="23">
        <v>32178.959999999999</v>
      </c>
      <c r="E20" s="23" t="e">
        <f>D20/#REF!</f>
        <v>#REF!</v>
      </c>
    </row>
    <row r="21" spans="1:5" ht="19.5" customHeight="1" x14ac:dyDescent="0.2">
      <c r="A21" s="19" t="s">
        <v>34</v>
      </c>
      <c r="B21" s="23">
        <v>6147.65</v>
      </c>
      <c r="C21" s="23">
        <v>6147.65</v>
      </c>
      <c r="D21" s="23"/>
      <c r="E21" s="23" t="e">
        <f>D21/#REF!</f>
        <v>#REF!</v>
      </c>
    </row>
    <row r="22" spans="1:5" ht="19.5" customHeight="1" x14ac:dyDescent="0.2">
      <c r="A22" s="19" t="s">
        <v>35</v>
      </c>
      <c r="B22" s="23">
        <v>12265.79</v>
      </c>
      <c r="C22" s="23">
        <v>12265.79</v>
      </c>
      <c r="D22" s="23"/>
      <c r="E22" s="23" t="e">
        <f>D22/#REF!</f>
        <v>#REF!</v>
      </c>
    </row>
    <row r="23" spans="1:5" ht="19.5" customHeight="1" x14ac:dyDescent="0.2">
      <c r="A23" s="19" t="s">
        <v>36</v>
      </c>
      <c r="B23" s="23">
        <v>15888.85</v>
      </c>
      <c r="C23" s="23">
        <v>15888.85</v>
      </c>
      <c r="D23" s="23"/>
      <c r="E23" s="23" t="e">
        <f>D23/#REF!</f>
        <v>#REF!</v>
      </c>
    </row>
    <row r="24" spans="1:5" ht="19.5" customHeight="1" x14ac:dyDescent="0.2">
      <c r="A24" s="19" t="s">
        <v>37</v>
      </c>
      <c r="B24" s="23">
        <v>8692.6</v>
      </c>
      <c r="C24" s="23">
        <v>8692.6</v>
      </c>
      <c r="D24" s="23"/>
      <c r="E24" s="23" t="e">
        <f>D24/#REF!</f>
        <v>#REF!</v>
      </c>
    </row>
    <row r="25" spans="1:5" ht="19.5" customHeight="1" x14ac:dyDescent="0.2">
      <c r="A25" s="19" t="s">
        <v>74</v>
      </c>
      <c r="B25" s="23">
        <v>29962.84</v>
      </c>
      <c r="C25" s="23">
        <v>14962.84</v>
      </c>
      <c r="D25" s="23">
        <v>15000</v>
      </c>
      <c r="E25" s="23"/>
    </row>
    <row r="26" spans="1:5" ht="19.5" customHeight="1" x14ac:dyDescent="0.2">
      <c r="A26" s="19" t="s">
        <v>38</v>
      </c>
      <c r="B26" s="23">
        <f>-3191055.37+3191055.37</f>
        <v>0</v>
      </c>
      <c r="C26" s="20"/>
      <c r="D26" s="20"/>
      <c r="E26" s="23" t="e">
        <f>D26/#REF!</f>
        <v>#REF!</v>
      </c>
    </row>
    <row r="27" spans="1:5" ht="19.5" customHeight="1" x14ac:dyDescent="0.2">
      <c r="A27" s="19" t="s">
        <v>67</v>
      </c>
      <c r="B27" s="23">
        <f>-341306.12+341306.12</f>
        <v>0</v>
      </c>
      <c r="C27" s="23"/>
      <c r="D27" s="23"/>
      <c r="E27" s="23" t="e">
        <f>D27/#REF!</f>
        <v>#REF!</v>
      </c>
    </row>
    <row r="28" spans="1:5" ht="19.5" customHeight="1" x14ac:dyDescent="0.2">
      <c r="A28" s="19" t="s">
        <v>40</v>
      </c>
      <c r="B28" s="23">
        <f>-330255.49+337516.09</f>
        <v>7260.6000000000349</v>
      </c>
      <c r="C28" s="23">
        <v>7260.6</v>
      </c>
      <c r="D28" s="23"/>
      <c r="E28" s="23" t="e">
        <f>D28/#REF!</f>
        <v>#REF!</v>
      </c>
    </row>
    <row r="29" spans="1:5" ht="19.5" customHeight="1" x14ac:dyDescent="0.2">
      <c r="A29" s="19" t="s">
        <v>41</v>
      </c>
      <c r="B29" s="23">
        <f>-292551.01+292551.01</f>
        <v>0</v>
      </c>
      <c r="C29" s="23"/>
      <c r="D29" s="23"/>
      <c r="E29" s="23" t="e">
        <f>D29/#REF!</f>
        <v>#REF!</v>
      </c>
    </row>
    <row r="30" spans="1:5" ht="19.5" customHeight="1" x14ac:dyDescent="0.2">
      <c r="A30" s="19" t="s">
        <v>68</v>
      </c>
      <c r="B30" s="23">
        <f>-201996.21+204476.6</f>
        <v>2480.390000000014</v>
      </c>
      <c r="C30" s="23">
        <v>2480.39</v>
      </c>
      <c r="D30" s="23"/>
      <c r="E30" s="23" t="e">
        <f>D30/#REF!</f>
        <v>#REF!</v>
      </c>
    </row>
    <row r="31" spans="1:5" ht="19.5" customHeight="1" x14ac:dyDescent="0.2">
      <c r="A31" s="19" t="s">
        <v>42</v>
      </c>
      <c r="B31" s="23">
        <f>71298.88+215916.46</f>
        <v>287215.33999999997</v>
      </c>
      <c r="C31" s="23">
        <v>287215.34000000003</v>
      </c>
      <c r="D31" s="23"/>
      <c r="E31" s="23" t="e">
        <f>D31/#REF!</f>
        <v>#REF!</v>
      </c>
    </row>
    <row r="32" spans="1:5" ht="19.5" customHeight="1" x14ac:dyDescent="0.2">
      <c r="A32" s="19" t="s">
        <v>69</v>
      </c>
      <c r="B32" s="23">
        <f>-655632.54+1413422.73</f>
        <v>757790.19</v>
      </c>
      <c r="C32" s="23">
        <v>659290.18999999994</v>
      </c>
      <c r="D32" s="23">
        <v>98500</v>
      </c>
      <c r="E32" s="23" t="e">
        <f>D32/#REF!</f>
        <v>#REF!</v>
      </c>
    </row>
    <row r="33" spans="1:5" ht="19.5" customHeight="1" x14ac:dyDescent="0.2">
      <c r="A33" s="19" t="s">
        <v>70</v>
      </c>
      <c r="B33" s="23">
        <f>-207740.71+207740.71</f>
        <v>0</v>
      </c>
      <c r="C33" s="23"/>
      <c r="D33" s="23"/>
      <c r="E33" s="23" t="e">
        <f>D33/#REF!</f>
        <v>#REF!</v>
      </c>
    </row>
    <row r="34" spans="1:5" ht="19.5" customHeight="1" x14ac:dyDescent="0.2">
      <c r="A34" s="19" t="s">
        <v>43</v>
      </c>
      <c r="B34" s="23">
        <f>-753258.13+753258.13</f>
        <v>0</v>
      </c>
      <c r="C34" s="23"/>
      <c r="D34" s="23"/>
      <c r="E34" s="23" t="e">
        <f>D34/#REF!</f>
        <v>#REF!</v>
      </c>
    </row>
    <row r="35" spans="1:5" ht="19.5" customHeight="1" x14ac:dyDescent="0.2">
      <c r="A35" s="19" t="s">
        <v>44</v>
      </c>
      <c r="B35" s="23">
        <v>328.11</v>
      </c>
      <c r="C35" s="23">
        <v>328.11</v>
      </c>
      <c r="D35" s="23">
        <v>0</v>
      </c>
      <c r="E35" s="23" t="e">
        <f>D35/#REF!</f>
        <v>#REF!</v>
      </c>
    </row>
    <row r="36" spans="1:5" ht="19.5" customHeight="1" x14ac:dyDescent="0.2">
      <c r="A36" s="19" t="s">
        <v>45</v>
      </c>
      <c r="B36" s="23">
        <v>58121.95</v>
      </c>
      <c r="C36" s="23">
        <v>38121.949999999997</v>
      </c>
      <c r="D36" s="23">
        <v>20000</v>
      </c>
      <c r="E36" s="23" t="e">
        <f>D36/#REF!</f>
        <v>#REF!</v>
      </c>
    </row>
    <row r="37" spans="1:5" ht="19.5" customHeight="1" x14ac:dyDescent="0.2">
      <c r="A37" s="19" t="s">
        <v>46</v>
      </c>
      <c r="B37" s="23">
        <v>37423.410000000003</v>
      </c>
      <c r="C37" s="23">
        <v>36423.410000000003</v>
      </c>
      <c r="D37" s="23">
        <v>1000</v>
      </c>
      <c r="E37" s="23" t="e">
        <f>D37/#REF!</f>
        <v>#REF!</v>
      </c>
    </row>
    <row r="38" spans="1:5" ht="19.5" customHeight="1" thickBot="1" x14ac:dyDescent="0.25">
      <c r="A38" s="21" t="s">
        <v>47</v>
      </c>
      <c r="B38" s="24">
        <v>28324.76</v>
      </c>
      <c r="C38" s="24">
        <v>5664.76</v>
      </c>
      <c r="D38" s="24">
        <v>22660</v>
      </c>
      <c r="E38" s="24" t="e">
        <f>D38/#REF!</f>
        <v>#REF!</v>
      </c>
    </row>
    <row r="39" spans="1:5" ht="18.75" customHeight="1" thickTop="1" thickBot="1" x14ac:dyDescent="0.25">
      <c r="A39" s="25" t="s">
        <v>48</v>
      </c>
      <c r="B39" s="26">
        <f>SUM(B4:B38)</f>
        <v>56489790.410000011</v>
      </c>
      <c r="C39" s="26">
        <f>SUM(C4:C38)</f>
        <v>55085406.590000011</v>
      </c>
      <c r="D39" s="26">
        <f>SUM(D4:D38)</f>
        <v>1404383.8199999998</v>
      </c>
      <c r="E39" s="26"/>
    </row>
    <row r="40" spans="1:5" ht="13.5" thickTop="1" x14ac:dyDescent="0.2"/>
  </sheetData>
  <mergeCells count="1">
    <mergeCell ref="A1:E1"/>
  </mergeCells>
  <printOptions horizontalCentered="1"/>
  <pageMargins left="0.43307086614173229" right="0.43307086614173229" top="0.52" bottom="0.43307086614173229" header="0.27559055118110237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7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N1"/>
    </sheetView>
  </sheetViews>
  <sheetFormatPr defaultRowHeight="15" x14ac:dyDescent="0.25"/>
  <cols>
    <col min="1" max="1" width="30.85546875" customWidth="1"/>
    <col min="2" max="2" width="14" customWidth="1"/>
    <col min="3" max="3" width="12.42578125" customWidth="1"/>
    <col min="4" max="4" width="12.28515625" customWidth="1"/>
    <col min="5" max="5" width="11.7109375" customWidth="1"/>
    <col min="6" max="6" width="12.5703125" customWidth="1"/>
    <col min="7" max="8" width="11.85546875" customWidth="1"/>
    <col min="9" max="9" width="10.5703125" customWidth="1"/>
    <col min="10" max="10" width="16" customWidth="1"/>
    <col min="11" max="14" width="10.5703125" customWidth="1"/>
    <col min="15" max="16" width="12" hidden="1" customWidth="1"/>
    <col min="17" max="17" width="8.7109375" customWidth="1"/>
    <col min="19" max="19" width="6.42578125" customWidth="1"/>
    <col min="20" max="20" width="8.85546875" customWidth="1"/>
  </cols>
  <sheetData>
    <row r="1" spans="1:20" ht="2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2"/>
      <c r="P1" s="22"/>
      <c r="Q1" s="1"/>
      <c r="R1" s="1"/>
      <c r="S1" s="1"/>
      <c r="T1" s="1"/>
    </row>
    <row r="2" spans="1:20" x14ac:dyDescent="0.25">
      <c r="A2" s="2"/>
      <c r="B2" s="2"/>
      <c r="C2" s="2"/>
      <c r="D2" s="2"/>
      <c r="E2" s="2"/>
      <c r="F2" s="2"/>
      <c r="G2" s="3"/>
      <c r="H2" s="3"/>
      <c r="I2" s="3"/>
      <c r="J2" s="3"/>
      <c r="L2" s="3"/>
      <c r="M2" s="3"/>
      <c r="N2" s="4" t="s">
        <v>1</v>
      </c>
      <c r="O2" s="3"/>
      <c r="P2" s="3"/>
      <c r="Q2" s="1"/>
      <c r="R2" s="1"/>
      <c r="S2" s="1"/>
      <c r="T2" s="1"/>
    </row>
    <row r="3" spans="1:20" ht="15" customHeight="1" x14ac:dyDescent="0.25">
      <c r="A3" s="29" t="s">
        <v>56</v>
      </c>
      <c r="B3" s="30" t="s">
        <v>2</v>
      </c>
      <c r="C3" s="31" t="s">
        <v>3</v>
      </c>
      <c r="D3" s="31"/>
      <c r="E3" s="31" t="s">
        <v>4</v>
      </c>
      <c r="F3" s="31"/>
      <c r="G3" s="31" t="s">
        <v>5</v>
      </c>
      <c r="H3" s="44"/>
      <c r="I3" s="32" t="s">
        <v>11</v>
      </c>
      <c r="J3" s="30" t="s">
        <v>6</v>
      </c>
      <c r="K3" s="32" t="s">
        <v>10</v>
      </c>
      <c r="L3" s="32" t="s">
        <v>7</v>
      </c>
      <c r="M3" s="32" t="s">
        <v>8</v>
      </c>
      <c r="N3" s="32" t="s">
        <v>9</v>
      </c>
      <c r="O3" s="37" t="s">
        <v>54</v>
      </c>
      <c r="P3" s="37" t="s">
        <v>55</v>
      </c>
      <c r="Q3" s="41" t="s">
        <v>57</v>
      </c>
      <c r="R3" s="1"/>
      <c r="S3" s="28" t="s">
        <v>12</v>
      </c>
      <c r="T3" s="28" t="s">
        <v>71</v>
      </c>
    </row>
    <row r="4" spans="1:20" x14ac:dyDescent="0.25">
      <c r="A4" s="29"/>
      <c r="B4" s="30"/>
      <c r="C4" s="32" t="s">
        <v>13</v>
      </c>
      <c r="D4" s="32" t="s">
        <v>14</v>
      </c>
      <c r="E4" s="32" t="s">
        <v>13</v>
      </c>
      <c r="F4" s="32" t="s">
        <v>14</v>
      </c>
      <c r="G4" s="32" t="s">
        <v>15</v>
      </c>
      <c r="H4" s="32" t="s">
        <v>16</v>
      </c>
      <c r="I4" s="32"/>
      <c r="J4" s="30"/>
      <c r="K4" s="32"/>
      <c r="L4" s="32"/>
      <c r="M4" s="32"/>
      <c r="N4" s="32"/>
      <c r="O4" s="37"/>
      <c r="P4" s="37"/>
      <c r="Q4" s="41"/>
      <c r="R4" s="1"/>
      <c r="S4" s="28"/>
      <c r="T4" s="28"/>
    </row>
    <row r="5" spans="1:20" x14ac:dyDescent="0.25">
      <c r="A5" s="29"/>
      <c r="B5" s="30"/>
      <c r="C5" s="32"/>
      <c r="D5" s="32"/>
      <c r="E5" s="32"/>
      <c r="F5" s="32"/>
      <c r="G5" s="32"/>
      <c r="H5" s="32"/>
      <c r="I5" s="32"/>
      <c r="J5" s="30"/>
      <c r="K5" s="32"/>
      <c r="L5" s="32"/>
      <c r="M5" s="32"/>
      <c r="N5" s="32"/>
      <c r="O5" s="37"/>
      <c r="P5" s="37"/>
      <c r="Q5" s="41"/>
      <c r="R5" s="1"/>
      <c r="S5" s="28"/>
      <c r="T5" s="28"/>
    </row>
    <row r="6" spans="1:20" x14ac:dyDescent="0.25">
      <c r="A6" s="35" t="s">
        <v>63</v>
      </c>
      <c r="B6" s="33" t="s">
        <v>50</v>
      </c>
      <c r="C6" s="39">
        <v>81776</v>
      </c>
      <c r="D6" s="39">
        <v>81751</v>
      </c>
      <c r="E6" s="39">
        <v>81776</v>
      </c>
      <c r="F6" s="39">
        <v>76361</v>
      </c>
      <c r="G6" s="39"/>
      <c r="H6" s="39">
        <f>D6-F6</f>
        <v>5390</v>
      </c>
      <c r="I6" s="39"/>
      <c r="J6" s="12" t="s">
        <v>17</v>
      </c>
      <c r="K6" s="11">
        <v>1500</v>
      </c>
      <c r="L6" s="11">
        <v>751</v>
      </c>
      <c r="M6" s="11">
        <v>97</v>
      </c>
      <c r="N6" s="11">
        <v>2597</v>
      </c>
      <c r="O6" s="36">
        <v>4566</v>
      </c>
      <c r="P6" s="36">
        <v>11785</v>
      </c>
      <c r="Q6" s="40">
        <f>IFERROR(L7/H6,0)</f>
        <v>0</v>
      </c>
      <c r="R6" s="1"/>
      <c r="S6" s="27">
        <f>H6-T6</f>
        <v>5316</v>
      </c>
      <c r="T6" s="27">
        <f>IFERROR(ROUND(INDEX(HV!$A$4:$D$39,MATCH(backup!A6,HV!$A$4:$A$39,0),2)/1000,0),"")</f>
        <v>74</v>
      </c>
    </row>
    <row r="7" spans="1:20" x14ac:dyDescent="0.25">
      <c r="A7" s="35"/>
      <c r="B7" s="33"/>
      <c r="C7" s="39"/>
      <c r="D7" s="39"/>
      <c r="E7" s="39"/>
      <c r="F7" s="39"/>
      <c r="G7" s="39"/>
      <c r="H7" s="39"/>
      <c r="I7" s="39"/>
      <c r="J7" s="12" t="s">
        <v>18</v>
      </c>
      <c r="K7" s="11">
        <f>IFERROR(ROUND(INDEX(HV!$A$4:$D$39,MATCH(backup!A6,HV!$A$4:$A$39,0),3)/1000,0),"")</f>
        <v>74</v>
      </c>
      <c r="L7" s="11">
        <f>IFERROR(ROUND(INDEX(HV!$A$4:$D$39,MATCH(backup!A6,HV!$A$4:$A$39,0),4)/1000,0),"")</f>
        <v>0</v>
      </c>
      <c r="M7" s="11"/>
      <c r="N7" s="11"/>
      <c r="O7" s="36"/>
      <c r="P7" s="36"/>
      <c r="Q7" s="40"/>
      <c r="R7" s="5"/>
      <c r="S7" s="27"/>
      <c r="T7" s="27"/>
    </row>
    <row r="8" spans="1:20" x14ac:dyDescent="0.25">
      <c r="A8" s="35"/>
      <c r="B8" s="33"/>
      <c r="C8" s="39"/>
      <c r="D8" s="39"/>
      <c r="E8" s="39"/>
      <c r="F8" s="39"/>
      <c r="G8" s="39"/>
      <c r="H8" s="39"/>
      <c r="I8" s="39"/>
      <c r="J8" s="13" t="s">
        <v>19</v>
      </c>
      <c r="K8" s="14">
        <f>K6+K7</f>
        <v>1574</v>
      </c>
      <c r="L8" s="14">
        <f>L6+L7</f>
        <v>751</v>
      </c>
      <c r="M8" s="14">
        <f>M6+M7</f>
        <v>97</v>
      </c>
      <c r="N8" s="14">
        <f>N6+N7</f>
        <v>2597</v>
      </c>
      <c r="O8" s="36"/>
      <c r="P8" s="36"/>
      <c r="Q8" s="40"/>
      <c r="R8" s="5"/>
      <c r="S8" s="27"/>
      <c r="T8" s="27"/>
    </row>
    <row r="9" spans="1:20" x14ac:dyDescent="0.25">
      <c r="A9" s="35" t="s">
        <v>64</v>
      </c>
      <c r="B9" s="33" t="s">
        <v>51</v>
      </c>
      <c r="C9" s="39">
        <v>38301</v>
      </c>
      <c r="D9" s="39">
        <v>37055</v>
      </c>
      <c r="E9" s="39">
        <v>38301</v>
      </c>
      <c r="F9" s="39">
        <v>36578</v>
      </c>
      <c r="G9" s="39"/>
      <c r="H9" s="39">
        <f>D9-F9</f>
        <v>477</v>
      </c>
      <c r="I9" s="39"/>
      <c r="J9" s="12" t="s">
        <v>17</v>
      </c>
      <c r="K9" s="11">
        <v>335</v>
      </c>
      <c r="L9" s="11">
        <v>53</v>
      </c>
      <c r="M9" s="11">
        <v>98</v>
      </c>
      <c r="N9" s="11">
        <v>3182</v>
      </c>
      <c r="O9" s="36">
        <v>1084</v>
      </c>
      <c r="P9" s="36">
        <v>4014</v>
      </c>
      <c r="Q9" s="40">
        <f>IFERROR(L10/H9,0)</f>
        <v>0.93291404612159334</v>
      </c>
      <c r="R9" s="5"/>
      <c r="S9" s="27">
        <f t="shared" ref="S9" si="0">H9-T9</f>
        <v>-79</v>
      </c>
      <c r="T9" s="27">
        <f>IFERROR(ROUND(INDEX(HV!$A$4:$D$39,MATCH(backup!A9,HV!$A$4:$A$39,0),2)/1000,0),"")</f>
        <v>556</v>
      </c>
    </row>
    <row r="10" spans="1:20" x14ac:dyDescent="0.25">
      <c r="A10" s="35"/>
      <c r="B10" s="33"/>
      <c r="C10" s="39"/>
      <c r="D10" s="39"/>
      <c r="E10" s="39"/>
      <c r="F10" s="39"/>
      <c r="G10" s="39"/>
      <c r="H10" s="39"/>
      <c r="I10" s="39"/>
      <c r="J10" s="12" t="s">
        <v>18</v>
      </c>
      <c r="K10" s="11">
        <f>IFERROR(ROUND(INDEX(HV!$A$4:$D$39,MATCH(backup!A9,HV!$A$4:$A$39,0),3)/1000,0),"")</f>
        <v>111</v>
      </c>
      <c r="L10" s="11">
        <f>IFERROR(ROUND(INDEX(HV!$A$4:$D$39,MATCH(backup!A9,HV!$A$4:$A$39,0),4)/1000,0),"")</f>
        <v>445</v>
      </c>
      <c r="M10" s="11"/>
      <c r="N10" s="11"/>
      <c r="O10" s="36"/>
      <c r="P10" s="36"/>
      <c r="Q10" s="40"/>
      <c r="R10" s="5"/>
      <c r="S10" s="27"/>
      <c r="T10" s="27"/>
    </row>
    <row r="11" spans="1:20" x14ac:dyDescent="0.25">
      <c r="A11" s="35"/>
      <c r="B11" s="33"/>
      <c r="C11" s="39"/>
      <c r="D11" s="39"/>
      <c r="E11" s="39"/>
      <c r="F11" s="39"/>
      <c r="G11" s="39"/>
      <c r="H11" s="39"/>
      <c r="I11" s="39"/>
      <c r="J11" s="13" t="s">
        <v>19</v>
      </c>
      <c r="K11" s="14">
        <f>K9+K10</f>
        <v>446</v>
      </c>
      <c r="L11" s="14">
        <f>L9+L10</f>
        <v>498</v>
      </c>
      <c r="M11" s="14">
        <f>M9+M10</f>
        <v>98</v>
      </c>
      <c r="N11" s="14">
        <f>N9+N10</f>
        <v>3182</v>
      </c>
      <c r="O11" s="36"/>
      <c r="P11" s="36"/>
      <c r="Q11" s="40"/>
      <c r="R11" s="5"/>
      <c r="S11" s="27"/>
      <c r="T11" s="27"/>
    </row>
    <row r="12" spans="1:20" x14ac:dyDescent="0.25">
      <c r="A12" s="35" t="s">
        <v>20</v>
      </c>
      <c r="B12" s="33" t="s">
        <v>51</v>
      </c>
      <c r="C12" s="39">
        <v>75917</v>
      </c>
      <c r="D12" s="39">
        <v>78668</v>
      </c>
      <c r="E12" s="39">
        <v>75917</v>
      </c>
      <c r="F12" s="39">
        <v>78077</v>
      </c>
      <c r="G12" s="39"/>
      <c r="H12" s="39">
        <f>D12-F12</f>
        <v>591</v>
      </c>
      <c r="I12" s="39"/>
      <c r="J12" s="12" t="s">
        <v>17</v>
      </c>
      <c r="K12" s="11">
        <v>4596</v>
      </c>
      <c r="L12" s="11">
        <v>174</v>
      </c>
      <c r="M12" s="11">
        <v>706</v>
      </c>
      <c r="N12" s="11">
        <v>4515</v>
      </c>
      <c r="O12" s="36">
        <v>1776</v>
      </c>
      <c r="P12" s="36">
        <v>7812</v>
      </c>
      <c r="Q12" s="40">
        <f t="shared" ref="Q12" si="1">IFERROR(L13/H12,0)</f>
        <v>0</v>
      </c>
      <c r="R12" s="5"/>
      <c r="S12" s="27">
        <f t="shared" ref="S12" si="2">H12-T12</f>
        <v>473</v>
      </c>
      <c r="T12" s="27">
        <f>IFERROR(ROUND(INDEX(HV!$A$4:$D$39,MATCH(backup!A12,HV!$A$4:$A$39,0),2)/1000,0),"")</f>
        <v>118</v>
      </c>
    </row>
    <row r="13" spans="1:20" x14ac:dyDescent="0.25">
      <c r="A13" s="35"/>
      <c r="B13" s="33"/>
      <c r="C13" s="39"/>
      <c r="D13" s="39"/>
      <c r="E13" s="39"/>
      <c r="F13" s="39"/>
      <c r="G13" s="39"/>
      <c r="H13" s="39"/>
      <c r="I13" s="39"/>
      <c r="J13" s="12" t="s">
        <v>18</v>
      </c>
      <c r="K13" s="11">
        <f>IFERROR(ROUND(INDEX(HV!$A$4:$D$39,MATCH(backup!A12,HV!$A$4:$A$39,0),3)/1000,0),"")</f>
        <v>118</v>
      </c>
      <c r="L13" s="11">
        <f>IFERROR(ROUND(INDEX(HV!$A$4:$D$39,MATCH(backup!A12,HV!$A$4:$A$39,0),4)/1000,0),"")</f>
        <v>0</v>
      </c>
      <c r="M13" s="11"/>
      <c r="N13" s="11"/>
      <c r="O13" s="36"/>
      <c r="P13" s="36"/>
      <c r="Q13" s="40"/>
      <c r="R13" s="5"/>
      <c r="S13" s="27"/>
      <c r="T13" s="27"/>
    </row>
    <row r="14" spans="1:20" x14ac:dyDescent="0.25">
      <c r="A14" s="35"/>
      <c r="B14" s="33"/>
      <c r="C14" s="39"/>
      <c r="D14" s="39"/>
      <c r="E14" s="39"/>
      <c r="F14" s="39"/>
      <c r="G14" s="39"/>
      <c r="H14" s="39"/>
      <c r="I14" s="39">
        <f>SUM(I12:I13)</f>
        <v>0</v>
      </c>
      <c r="J14" s="13" t="s">
        <v>19</v>
      </c>
      <c r="K14" s="14">
        <f>K12+K13</f>
        <v>4714</v>
      </c>
      <c r="L14" s="14">
        <f>L12+L13</f>
        <v>174</v>
      </c>
      <c r="M14" s="14">
        <f>M12+M13</f>
        <v>706</v>
      </c>
      <c r="N14" s="14">
        <f>N12+N13</f>
        <v>4515</v>
      </c>
      <c r="O14" s="36"/>
      <c r="P14" s="36"/>
      <c r="Q14" s="40"/>
      <c r="R14" s="5"/>
      <c r="S14" s="27"/>
      <c r="T14" s="27"/>
    </row>
    <row r="15" spans="1:20" x14ac:dyDescent="0.25">
      <c r="A15" s="35" t="s">
        <v>21</v>
      </c>
      <c r="B15" s="33" t="s">
        <v>51</v>
      </c>
      <c r="C15" s="39">
        <v>46671</v>
      </c>
      <c r="D15" s="39">
        <v>49618</v>
      </c>
      <c r="E15" s="39">
        <v>46671</v>
      </c>
      <c r="F15" s="39">
        <v>48917</v>
      </c>
      <c r="G15" s="39"/>
      <c r="H15" s="39">
        <f>D15-F15</f>
        <v>701</v>
      </c>
      <c r="I15" s="39"/>
      <c r="J15" s="12" t="s">
        <v>17</v>
      </c>
      <c r="K15" s="11">
        <v>1262</v>
      </c>
      <c r="L15" s="11">
        <v>405</v>
      </c>
      <c r="M15" s="11">
        <v>57</v>
      </c>
      <c r="N15" s="11">
        <v>7708</v>
      </c>
      <c r="O15" s="36">
        <v>2436</v>
      </c>
      <c r="P15" s="36">
        <v>2874</v>
      </c>
      <c r="Q15" s="40">
        <f t="shared" ref="Q15" si="3">IFERROR(L16/H15,0)</f>
        <v>1.0984308131241085</v>
      </c>
      <c r="R15" s="5"/>
      <c r="S15" s="27">
        <f t="shared" ref="S15" si="4">H15-T15</f>
        <v>-262</v>
      </c>
      <c r="T15" s="27">
        <f>IFERROR(ROUND(INDEX(HV!$A$4:$D$39,MATCH(backup!A15,HV!$A$4:$A$39,0),2)/1000,0),"")</f>
        <v>963</v>
      </c>
    </row>
    <row r="16" spans="1:20" x14ac:dyDescent="0.25">
      <c r="A16" s="35"/>
      <c r="B16" s="33"/>
      <c r="C16" s="39"/>
      <c r="D16" s="39"/>
      <c r="E16" s="39"/>
      <c r="F16" s="39"/>
      <c r="G16" s="39"/>
      <c r="H16" s="39"/>
      <c r="I16" s="39"/>
      <c r="J16" s="12" t="s">
        <v>18</v>
      </c>
      <c r="K16" s="11">
        <f>IFERROR(ROUND(INDEX(HV!$A$4:$D$39,MATCH(backup!A15,HV!$A$4:$A$39,0),3)/1000,0),"")</f>
        <v>193</v>
      </c>
      <c r="L16" s="11">
        <f>IFERROR(ROUND(INDEX(HV!$A$4:$D$39,MATCH(backup!A15,HV!$A$4:$A$39,0),4)/1000,0),"")</f>
        <v>770</v>
      </c>
      <c r="M16" s="11"/>
      <c r="N16" s="11"/>
      <c r="O16" s="36"/>
      <c r="P16" s="36"/>
      <c r="Q16" s="40"/>
      <c r="R16" s="5"/>
      <c r="S16" s="27"/>
      <c r="T16" s="27"/>
    </row>
    <row r="17" spans="1:20" x14ac:dyDescent="0.25">
      <c r="A17" s="35"/>
      <c r="B17" s="33"/>
      <c r="C17" s="39"/>
      <c r="D17" s="39"/>
      <c r="E17" s="39"/>
      <c r="F17" s="39"/>
      <c r="G17" s="39"/>
      <c r="H17" s="39"/>
      <c r="I17" s="39">
        <f>SUM(I15:I16)</f>
        <v>0</v>
      </c>
      <c r="J17" s="13" t="s">
        <v>19</v>
      </c>
      <c r="K17" s="14">
        <f>K15+K16</f>
        <v>1455</v>
      </c>
      <c r="L17" s="14">
        <f>L15+L16</f>
        <v>1175</v>
      </c>
      <c r="M17" s="14">
        <f>M15+M16</f>
        <v>57</v>
      </c>
      <c r="N17" s="14">
        <f>N15+N16</f>
        <v>7708</v>
      </c>
      <c r="O17" s="36"/>
      <c r="P17" s="36"/>
      <c r="Q17" s="40"/>
      <c r="R17" s="5"/>
      <c r="S17" s="27"/>
      <c r="T17" s="27"/>
    </row>
    <row r="18" spans="1:20" x14ac:dyDescent="0.25">
      <c r="A18" s="35" t="s">
        <v>22</v>
      </c>
      <c r="B18" s="33" t="s">
        <v>23</v>
      </c>
      <c r="C18" s="39">
        <v>128362</v>
      </c>
      <c r="D18" s="39">
        <v>125216</v>
      </c>
      <c r="E18" s="39">
        <v>128362</v>
      </c>
      <c r="F18" s="39">
        <v>123146</v>
      </c>
      <c r="G18" s="39"/>
      <c r="H18" s="39">
        <f>D18-F18</f>
        <v>2070</v>
      </c>
      <c r="I18" s="39"/>
      <c r="J18" s="12" t="s">
        <v>17</v>
      </c>
      <c r="K18" s="11">
        <v>7742</v>
      </c>
      <c r="L18" s="11">
        <v>3907</v>
      </c>
      <c r="M18" s="11">
        <v>462</v>
      </c>
      <c r="N18" s="11">
        <v>18244</v>
      </c>
      <c r="O18" s="36">
        <v>9400</v>
      </c>
      <c r="P18" s="36">
        <v>15134</v>
      </c>
      <c r="Q18" s="40">
        <f t="shared" ref="Q18:Q81" si="5">IFERROR(L19/H18,0)</f>
        <v>0</v>
      </c>
      <c r="R18" s="5"/>
      <c r="S18" s="27">
        <f t="shared" ref="S18" si="6">H18-T18</f>
        <v>-86</v>
      </c>
      <c r="T18" s="27">
        <f>IFERROR(ROUND(INDEX(HV!$A$4:$D$39,MATCH(backup!A18,HV!$A$4:$A$39,0),2)/1000,0),"")</f>
        <v>2156</v>
      </c>
    </row>
    <row r="19" spans="1:20" x14ac:dyDescent="0.25">
      <c r="A19" s="35"/>
      <c r="B19" s="33"/>
      <c r="C19" s="39"/>
      <c r="D19" s="39"/>
      <c r="E19" s="39"/>
      <c r="F19" s="39"/>
      <c r="G19" s="39"/>
      <c r="H19" s="39"/>
      <c r="I19" s="39"/>
      <c r="J19" s="12" t="s">
        <v>18</v>
      </c>
      <c r="K19" s="11">
        <f>IFERROR(ROUND(INDEX(HV!$A$4:$D$39,MATCH(backup!A18,HV!$A$4:$A$39,0),3)/1000,0),"")</f>
        <v>2156</v>
      </c>
      <c r="L19" s="11">
        <f>IFERROR(ROUND(INDEX(HV!$A$4:$D$39,MATCH(backup!A18,HV!$A$4:$A$39,0),4)/1000,0),"")</f>
        <v>0</v>
      </c>
      <c r="M19" s="11"/>
      <c r="N19" s="11"/>
      <c r="O19" s="36"/>
      <c r="P19" s="36"/>
      <c r="Q19" s="40"/>
      <c r="R19" s="5"/>
      <c r="S19" s="27"/>
      <c r="T19" s="27"/>
    </row>
    <row r="20" spans="1:20" x14ac:dyDescent="0.25">
      <c r="A20" s="35"/>
      <c r="B20" s="33"/>
      <c r="C20" s="39"/>
      <c r="D20" s="39"/>
      <c r="E20" s="39"/>
      <c r="F20" s="39"/>
      <c r="G20" s="39"/>
      <c r="H20" s="39"/>
      <c r="I20" s="39">
        <f>SUM(I18:I19)</f>
        <v>0</v>
      </c>
      <c r="J20" s="13" t="s">
        <v>19</v>
      </c>
      <c r="K20" s="14">
        <f>K18+K19</f>
        <v>9898</v>
      </c>
      <c r="L20" s="14">
        <f>L18+L19</f>
        <v>3907</v>
      </c>
      <c r="M20" s="14">
        <f>M18+M19</f>
        <v>462</v>
      </c>
      <c r="N20" s="14">
        <f>N18+N19</f>
        <v>18244</v>
      </c>
      <c r="O20" s="36"/>
      <c r="P20" s="36"/>
      <c r="Q20" s="40"/>
      <c r="R20" s="5"/>
      <c r="S20" s="27"/>
      <c r="T20" s="27"/>
    </row>
    <row r="21" spans="1:20" x14ac:dyDescent="0.25">
      <c r="A21" s="35" t="s">
        <v>24</v>
      </c>
      <c r="B21" s="33" t="s">
        <v>23</v>
      </c>
      <c r="C21" s="39">
        <v>420850</v>
      </c>
      <c r="D21" s="39">
        <v>420937</v>
      </c>
      <c r="E21" s="39">
        <v>420850</v>
      </c>
      <c r="F21" s="39">
        <v>420845</v>
      </c>
      <c r="G21" s="39"/>
      <c r="H21" s="39">
        <f>D21-F21</f>
        <v>92</v>
      </c>
      <c r="I21" s="39"/>
      <c r="J21" s="12" t="s">
        <v>17</v>
      </c>
      <c r="K21" s="11">
        <v>4495</v>
      </c>
      <c r="L21" s="11">
        <v>2</v>
      </c>
      <c r="M21" s="11">
        <v>301</v>
      </c>
      <c r="N21" s="11">
        <v>35937</v>
      </c>
      <c r="O21" s="36">
        <v>60493</v>
      </c>
      <c r="P21" s="36">
        <v>102329</v>
      </c>
      <c r="Q21" s="40">
        <f t="shared" ref="Q21:Q84" si="7">IFERROR(L22/H21,0)</f>
        <v>0</v>
      </c>
      <c r="R21" s="5"/>
      <c r="S21" s="27">
        <f t="shared" ref="S21" si="8">H21-T21</f>
        <v>-349</v>
      </c>
      <c r="T21" s="27">
        <f>IFERROR(ROUND(INDEX(HV!$A$4:$D$39,MATCH(backup!A21,HV!$A$4:$A$39,0),2)/1000,0),"")</f>
        <v>441</v>
      </c>
    </row>
    <row r="22" spans="1:20" x14ac:dyDescent="0.25">
      <c r="A22" s="35"/>
      <c r="B22" s="33"/>
      <c r="C22" s="39"/>
      <c r="D22" s="39"/>
      <c r="E22" s="39"/>
      <c r="F22" s="39"/>
      <c r="G22" s="39"/>
      <c r="H22" s="39"/>
      <c r="I22" s="39"/>
      <c r="J22" s="12" t="s">
        <v>18</v>
      </c>
      <c r="K22" s="11">
        <f>IFERROR(ROUND(INDEX(HV!$A$4:$D$39,MATCH(backup!A21,HV!$A$4:$A$39,0),3)/1000,0),"")</f>
        <v>441</v>
      </c>
      <c r="L22" s="11">
        <f>IFERROR(ROUND(INDEX(HV!$A$4:$D$39,MATCH(backup!A21,HV!$A$4:$A$39,0),4)/1000,0),"")</f>
        <v>0</v>
      </c>
      <c r="M22" s="11"/>
      <c r="N22" s="11"/>
      <c r="O22" s="36"/>
      <c r="P22" s="36"/>
      <c r="Q22" s="40"/>
      <c r="R22" s="5"/>
      <c r="S22" s="27"/>
      <c r="T22" s="27"/>
    </row>
    <row r="23" spans="1:20" x14ac:dyDescent="0.25">
      <c r="A23" s="35"/>
      <c r="B23" s="33"/>
      <c r="C23" s="39"/>
      <c r="D23" s="39"/>
      <c r="E23" s="39"/>
      <c r="F23" s="39"/>
      <c r="G23" s="39"/>
      <c r="H23" s="39"/>
      <c r="I23" s="39">
        <f>SUM(I21:I22)</f>
        <v>0</v>
      </c>
      <c r="J23" s="13" t="s">
        <v>19</v>
      </c>
      <c r="K23" s="14">
        <f>K21+K22</f>
        <v>4936</v>
      </c>
      <c r="L23" s="14">
        <f>L21+L22</f>
        <v>2</v>
      </c>
      <c r="M23" s="14">
        <f>M21+M22</f>
        <v>301</v>
      </c>
      <c r="N23" s="14">
        <f>N21+N22</f>
        <v>35937</v>
      </c>
      <c r="O23" s="36"/>
      <c r="P23" s="36"/>
      <c r="Q23" s="40"/>
      <c r="R23" s="5"/>
      <c r="S23" s="27"/>
      <c r="T23" s="27"/>
    </row>
    <row r="24" spans="1:20" x14ac:dyDescent="0.25">
      <c r="A24" s="35" t="s">
        <v>25</v>
      </c>
      <c r="B24" s="33" t="s">
        <v>23</v>
      </c>
      <c r="C24" s="39">
        <v>425400</v>
      </c>
      <c r="D24" s="39">
        <v>417069</v>
      </c>
      <c r="E24" s="39">
        <v>425400</v>
      </c>
      <c r="F24" s="39">
        <v>425356</v>
      </c>
      <c r="G24" s="39">
        <v>-8287</v>
      </c>
      <c r="H24" s="39"/>
      <c r="I24" s="34">
        <v>-6677</v>
      </c>
      <c r="J24" s="12" t="s">
        <v>17</v>
      </c>
      <c r="K24" s="11">
        <v>3798</v>
      </c>
      <c r="L24" s="11">
        <v>8497</v>
      </c>
      <c r="M24" s="11">
        <v>3056</v>
      </c>
      <c r="N24" s="11">
        <v>82930</v>
      </c>
      <c r="O24" s="36">
        <v>72513</v>
      </c>
      <c r="P24" s="36">
        <v>154322</v>
      </c>
      <c r="Q24" s="40">
        <f t="shared" ref="Q24" si="9">IFERROR(L25/H24,0)</f>
        <v>0</v>
      </c>
      <c r="R24" s="5"/>
      <c r="S24" s="27">
        <f>H24-T24</f>
        <v>-48119</v>
      </c>
      <c r="T24" s="27">
        <f>IFERROR(ROUND(INDEX(HV!$A$4:$D$39,MATCH(backup!A24,HV!$A$4:$A$39,0),2)/1000,0),"")</f>
        <v>48119</v>
      </c>
    </row>
    <row r="25" spans="1:20" x14ac:dyDescent="0.25">
      <c r="A25" s="35"/>
      <c r="B25" s="33"/>
      <c r="C25" s="39"/>
      <c r="D25" s="39"/>
      <c r="E25" s="39"/>
      <c r="F25" s="39"/>
      <c r="G25" s="39"/>
      <c r="H25" s="39"/>
      <c r="I25" s="34"/>
      <c r="J25" s="12" t="s">
        <v>26</v>
      </c>
      <c r="K25" s="11">
        <v>-1610</v>
      </c>
      <c r="L25" s="11">
        <f>IFERROR(ROUND(INDEX(HV!$A$4:$D$39,MATCH(backup!A24,HV!$A$4:$A$39,0),4)/1000,0),"")</f>
        <v>0</v>
      </c>
      <c r="M25" s="11"/>
      <c r="N25" s="11"/>
      <c r="O25" s="36"/>
      <c r="P25" s="36"/>
      <c r="Q25" s="40"/>
      <c r="R25" s="5"/>
      <c r="S25" s="27"/>
      <c r="T25" s="27"/>
    </row>
    <row r="26" spans="1:20" x14ac:dyDescent="0.25">
      <c r="A26" s="35"/>
      <c r="B26" s="33"/>
      <c r="C26" s="39"/>
      <c r="D26" s="39"/>
      <c r="E26" s="39"/>
      <c r="F26" s="39"/>
      <c r="G26" s="39"/>
      <c r="H26" s="39"/>
      <c r="I26" s="34"/>
      <c r="J26" s="13" t="s">
        <v>19</v>
      </c>
      <c r="K26" s="14">
        <f>K24+K25</f>
        <v>2188</v>
      </c>
      <c r="L26" s="14">
        <f>L24+L25</f>
        <v>8497</v>
      </c>
      <c r="M26" s="14">
        <f>M24+M25</f>
        <v>3056</v>
      </c>
      <c r="N26" s="14">
        <f>N24+N25</f>
        <v>82930</v>
      </c>
      <c r="O26" s="36"/>
      <c r="P26" s="36"/>
      <c r="Q26" s="40"/>
      <c r="R26" s="5"/>
      <c r="S26" s="27"/>
      <c r="T26" s="27"/>
    </row>
    <row r="27" spans="1:20" x14ac:dyDescent="0.25">
      <c r="A27" s="35" t="s">
        <v>27</v>
      </c>
      <c r="B27" s="33" t="s">
        <v>23</v>
      </c>
      <c r="C27" s="39">
        <v>48551</v>
      </c>
      <c r="D27" s="39">
        <v>47438</v>
      </c>
      <c r="E27" s="39">
        <v>48551</v>
      </c>
      <c r="F27" s="39">
        <v>47095</v>
      </c>
      <c r="G27" s="39"/>
      <c r="H27" s="39">
        <f>D27-F27</f>
        <v>343</v>
      </c>
      <c r="I27" s="34"/>
      <c r="J27" s="12" t="s">
        <v>17</v>
      </c>
      <c r="K27" s="11">
        <v>7165</v>
      </c>
      <c r="L27" s="11">
        <v>1063</v>
      </c>
      <c r="M27" s="11">
        <v>28</v>
      </c>
      <c r="N27" s="11">
        <v>5082</v>
      </c>
      <c r="O27" s="36">
        <v>2291</v>
      </c>
      <c r="P27" s="36">
        <v>4234</v>
      </c>
      <c r="Q27" s="40">
        <f t="shared" si="5"/>
        <v>0</v>
      </c>
      <c r="R27" s="5"/>
      <c r="S27" s="27">
        <f t="shared" ref="S27" si="10">H27-T27</f>
        <v>-1409</v>
      </c>
      <c r="T27" s="27">
        <f>IFERROR(ROUND(INDEX(HV!$A$4:$D$39,MATCH(backup!A27,HV!$A$4:$A$39,0),2)/1000,0),"")</f>
        <v>1752</v>
      </c>
    </row>
    <row r="28" spans="1:20" x14ac:dyDescent="0.25">
      <c r="A28" s="35"/>
      <c r="B28" s="33"/>
      <c r="C28" s="39"/>
      <c r="D28" s="39"/>
      <c r="E28" s="39"/>
      <c r="F28" s="39"/>
      <c r="G28" s="39"/>
      <c r="H28" s="39"/>
      <c r="I28" s="34"/>
      <c r="J28" s="12" t="s">
        <v>18</v>
      </c>
      <c r="K28" s="11">
        <f>IFERROR(ROUND(INDEX(HV!$A$4:$D$39,MATCH(backup!A27,HV!$A$4:$A$39,0),3)/1000,0),"")</f>
        <v>1752</v>
      </c>
      <c r="L28" s="11">
        <f>IFERROR(ROUND(INDEX(HV!$A$4:$D$39,MATCH(backup!A27,HV!$A$4:$A$39,0),4)/1000,0),"")</f>
        <v>0</v>
      </c>
      <c r="M28" s="11"/>
      <c r="N28" s="11"/>
      <c r="O28" s="36"/>
      <c r="P28" s="36"/>
      <c r="Q28" s="40"/>
      <c r="R28" s="5"/>
      <c r="S28" s="27"/>
      <c r="T28" s="27"/>
    </row>
    <row r="29" spans="1:20" x14ac:dyDescent="0.25">
      <c r="A29" s="35"/>
      <c r="B29" s="33"/>
      <c r="C29" s="39"/>
      <c r="D29" s="39"/>
      <c r="E29" s="39"/>
      <c r="F29" s="39"/>
      <c r="G29" s="39"/>
      <c r="H29" s="39"/>
      <c r="I29" s="34">
        <f>SUM(I27:I28)</f>
        <v>0</v>
      </c>
      <c r="J29" s="13" t="s">
        <v>19</v>
      </c>
      <c r="K29" s="14">
        <f>K27+K28</f>
        <v>8917</v>
      </c>
      <c r="L29" s="14">
        <f>L27+L28</f>
        <v>1063</v>
      </c>
      <c r="M29" s="14">
        <f>M27+M28</f>
        <v>28</v>
      </c>
      <c r="N29" s="14">
        <f>N27+N28</f>
        <v>5082</v>
      </c>
      <c r="O29" s="36"/>
      <c r="P29" s="36"/>
      <c r="Q29" s="40"/>
      <c r="R29" s="5"/>
      <c r="S29" s="27"/>
      <c r="T29" s="27"/>
    </row>
    <row r="30" spans="1:20" x14ac:dyDescent="0.25">
      <c r="A30" s="35" t="s">
        <v>28</v>
      </c>
      <c r="B30" s="33" t="s">
        <v>52</v>
      </c>
      <c r="C30" s="39">
        <v>126600</v>
      </c>
      <c r="D30" s="39">
        <v>126612</v>
      </c>
      <c r="E30" s="39">
        <v>126600</v>
      </c>
      <c r="F30" s="39">
        <v>126035</v>
      </c>
      <c r="G30" s="39"/>
      <c r="H30" s="39">
        <f>SUM(D30-F30)</f>
        <v>577</v>
      </c>
      <c r="I30" s="34"/>
      <c r="J30" s="12" t="s">
        <v>17</v>
      </c>
      <c r="K30" s="11">
        <v>33</v>
      </c>
      <c r="L30" s="11">
        <v>417</v>
      </c>
      <c r="M30" s="11">
        <v>438</v>
      </c>
      <c r="N30" s="11">
        <v>1448</v>
      </c>
      <c r="O30" s="36">
        <v>4642</v>
      </c>
      <c r="P30" s="36">
        <v>9394</v>
      </c>
      <c r="Q30" s="40">
        <f t="shared" si="7"/>
        <v>0</v>
      </c>
      <c r="R30" s="5"/>
      <c r="S30" s="27">
        <f t="shared" ref="S30" si="11">H30-T30</f>
        <v>150</v>
      </c>
      <c r="T30" s="27">
        <f>IFERROR(ROUND(INDEX(HV!$A$4:$D$39,MATCH(backup!A30,HV!$A$4:$A$39,0),2)/1000,0),"")</f>
        <v>427</v>
      </c>
    </row>
    <row r="31" spans="1:20" x14ac:dyDescent="0.25">
      <c r="A31" s="35"/>
      <c r="B31" s="33"/>
      <c r="C31" s="39"/>
      <c r="D31" s="39"/>
      <c r="E31" s="39"/>
      <c r="F31" s="39"/>
      <c r="G31" s="39"/>
      <c r="H31" s="39"/>
      <c r="I31" s="34"/>
      <c r="J31" s="12" t="s">
        <v>18</v>
      </c>
      <c r="K31" s="11">
        <f>IFERROR(ROUND(INDEX(HV!$A$4:$D$39,MATCH(backup!A30,HV!$A$4:$A$39,0),3)/1000,0),"")</f>
        <v>427</v>
      </c>
      <c r="L31" s="11">
        <f>IFERROR(ROUND(INDEX(HV!$A$4:$D$39,MATCH(backup!A30,HV!$A$4:$A$39,0),4)/1000,0),"")</f>
        <v>0</v>
      </c>
      <c r="M31" s="11"/>
      <c r="N31" s="11"/>
      <c r="O31" s="36"/>
      <c r="P31" s="36"/>
      <c r="Q31" s="40"/>
      <c r="R31" s="5"/>
      <c r="S31" s="27"/>
      <c r="T31" s="27"/>
    </row>
    <row r="32" spans="1:20" x14ac:dyDescent="0.25">
      <c r="A32" s="35"/>
      <c r="B32" s="33"/>
      <c r="C32" s="39"/>
      <c r="D32" s="39"/>
      <c r="E32" s="39"/>
      <c r="F32" s="39"/>
      <c r="G32" s="39"/>
      <c r="H32" s="39"/>
      <c r="I32" s="34"/>
      <c r="J32" s="13" t="s">
        <v>19</v>
      </c>
      <c r="K32" s="14">
        <f>K30+K31</f>
        <v>460</v>
      </c>
      <c r="L32" s="14">
        <f>L30+L31</f>
        <v>417</v>
      </c>
      <c r="M32" s="14">
        <f>M30+M31</f>
        <v>438</v>
      </c>
      <c r="N32" s="14">
        <f>N30+N31</f>
        <v>1448</v>
      </c>
      <c r="O32" s="36"/>
      <c r="P32" s="36"/>
      <c r="Q32" s="40"/>
      <c r="R32" s="5"/>
      <c r="S32" s="27"/>
      <c r="T32" s="27"/>
    </row>
    <row r="33" spans="1:20" x14ac:dyDescent="0.25">
      <c r="A33" s="35" t="s">
        <v>65</v>
      </c>
      <c r="B33" s="33" t="s">
        <v>52</v>
      </c>
      <c r="C33" s="39">
        <v>113326</v>
      </c>
      <c r="D33" s="39">
        <v>113392</v>
      </c>
      <c r="E33" s="39">
        <v>113326</v>
      </c>
      <c r="F33" s="39">
        <v>113364</v>
      </c>
      <c r="G33" s="39"/>
      <c r="H33" s="39">
        <f>SUM(D33-F33)</f>
        <v>28</v>
      </c>
      <c r="I33" s="34"/>
      <c r="J33" s="12" t="s">
        <v>17</v>
      </c>
      <c r="K33" s="11">
        <v>862</v>
      </c>
      <c r="L33" s="11">
        <v>222</v>
      </c>
      <c r="M33" s="11">
        <v>419</v>
      </c>
      <c r="N33" s="11">
        <v>642</v>
      </c>
      <c r="O33" s="36">
        <v>953</v>
      </c>
      <c r="P33" s="36">
        <v>27419</v>
      </c>
      <c r="Q33" s="40">
        <f t="shared" ref="Q33" si="12">IFERROR(L34/H33,0)</f>
        <v>0</v>
      </c>
      <c r="R33" s="5"/>
      <c r="S33" s="27">
        <f t="shared" ref="S33" si="13">H33-T33</f>
        <v>28</v>
      </c>
      <c r="T33" s="27">
        <f>IFERROR(ROUND(INDEX(HV!$A$4:$D$39,MATCH(backup!A33,HV!$A$4:$A$39,0),2)/1000,0),"")</f>
        <v>0</v>
      </c>
    </row>
    <row r="34" spans="1:20" x14ac:dyDescent="0.25">
      <c r="A34" s="35"/>
      <c r="B34" s="33"/>
      <c r="C34" s="39"/>
      <c r="D34" s="39"/>
      <c r="E34" s="39"/>
      <c r="F34" s="39"/>
      <c r="G34" s="39"/>
      <c r="H34" s="39"/>
      <c r="I34" s="34"/>
      <c r="J34" s="12" t="s">
        <v>18</v>
      </c>
      <c r="K34" s="11">
        <f>IFERROR(ROUND(INDEX(HV!$A$4:$D$39,MATCH(backup!A33,HV!$A$4:$A$39,0),3)/1000,0),"")</f>
        <v>0</v>
      </c>
      <c r="L34" s="11">
        <f>IFERROR(ROUND(INDEX(HV!$A$4:$D$39,MATCH(backup!A33,HV!$A$4:$A$39,0),4)/1000,0),"")</f>
        <v>0</v>
      </c>
      <c r="M34" s="11"/>
      <c r="N34" s="11"/>
      <c r="O34" s="36"/>
      <c r="P34" s="36"/>
      <c r="Q34" s="40"/>
      <c r="R34" s="5"/>
      <c r="S34" s="27"/>
      <c r="T34" s="27"/>
    </row>
    <row r="35" spans="1:20" x14ac:dyDescent="0.25">
      <c r="A35" s="35"/>
      <c r="B35" s="33"/>
      <c r="C35" s="39"/>
      <c r="D35" s="39"/>
      <c r="E35" s="39"/>
      <c r="F35" s="39"/>
      <c r="G35" s="39"/>
      <c r="H35" s="39"/>
      <c r="I35" s="34"/>
      <c r="J35" s="13" t="s">
        <v>19</v>
      </c>
      <c r="K35" s="14">
        <f>K33+K34</f>
        <v>862</v>
      </c>
      <c r="L35" s="14">
        <f>L33+L34</f>
        <v>222</v>
      </c>
      <c r="M35" s="14">
        <f>M33+M34</f>
        <v>419</v>
      </c>
      <c r="N35" s="14">
        <f>N33+N34</f>
        <v>642</v>
      </c>
      <c r="O35" s="36"/>
      <c r="P35" s="36"/>
      <c r="Q35" s="40"/>
      <c r="R35" s="5"/>
      <c r="S35" s="27"/>
      <c r="T35" s="27"/>
    </row>
    <row r="36" spans="1:20" x14ac:dyDescent="0.25">
      <c r="A36" s="35" t="s">
        <v>66</v>
      </c>
      <c r="B36" s="33" t="s">
        <v>52</v>
      </c>
      <c r="C36" s="39">
        <v>35186</v>
      </c>
      <c r="D36" s="39">
        <v>35306</v>
      </c>
      <c r="E36" s="39">
        <v>35186</v>
      </c>
      <c r="F36" s="39">
        <v>35131</v>
      </c>
      <c r="G36" s="39"/>
      <c r="H36" s="39">
        <f>SUM(D36-F36)</f>
        <v>175</v>
      </c>
      <c r="I36" s="34"/>
      <c r="J36" s="12" t="s">
        <v>17</v>
      </c>
      <c r="K36" s="11">
        <v>1432</v>
      </c>
      <c r="L36" s="11">
        <v>196</v>
      </c>
      <c r="M36" s="11">
        <v>154</v>
      </c>
      <c r="N36" s="11">
        <v>943</v>
      </c>
      <c r="O36" s="36">
        <v>244</v>
      </c>
      <c r="P36" s="36">
        <v>2300</v>
      </c>
      <c r="Q36" s="40">
        <f t="shared" si="5"/>
        <v>0</v>
      </c>
      <c r="R36" s="5"/>
      <c r="S36" s="27">
        <f t="shared" ref="S36" si="14">H36-T36</f>
        <v>142</v>
      </c>
      <c r="T36" s="27">
        <f>IFERROR(ROUND(INDEX(HV!$A$4:$D$39,MATCH(backup!A36,HV!$A$4:$A$39,0),2)/1000,0),"")</f>
        <v>33</v>
      </c>
    </row>
    <row r="37" spans="1:20" x14ac:dyDescent="0.25">
      <c r="A37" s="35"/>
      <c r="B37" s="33"/>
      <c r="C37" s="39"/>
      <c r="D37" s="39"/>
      <c r="E37" s="39"/>
      <c r="F37" s="39"/>
      <c r="G37" s="39"/>
      <c r="H37" s="39"/>
      <c r="I37" s="34"/>
      <c r="J37" s="12" t="s">
        <v>18</v>
      </c>
      <c r="K37" s="11">
        <f>IFERROR(ROUND(INDEX(HV!$A$4:$D$39,MATCH(backup!A36,HV!$A$4:$A$39,0),3)/1000,0),"")</f>
        <v>33</v>
      </c>
      <c r="L37" s="11">
        <f>IFERROR(ROUND(INDEX(HV!$A$4:$D$39,MATCH(backup!A36,HV!$A$4:$A$39,0),4)/1000,0),"")</f>
        <v>0</v>
      </c>
      <c r="M37" s="11"/>
      <c r="N37" s="11"/>
      <c r="O37" s="36"/>
      <c r="P37" s="36"/>
      <c r="Q37" s="40"/>
      <c r="R37" s="5"/>
      <c r="S37" s="27"/>
      <c r="T37" s="27"/>
    </row>
    <row r="38" spans="1:20" x14ac:dyDescent="0.25">
      <c r="A38" s="35"/>
      <c r="B38" s="33"/>
      <c r="C38" s="39"/>
      <c r="D38" s="39"/>
      <c r="E38" s="39"/>
      <c r="F38" s="39"/>
      <c r="G38" s="39"/>
      <c r="H38" s="39"/>
      <c r="I38" s="34"/>
      <c r="J38" s="13" t="s">
        <v>19</v>
      </c>
      <c r="K38" s="14">
        <f>K36+K37</f>
        <v>1465</v>
      </c>
      <c r="L38" s="14">
        <f>L36+L37</f>
        <v>196</v>
      </c>
      <c r="M38" s="14">
        <f>M36+M37</f>
        <v>154</v>
      </c>
      <c r="N38" s="14">
        <f>N36+N37</f>
        <v>943</v>
      </c>
      <c r="O38" s="36"/>
      <c r="P38" s="36"/>
      <c r="Q38" s="40"/>
      <c r="R38" s="5"/>
      <c r="S38" s="27"/>
      <c r="T38" s="27"/>
    </row>
    <row r="39" spans="1:20" x14ac:dyDescent="0.25">
      <c r="A39" s="35" t="s">
        <v>29</v>
      </c>
      <c r="B39" s="33" t="s">
        <v>52</v>
      </c>
      <c r="C39" s="39">
        <v>69843</v>
      </c>
      <c r="D39" s="39">
        <v>70117</v>
      </c>
      <c r="E39" s="39">
        <v>69843</v>
      </c>
      <c r="F39" s="39">
        <v>69860</v>
      </c>
      <c r="G39" s="39"/>
      <c r="H39" s="39">
        <f>SUM(D39-F39)</f>
        <v>257</v>
      </c>
      <c r="I39" s="34"/>
      <c r="J39" s="12" t="s">
        <v>17</v>
      </c>
      <c r="K39" s="11">
        <v>766</v>
      </c>
      <c r="L39" s="11">
        <v>244</v>
      </c>
      <c r="M39" s="11">
        <v>751</v>
      </c>
      <c r="N39" s="11">
        <v>1005</v>
      </c>
      <c r="O39" s="36">
        <v>163</v>
      </c>
      <c r="P39" s="36">
        <v>8290</v>
      </c>
      <c r="Q39" s="40">
        <f t="shared" si="7"/>
        <v>0</v>
      </c>
      <c r="R39" s="5"/>
      <c r="S39" s="27">
        <f t="shared" ref="S39" si="15">H39-T39</f>
        <v>255</v>
      </c>
      <c r="T39" s="27">
        <f>IFERROR(ROUND(INDEX(HV!$A$4:$D$39,MATCH(backup!A39,HV!$A$4:$A$39,0),2)/1000,0),"")</f>
        <v>2</v>
      </c>
    </row>
    <row r="40" spans="1:20" x14ac:dyDescent="0.25">
      <c r="A40" s="35"/>
      <c r="B40" s="33"/>
      <c r="C40" s="39"/>
      <c r="D40" s="39"/>
      <c r="E40" s="39"/>
      <c r="F40" s="39"/>
      <c r="G40" s="39"/>
      <c r="H40" s="39"/>
      <c r="I40" s="34"/>
      <c r="J40" s="12" t="s">
        <v>18</v>
      </c>
      <c r="K40" s="11">
        <f>IFERROR(ROUND(INDEX(HV!$A$4:$D$39,MATCH(backup!A39,HV!$A$4:$A$39,0),3)/1000,0),"")</f>
        <v>2</v>
      </c>
      <c r="L40" s="11">
        <f>IFERROR(ROUND(INDEX(HV!$A$4:$D$39,MATCH(backup!A39,HV!$A$4:$A$39,0),4)/1000,0),"")</f>
        <v>0</v>
      </c>
      <c r="M40" s="11"/>
      <c r="N40" s="11"/>
      <c r="O40" s="36"/>
      <c r="P40" s="36"/>
      <c r="Q40" s="40"/>
      <c r="R40" s="5"/>
      <c r="S40" s="27"/>
      <c r="T40" s="27"/>
    </row>
    <row r="41" spans="1:20" x14ac:dyDescent="0.25">
      <c r="A41" s="35"/>
      <c r="B41" s="33"/>
      <c r="C41" s="39"/>
      <c r="D41" s="39"/>
      <c r="E41" s="39"/>
      <c r="F41" s="39"/>
      <c r="G41" s="39"/>
      <c r="H41" s="39"/>
      <c r="I41" s="34"/>
      <c r="J41" s="13" t="s">
        <v>19</v>
      </c>
      <c r="K41" s="14">
        <f>K39+K40</f>
        <v>768</v>
      </c>
      <c r="L41" s="14">
        <f>L39+L40</f>
        <v>244</v>
      </c>
      <c r="M41" s="14">
        <f>M39+M40</f>
        <v>751</v>
      </c>
      <c r="N41" s="14">
        <f>N39+N40</f>
        <v>1005</v>
      </c>
      <c r="O41" s="36"/>
      <c r="P41" s="36"/>
      <c r="Q41" s="40"/>
      <c r="R41" s="5"/>
      <c r="S41" s="27"/>
      <c r="T41" s="27"/>
    </row>
    <row r="42" spans="1:20" x14ac:dyDescent="0.25">
      <c r="A42" s="35" t="s">
        <v>30</v>
      </c>
      <c r="B42" s="33" t="s">
        <v>52</v>
      </c>
      <c r="C42" s="39">
        <v>120700</v>
      </c>
      <c r="D42" s="39">
        <v>120712</v>
      </c>
      <c r="E42" s="39">
        <v>120700</v>
      </c>
      <c r="F42" s="39">
        <v>120677</v>
      </c>
      <c r="G42" s="39"/>
      <c r="H42" s="39">
        <f>SUM(D42-F42)</f>
        <v>35</v>
      </c>
      <c r="I42" s="34"/>
      <c r="J42" s="12" t="s">
        <v>17</v>
      </c>
      <c r="K42" s="11">
        <v>1033</v>
      </c>
      <c r="L42" s="11">
        <v>547</v>
      </c>
      <c r="M42" s="11">
        <v>828</v>
      </c>
      <c r="N42" s="11">
        <v>929</v>
      </c>
      <c r="O42" s="36">
        <v>1960</v>
      </c>
      <c r="P42" s="36">
        <v>11837</v>
      </c>
      <c r="Q42" s="40">
        <f t="shared" ref="Q42" si="16">IFERROR(L43/H42,0)</f>
        <v>0</v>
      </c>
      <c r="R42" s="5"/>
      <c r="S42" s="27">
        <f t="shared" ref="S42" si="17">H42-T42</f>
        <v>30</v>
      </c>
      <c r="T42" s="27">
        <f>IFERROR(ROUND(INDEX(HV!$A$4:$D$39,MATCH(backup!A42,HV!$A$4:$A$39,0),2)/1000,0),"")</f>
        <v>5</v>
      </c>
    </row>
    <row r="43" spans="1:20" x14ac:dyDescent="0.25">
      <c r="A43" s="35"/>
      <c r="B43" s="33"/>
      <c r="C43" s="39"/>
      <c r="D43" s="39"/>
      <c r="E43" s="39"/>
      <c r="F43" s="39"/>
      <c r="G43" s="39"/>
      <c r="H43" s="39"/>
      <c r="I43" s="34"/>
      <c r="J43" s="12" t="s">
        <v>18</v>
      </c>
      <c r="K43" s="11">
        <f>IFERROR(ROUND(INDEX(HV!$A$4:$D$39,MATCH(backup!A42,HV!$A$4:$A$39,0),3)/1000,0),"")</f>
        <v>5</v>
      </c>
      <c r="L43" s="11">
        <f>IFERROR(ROUND(INDEX(HV!$A$4:$D$39,MATCH(backup!A42,HV!$A$4:$A$39,0),4)/1000,0),"")</f>
        <v>0</v>
      </c>
      <c r="M43" s="11"/>
      <c r="N43" s="11"/>
      <c r="O43" s="36"/>
      <c r="P43" s="36"/>
      <c r="Q43" s="40"/>
      <c r="R43" s="5"/>
      <c r="S43" s="27"/>
      <c r="T43" s="27"/>
    </row>
    <row r="44" spans="1:20" x14ac:dyDescent="0.25">
      <c r="A44" s="35"/>
      <c r="B44" s="33"/>
      <c r="C44" s="39"/>
      <c r="D44" s="39"/>
      <c r="E44" s="39"/>
      <c r="F44" s="39"/>
      <c r="G44" s="39"/>
      <c r="H44" s="39"/>
      <c r="I44" s="34"/>
      <c r="J44" s="13" t="s">
        <v>19</v>
      </c>
      <c r="K44" s="14">
        <f>K42+K43</f>
        <v>1038</v>
      </c>
      <c r="L44" s="14">
        <f>L42+L43</f>
        <v>547</v>
      </c>
      <c r="M44" s="14">
        <f>M42+M43</f>
        <v>828</v>
      </c>
      <c r="N44" s="14">
        <f>N42+N43</f>
        <v>929</v>
      </c>
      <c r="O44" s="36"/>
      <c r="P44" s="36"/>
      <c r="Q44" s="40"/>
      <c r="R44" s="5"/>
      <c r="S44" s="27"/>
      <c r="T44" s="27"/>
    </row>
    <row r="45" spans="1:20" x14ac:dyDescent="0.25">
      <c r="A45" s="35" t="s">
        <v>31</v>
      </c>
      <c r="B45" s="33" t="s">
        <v>52</v>
      </c>
      <c r="C45" s="39">
        <v>66100</v>
      </c>
      <c r="D45" s="39">
        <v>66189</v>
      </c>
      <c r="E45" s="39">
        <v>66100</v>
      </c>
      <c r="F45" s="39">
        <v>65813</v>
      </c>
      <c r="G45" s="39"/>
      <c r="H45" s="39">
        <f>SUM(D45-F45)</f>
        <v>376</v>
      </c>
      <c r="I45" s="34"/>
      <c r="J45" s="12" t="s">
        <v>17</v>
      </c>
      <c r="K45" s="11">
        <v>1271</v>
      </c>
      <c r="L45" s="11">
        <v>724</v>
      </c>
      <c r="M45" s="11">
        <v>303</v>
      </c>
      <c r="N45" s="11">
        <v>737</v>
      </c>
      <c r="O45" s="36">
        <v>3737</v>
      </c>
      <c r="P45" s="36">
        <v>10416</v>
      </c>
      <c r="Q45" s="40">
        <f t="shared" si="5"/>
        <v>0</v>
      </c>
      <c r="R45" s="5"/>
      <c r="S45" s="27">
        <f t="shared" ref="S45" si="18">H45-T45</f>
        <v>158</v>
      </c>
      <c r="T45" s="27">
        <f>IFERROR(ROUND(INDEX(HV!$A$4:$D$39,MATCH(backup!A45,HV!$A$4:$A$39,0),2)/1000,0),"")</f>
        <v>218</v>
      </c>
    </row>
    <row r="46" spans="1:20" x14ac:dyDescent="0.25">
      <c r="A46" s="35"/>
      <c r="B46" s="33"/>
      <c r="C46" s="39"/>
      <c r="D46" s="39"/>
      <c r="E46" s="39"/>
      <c r="F46" s="39"/>
      <c r="G46" s="39"/>
      <c r="H46" s="39"/>
      <c r="I46" s="34"/>
      <c r="J46" s="12" t="s">
        <v>18</v>
      </c>
      <c r="K46" s="11">
        <f>IFERROR(ROUND(INDEX(HV!$A$4:$D$39,MATCH(backup!A45,HV!$A$4:$A$39,0),3)/1000,0),"")</f>
        <v>218</v>
      </c>
      <c r="L46" s="11">
        <f>IFERROR(ROUND(INDEX(HV!$A$4:$D$39,MATCH(backup!A45,HV!$A$4:$A$39,0),4)/1000,0),"")</f>
        <v>0</v>
      </c>
      <c r="M46" s="11"/>
      <c r="N46" s="11"/>
      <c r="O46" s="36"/>
      <c r="P46" s="36"/>
      <c r="Q46" s="40"/>
      <c r="R46" s="5"/>
      <c r="S46" s="27"/>
      <c r="T46" s="27"/>
    </row>
    <row r="47" spans="1:20" x14ac:dyDescent="0.25">
      <c r="A47" s="35"/>
      <c r="B47" s="33"/>
      <c r="C47" s="39"/>
      <c r="D47" s="39"/>
      <c r="E47" s="39"/>
      <c r="F47" s="39"/>
      <c r="G47" s="39"/>
      <c r="H47" s="39"/>
      <c r="I47" s="34"/>
      <c r="J47" s="13" t="s">
        <v>19</v>
      </c>
      <c r="K47" s="14">
        <f>K45+K46</f>
        <v>1489</v>
      </c>
      <c r="L47" s="14">
        <f>L45+L46</f>
        <v>724</v>
      </c>
      <c r="M47" s="14">
        <f>M45+M46</f>
        <v>303</v>
      </c>
      <c r="N47" s="14">
        <f>N45+N46</f>
        <v>737</v>
      </c>
      <c r="O47" s="36"/>
      <c r="P47" s="36"/>
      <c r="Q47" s="40"/>
      <c r="R47" s="5"/>
      <c r="S47" s="27"/>
      <c r="T47" s="27"/>
    </row>
    <row r="48" spans="1:20" x14ac:dyDescent="0.25">
      <c r="A48" s="35" t="s">
        <v>32</v>
      </c>
      <c r="B48" s="33" t="s">
        <v>52</v>
      </c>
      <c r="C48" s="39">
        <v>22207</v>
      </c>
      <c r="D48" s="39">
        <v>22249</v>
      </c>
      <c r="E48" s="39">
        <v>22207</v>
      </c>
      <c r="F48" s="39">
        <v>22139</v>
      </c>
      <c r="G48" s="39"/>
      <c r="H48" s="39">
        <f>SUM(D48-F48)</f>
        <v>110</v>
      </c>
      <c r="I48" s="34"/>
      <c r="J48" s="12" t="s">
        <v>17</v>
      </c>
      <c r="K48" s="11">
        <v>560</v>
      </c>
      <c r="L48" s="11">
        <v>308.96100000000001</v>
      </c>
      <c r="M48" s="11">
        <v>138</v>
      </c>
      <c r="N48" s="11">
        <v>1308</v>
      </c>
      <c r="O48" s="36">
        <v>87</v>
      </c>
      <c r="P48" s="36">
        <v>2406</v>
      </c>
      <c r="Q48" s="40">
        <f t="shared" si="7"/>
        <v>0</v>
      </c>
      <c r="R48" s="5"/>
      <c r="S48" s="27">
        <f t="shared" ref="S48" si="19">H48-T48</f>
        <v>105</v>
      </c>
      <c r="T48" s="27">
        <f>IFERROR(ROUND(INDEX(HV!$A$4:$D$39,MATCH(backup!A48,HV!$A$4:$A$39,0),2)/1000,0),"")</f>
        <v>5</v>
      </c>
    </row>
    <row r="49" spans="1:20" x14ac:dyDescent="0.25">
      <c r="A49" s="35"/>
      <c r="B49" s="33"/>
      <c r="C49" s="39"/>
      <c r="D49" s="39"/>
      <c r="E49" s="39"/>
      <c r="F49" s="39"/>
      <c r="G49" s="39"/>
      <c r="H49" s="39"/>
      <c r="I49" s="34"/>
      <c r="J49" s="12" t="s">
        <v>18</v>
      </c>
      <c r="K49" s="11">
        <f>IFERROR(ROUND(INDEX(HV!$A$4:$D$39,MATCH(backup!A48,HV!$A$4:$A$39,0),3)/1000,0),"")</f>
        <v>5</v>
      </c>
      <c r="L49" s="11">
        <f>IFERROR(ROUND(INDEX(HV!$A$4:$D$39,MATCH(backup!A48,HV!$A$4:$A$39,0),4)/1000,0),"")</f>
        <v>0</v>
      </c>
      <c r="M49" s="11"/>
      <c r="N49" s="11"/>
      <c r="O49" s="36"/>
      <c r="P49" s="36"/>
      <c r="Q49" s="40"/>
      <c r="R49" s="5"/>
      <c r="S49" s="27"/>
      <c r="T49" s="27"/>
    </row>
    <row r="50" spans="1:20" x14ac:dyDescent="0.25">
      <c r="A50" s="35"/>
      <c r="B50" s="33"/>
      <c r="C50" s="39"/>
      <c r="D50" s="39"/>
      <c r="E50" s="39"/>
      <c r="F50" s="39"/>
      <c r="G50" s="39"/>
      <c r="H50" s="39"/>
      <c r="I50" s="34"/>
      <c r="J50" s="13" t="s">
        <v>19</v>
      </c>
      <c r="K50" s="14">
        <f>K48+K49</f>
        <v>565</v>
      </c>
      <c r="L50" s="14">
        <f>L48+L49</f>
        <v>308.96100000000001</v>
      </c>
      <c r="M50" s="14">
        <f>M48+M49</f>
        <v>138</v>
      </c>
      <c r="N50" s="14">
        <f>N48+N49</f>
        <v>1308</v>
      </c>
      <c r="O50" s="36"/>
      <c r="P50" s="36"/>
      <c r="Q50" s="40"/>
      <c r="R50" s="5"/>
      <c r="S50" s="27"/>
      <c r="T50" s="27"/>
    </row>
    <row r="51" spans="1:20" x14ac:dyDescent="0.25">
      <c r="A51" s="35" t="s">
        <v>33</v>
      </c>
      <c r="B51" s="33" t="s">
        <v>52</v>
      </c>
      <c r="C51" s="39">
        <v>22560</v>
      </c>
      <c r="D51" s="39">
        <v>22811</v>
      </c>
      <c r="E51" s="39">
        <v>22560</v>
      </c>
      <c r="F51" s="39">
        <v>22560</v>
      </c>
      <c r="G51" s="39"/>
      <c r="H51" s="39">
        <f>SUM(D51-F51)</f>
        <v>251</v>
      </c>
      <c r="I51" s="34"/>
      <c r="J51" s="12" t="s">
        <v>17</v>
      </c>
      <c r="K51" s="11">
        <v>835</v>
      </c>
      <c r="L51" s="11">
        <v>416.85329000000002</v>
      </c>
      <c r="M51" s="11">
        <v>33</v>
      </c>
      <c r="N51" s="11">
        <v>1159</v>
      </c>
      <c r="O51" s="36">
        <v>339</v>
      </c>
      <c r="P51" s="36">
        <v>1824</v>
      </c>
      <c r="Q51" s="40">
        <f t="shared" ref="Q51" si="20">IFERROR(L52/H51,0)</f>
        <v>0.12749003984063745</v>
      </c>
      <c r="R51" s="5"/>
      <c r="S51" s="27">
        <f t="shared" ref="S51" si="21">H51-T51</f>
        <v>119</v>
      </c>
      <c r="T51" s="27">
        <f>IFERROR(ROUND(INDEX(HV!$A$4:$D$39,MATCH(backup!A51,HV!$A$4:$A$39,0),2)/1000,0),"")</f>
        <v>132</v>
      </c>
    </row>
    <row r="52" spans="1:20" x14ac:dyDescent="0.25">
      <c r="A52" s="35"/>
      <c r="B52" s="33"/>
      <c r="C52" s="39"/>
      <c r="D52" s="39"/>
      <c r="E52" s="39"/>
      <c r="F52" s="39"/>
      <c r="G52" s="39"/>
      <c r="H52" s="39"/>
      <c r="I52" s="34"/>
      <c r="J52" s="12" t="s">
        <v>18</v>
      </c>
      <c r="K52" s="11">
        <f>IFERROR(ROUND(INDEX(HV!$A$4:$D$39,MATCH(backup!A51,HV!$A$4:$A$39,0),3)/1000,0),"")</f>
        <v>100</v>
      </c>
      <c r="L52" s="11">
        <f>IFERROR(ROUND(INDEX(HV!$A$4:$D$39,MATCH(backup!A51,HV!$A$4:$A$39,0),4)/1000,0),"")</f>
        <v>32</v>
      </c>
      <c r="M52" s="11"/>
      <c r="N52" s="11"/>
      <c r="O52" s="36"/>
      <c r="P52" s="36"/>
      <c r="Q52" s="40"/>
      <c r="R52" s="5"/>
      <c r="S52" s="27"/>
      <c r="T52" s="27"/>
    </row>
    <row r="53" spans="1:20" x14ac:dyDescent="0.25">
      <c r="A53" s="35"/>
      <c r="B53" s="33"/>
      <c r="C53" s="39"/>
      <c r="D53" s="39"/>
      <c r="E53" s="39"/>
      <c r="F53" s="39"/>
      <c r="G53" s="39"/>
      <c r="H53" s="39"/>
      <c r="I53" s="34"/>
      <c r="J53" s="13" t="s">
        <v>19</v>
      </c>
      <c r="K53" s="14">
        <f>K51+K52</f>
        <v>935</v>
      </c>
      <c r="L53" s="14">
        <f>L51+L52</f>
        <v>448.85329000000002</v>
      </c>
      <c r="M53" s="14">
        <f>M51+M52</f>
        <v>33</v>
      </c>
      <c r="N53" s="14">
        <f>N51+N52</f>
        <v>1159</v>
      </c>
      <c r="O53" s="36"/>
      <c r="P53" s="36"/>
      <c r="Q53" s="40"/>
      <c r="R53" s="5"/>
      <c r="S53" s="27"/>
      <c r="T53" s="27"/>
    </row>
    <row r="54" spans="1:20" x14ac:dyDescent="0.25">
      <c r="A54" s="35" t="s">
        <v>34</v>
      </c>
      <c r="B54" s="33" t="s">
        <v>52</v>
      </c>
      <c r="C54" s="39">
        <v>27461</v>
      </c>
      <c r="D54" s="39">
        <v>27552</v>
      </c>
      <c r="E54" s="39">
        <v>27461</v>
      </c>
      <c r="F54" s="39">
        <v>27388</v>
      </c>
      <c r="G54" s="39"/>
      <c r="H54" s="39">
        <f>SUM(D54-F54)</f>
        <v>164</v>
      </c>
      <c r="I54" s="34"/>
      <c r="J54" s="12" t="s">
        <v>17</v>
      </c>
      <c r="K54" s="11">
        <v>1034</v>
      </c>
      <c r="L54" s="11">
        <v>653</v>
      </c>
      <c r="M54" s="11">
        <v>55</v>
      </c>
      <c r="N54" s="11">
        <v>1418</v>
      </c>
      <c r="O54" s="36">
        <v>200</v>
      </c>
      <c r="P54" s="36">
        <v>2313</v>
      </c>
      <c r="Q54" s="40">
        <f t="shared" si="5"/>
        <v>0</v>
      </c>
      <c r="R54" s="5"/>
      <c r="S54" s="27">
        <f t="shared" ref="S54" si="22">H54-T54</f>
        <v>158</v>
      </c>
      <c r="T54" s="27">
        <f>IFERROR(ROUND(INDEX(HV!$A$4:$D$39,MATCH(backup!A54,HV!$A$4:$A$39,0),2)/1000,0),"")</f>
        <v>6</v>
      </c>
    </row>
    <row r="55" spans="1:20" x14ac:dyDescent="0.25">
      <c r="A55" s="35"/>
      <c r="B55" s="33"/>
      <c r="C55" s="39"/>
      <c r="D55" s="39"/>
      <c r="E55" s="39"/>
      <c r="F55" s="39"/>
      <c r="G55" s="39"/>
      <c r="H55" s="39"/>
      <c r="I55" s="34"/>
      <c r="J55" s="12" t="s">
        <v>18</v>
      </c>
      <c r="K55" s="11">
        <f>IFERROR(ROUND(INDEX(HV!$A$4:$D$39,MATCH(backup!A54,HV!$A$4:$A$39,0),3)/1000,0),"")</f>
        <v>6</v>
      </c>
      <c r="L55" s="11">
        <f>IFERROR(ROUND(INDEX(HV!$A$4:$D$39,MATCH(backup!A54,HV!$A$4:$A$39,0),4)/1000,0),"")</f>
        <v>0</v>
      </c>
      <c r="M55" s="11"/>
      <c r="N55" s="11"/>
      <c r="O55" s="36"/>
      <c r="P55" s="36"/>
      <c r="Q55" s="40"/>
      <c r="R55" s="5"/>
      <c r="S55" s="27"/>
      <c r="T55" s="27"/>
    </row>
    <row r="56" spans="1:20" x14ac:dyDescent="0.25">
      <c r="A56" s="35"/>
      <c r="B56" s="33"/>
      <c r="C56" s="39"/>
      <c r="D56" s="39"/>
      <c r="E56" s="39"/>
      <c r="F56" s="39"/>
      <c r="G56" s="39"/>
      <c r="H56" s="39"/>
      <c r="I56" s="34"/>
      <c r="J56" s="13" t="s">
        <v>19</v>
      </c>
      <c r="K56" s="14">
        <f>K54+K55</f>
        <v>1040</v>
      </c>
      <c r="L56" s="14">
        <f>L54+L55</f>
        <v>653</v>
      </c>
      <c r="M56" s="14">
        <f>M54+M55</f>
        <v>55</v>
      </c>
      <c r="N56" s="14">
        <f>N54+N55</f>
        <v>1418</v>
      </c>
      <c r="O56" s="36"/>
      <c r="P56" s="36"/>
      <c r="Q56" s="40"/>
      <c r="R56" s="5"/>
      <c r="S56" s="27"/>
      <c r="T56" s="27"/>
    </row>
    <row r="57" spans="1:20" x14ac:dyDescent="0.25">
      <c r="A57" s="35" t="s">
        <v>35</v>
      </c>
      <c r="B57" s="33" t="s">
        <v>52</v>
      </c>
      <c r="C57" s="39">
        <v>51150</v>
      </c>
      <c r="D57" s="39">
        <v>51341</v>
      </c>
      <c r="E57" s="39">
        <v>51150</v>
      </c>
      <c r="F57" s="39">
        <v>51150</v>
      </c>
      <c r="G57" s="39"/>
      <c r="H57" s="39">
        <f>SUM(D57-F57)</f>
        <v>191</v>
      </c>
      <c r="I57" s="34"/>
      <c r="J57" s="12" t="s">
        <v>17</v>
      </c>
      <c r="K57" s="11">
        <v>96</v>
      </c>
      <c r="L57" s="11">
        <v>406.92899999999997</v>
      </c>
      <c r="M57" s="11">
        <v>94</v>
      </c>
      <c r="N57" s="11">
        <v>752</v>
      </c>
      <c r="O57" s="36">
        <v>613</v>
      </c>
      <c r="P57" s="36">
        <v>3338</v>
      </c>
      <c r="Q57" s="40">
        <f t="shared" si="7"/>
        <v>0</v>
      </c>
      <c r="R57" s="5"/>
      <c r="S57" s="27">
        <f t="shared" ref="S57" si="23">H57-T57</f>
        <v>179</v>
      </c>
      <c r="T57" s="27">
        <f>IFERROR(ROUND(INDEX(HV!$A$4:$D$39,MATCH(backup!A57,HV!$A$4:$A$39,0),2)/1000,0),"")</f>
        <v>12</v>
      </c>
    </row>
    <row r="58" spans="1:20" x14ac:dyDescent="0.25">
      <c r="A58" s="35"/>
      <c r="B58" s="33"/>
      <c r="C58" s="39"/>
      <c r="D58" s="39"/>
      <c r="E58" s="39"/>
      <c r="F58" s="39"/>
      <c r="G58" s="39"/>
      <c r="H58" s="39"/>
      <c r="I58" s="34"/>
      <c r="J58" s="12" t="s">
        <v>18</v>
      </c>
      <c r="K58" s="11">
        <f>IFERROR(ROUND(INDEX(HV!$A$4:$D$39,MATCH(backup!A57,HV!$A$4:$A$39,0),3)/1000,0),"")</f>
        <v>12</v>
      </c>
      <c r="L58" s="11">
        <f>IFERROR(ROUND(INDEX(HV!$A$4:$D$39,MATCH(backup!A57,HV!$A$4:$A$39,0),4)/1000,0),"")</f>
        <v>0</v>
      </c>
      <c r="M58" s="11"/>
      <c r="N58" s="11"/>
      <c r="O58" s="36"/>
      <c r="P58" s="36"/>
      <c r="Q58" s="40"/>
      <c r="R58" s="5"/>
      <c r="S58" s="27"/>
      <c r="T58" s="27"/>
    </row>
    <row r="59" spans="1:20" x14ac:dyDescent="0.25">
      <c r="A59" s="35"/>
      <c r="B59" s="33"/>
      <c r="C59" s="39"/>
      <c r="D59" s="39"/>
      <c r="E59" s="39"/>
      <c r="F59" s="39"/>
      <c r="G59" s="39"/>
      <c r="H59" s="39"/>
      <c r="I59" s="34"/>
      <c r="J59" s="13" t="s">
        <v>19</v>
      </c>
      <c r="K59" s="14">
        <f>K57+K58</f>
        <v>108</v>
      </c>
      <c r="L59" s="14">
        <f>L57+L58</f>
        <v>406.92899999999997</v>
      </c>
      <c r="M59" s="14">
        <f>M57+M58</f>
        <v>94</v>
      </c>
      <c r="N59" s="14">
        <f>N57+N58</f>
        <v>752</v>
      </c>
      <c r="O59" s="36"/>
      <c r="P59" s="36"/>
      <c r="Q59" s="40"/>
      <c r="R59" s="5"/>
      <c r="S59" s="27"/>
      <c r="T59" s="27"/>
    </row>
    <row r="60" spans="1:20" x14ac:dyDescent="0.25">
      <c r="A60" s="35" t="s">
        <v>36</v>
      </c>
      <c r="B60" s="33" t="s">
        <v>52</v>
      </c>
      <c r="C60" s="39">
        <v>48916</v>
      </c>
      <c r="D60" s="39">
        <v>49087</v>
      </c>
      <c r="E60" s="39">
        <v>48916</v>
      </c>
      <c r="F60" s="39">
        <v>48827</v>
      </c>
      <c r="G60" s="39"/>
      <c r="H60" s="39">
        <f>SUM(D60-F60)</f>
        <v>260</v>
      </c>
      <c r="I60" s="34"/>
      <c r="J60" s="12" t="s">
        <v>17</v>
      </c>
      <c r="K60" s="11">
        <v>1335</v>
      </c>
      <c r="L60" s="11">
        <v>1156.556</v>
      </c>
      <c r="M60" s="11">
        <v>166</v>
      </c>
      <c r="N60" s="11">
        <v>273</v>
      </c>
      <c r="O60" s="36">
        <v>977</v>
      </c>
      <c r="P60" s="36">
        <v>3578</v>
      </c>
      <c r="Q60" s="40">
        <f t="shared" ref="Q60" si="24">IFERROR(L61/H60,0)</f>
        <v>0</v>
      </c>
      <c r="R60" s="5"/>
      <c r="S60" s="27">
        <f t="shared" ref="S60" si="25">H60-T60</f>
        <v>244</v>
      </c>
      <c r="T60" s="27">
        <f>IFERROR(ROUND(INDEX(HV!$A$4:$D$39,MATCH(backup!A60,HV!$A$4:$A$39,0),2)/1000,0),"")</f>
        <v>16</v>
      </c>
    </row>
    <row r="61" spans="1:20" x14ac:dyDescent="0.25">
      <c r="A61" s="35"/>
      <c r="B61" s="33"/>
      <c r="C61" s="39"/>
      <c r="D61" s="39"/>
      <c r="E61" s="39"/>
      <c r="F61" s="39"/>
      <c r="G61" s="39"/>
      <c r="H61" s="39"/>
      <c r="I61" s="34"/>
      <c r="J61" s="12" t="s">
        <v>18</v>
      </c>
      <c r="K61" s="11">
        <f>IFERROR(ROUND(INDEX(HV!$A$4:$D$39,MATCH(backup!A60,HV!$A$4:$A$39,0),3)/1000,0),"")</f>
        <v>16</v>
      </c>
      <c r="L61" s="11">
        <f>IFERROR(ROUND(INDEX(HV!$A$4:$D$39,MATCH(backup!A60,HV!$A$4:$A$39,0),4)/1000,0),"")</f>
        <v>0</v>
      </c>
      <c r="M61" s="11"/>
      <c r="N61" s="11"/>
      <c r="O61" s="36"/>
      <c r="P61" s="36"/>
      <c r="Q61" s="40"/>
      <c r="R61" s="5"/>
      <c r="S61" s="27"/>
      <c r="T61" s="27"/>
    </row>
    <row r="62" spans="1:20" x14ac:dyDescent="0.25">
      <c r="A62" s="35"/>
      <c r="B62" s="33"/>
      <c r="C62" s="39"/>
      <c r="D62" s="39"/>
      <c r="E62" s="39"/>
      <c r="F62" s="39"/>
      <c r="G62" s="39"/>
      <c r="H62" s="39"/>
      <c r="I62" s="34"/>
      <c r="J62" s="13" t="s">
        <v>19</v>
      </c>
      <c r="K62" s="14">
        <f>K60+K61</f>
        <v>1351</v>
      </c>
      <c r="L62" s="14">
        <f>L60+L61</f>
        <v>1156.556</v>
      </c>
      <c r="M62" s="14">
        <f>M60+M61</f>
        <v>166</v>
      </c>
      <c r="N62" s="14">
        <f>N60+N61</f>
        <v>273</v>
      </c>
      <c r="O62" s="36"/>
      <c r="P62" s="36"/>
      <c r="Q62" s="40"/>
      <c r="R62" s="5"/>
      <c r="S62" s="27"/>
      <c r="T62" s="27"/>
    </row>
    <row r="63" spans="1:20" x14ac:dyDescent="0.25">
      <c r="A63" s="35" t="s">
        <v>37</v>
      </c>
      <c r="B63" s="33" t="s">
        <v>52</v>
      </c>
      <c r="C63" s="39">
        <v>40239</v>
      </c>
      <c r="D63" s="39">
        <v>40335</v>
      </c>
      <c r="E63" s="39">
        <v>40239</v>
      </c>
      <c r="F63" s="39">
        <v>40274</v>
      </c>
      <c r="G63" s="39"/>
      <c r="H63" s="39">
        <f>SUM(D63-F63)</f>
        <v>61</v>
      </c>
      <c r="I63" s="34"/>
      <c r="J63" s="12" t="s">
        <v>17</v>
      </c>
      <c r="K63" s="11">
        <v>235</v>
      </c>
      <c r="L63" s="11">
        <v>143</v>
      </c>
      <c r="M63" s="11">
        <v>56</v>
      </c>
      <c r="N63" s="11">
        <v>23</v>
      </c>
      <c r="O63" s="36">
        <v>704</v>
      </c>
      <c r="P63" s="36">
        <v>3610</v>
      </c>
      <c r="Q63" s="40">
        <f t="shared" si="5"/>
        <v>0</v>
      </c>
      <c r="R63" s="5"/>
      <c r="S63" s="27">
        <f t="shared" ref="S63" si="26">H63-T63</f>
        <v>52</v>
      </c>
      <c r="T63" s="27">
        <f>IFERROR(ROUND(INDEX(HV!$A$4:$D$39,MATCH(backup!A63,HV!$A$4:$A$39,0),2)/1000,0),"")</f>
        <v>9</v>
      </c>
    </row>
    <row r="64" spans="1:20" x14ac:dyDescent="0.25">
      <c r="A64" s="35"/>
      <c r="B64" s="33"/>
      <c r="C64" s="39"/>
      <c r="D64" s="39"/>
      <c r="E64" s="39"/>
      <c r="F64" s="39"/>
      <c r="G64" s="39"/>
      <c r="H64" s="39"/>
      <c r="I64" s="34"/>
      <c r="J64" s="12" t="s">
        <v>18</v>
      </c>
      <c r="K64" s="11">
        <f>IFERROR(ROUND(INDEX(HV!$A$4:$D$39,MATCH(backup!A63,HV!$A$4:$A$39,0),3)/1000,0),"")</f>
        <v>9</v>
      </c>
      <c r="L64" s="11">
        <f>IFERROR(ROUND(INDEX(HV!$A$4:$D$39,MATCH(backup!A63,HV!$A$4:$A$39,0),4)/1000,0),"")</f>
        <v>0</v>
      </c>
      <c r="M64" s="11"/>
      <c r="N64" s="11"/>
      <c r="O64" s="36"/>
      <c r="P64" s="36"/>
      <c r="Q64" s="40"/>
      <c r="R64" s="5"/>
      <c r="S64" s="27"/>
      <c r="T64" s="27"/>
    </row>
    <row r="65" spans="1:20" x14ac:dyDescent="0.25">
      <c r="A65" s="35"/>
      <c r="B65" s="33"/>
      <c r="C65" s="39"/>
      <c r="D65" s="39"/>
      <c r="E65" s="39"/>
      <c r="F65" s="39"/>
      <c r="G65" s="39"/>
      <c r="H65" s="39"/>
      <c r="I65" s="34"/>
      <c r="J65" s="13" t="s">
        <v>19</v>
      </c>
      <c r="K65" s="14">
        <f>K63+K64</f>
        <v>244</v>
      </c>
      <c r="L65" s="14">
        <f>L63+L64</f>
        <v>143</v>
      </c>
      <c r="M65" s="14">
        <f>M63+M64</f>
        <v>56</v>
      </c>
      <c r="N65" s="14">
        <f>N63+N64</f>
        <v>23</v>
      </c>
      <c r="O65" s="36"/>
      <c r="P65" s="36"/>
      <c r="Q65" s="40"/>
      <c r="R65" s="5"/>
      <c r="S65" s="27"/>
      <c r="T65" s="27"/>
    </row>
    <row r="66" spans="1:20" x14ac:dyDescent="0.25">
      <c r="A66" s="35" t="s">
        <v>38</v>
      </c>
      <c r="B66" s="33" t="s">
        <v>39</v>
      </c>
      <c r="C66" s="39">
        <v>374548</v>
      </c>
      <c r="D66" s="39">
        <v>382756</v>
      </c>
      <c r="E66" s="39">
        <v>374146</v>
      </c>
      <c r="F66" s="39">
        <v>379013</v>
      </c>
      <c r="G66" s="39"/>
      <c r="H66" s="39">
        <f>SUM(D66-F66)</f>
        <v>3743</v>
      </c>
      <c r="I66" s="34"/>
      <c r="J66" s="12" t="s">
        <v>17</v>
      </c>
      <c r="K66" s="11">
        <v>163</v>
      </c>
      <c r="L66" s="11">
        <v>28</v>
      </c>
      <c r="M66" s="11">
        <v>451</v>
      </c>
      <c r="N66" s="11">
        <v>2287</v>
      </c>
      <c r="O66" s="36">
        <v>9836</v>
      </c>
      <c r="P66" s="36">
        <v>48375</v>
      </c>
      <c r="Q66" s="40">
        <f t="shared" si="7"/>
        <v>0</v>
      </c>
      <c r="R66" s="5"/>
      <c r="S66" s="27">
        <f t="shared" ref="S66" si="27">H66-T66</f>
        <v>3743</v>
      </c>
      <c r="T66" s="27">
        <f>IFERROR(ROUND(INDEX(HV!$A$4:$D$39,MATCH(backup!A66,HV!$A$4:$A$39,0),2)/1000,0),"")</f>
        <v>0</v>
      </c>
    </row>
    <row r="67" spans="1:20" x14ac:dyDescent="0.25">
      <c r="A67" s="35"/>
      <c r="B67" s="33"/>
      <c r="C67" s="39"/>
      <c r="D67" s="39"/>
      <c r="E67" s="39"/>
      <c r="F67" s="39"/>
      <c r="G67" s="39"/>
      <c r="H67" s="39"/>
      <c r="I67" s="34"/>
      <c r="J67" s="12" t="s">
        <v>18</v>
      </c>
      <c r="K67" s="11">
        <f>IFERROR(ROUND(INDEX(HV!$A$4:$D$39,MATCH(backup!A66,HV!$A$4:$A$39,0),3)/1000,0),"")</f>
        <v>0</v>
      </c>
      <c r="L67" s="11">
        <f>IFERROR(ROUND(INDEX(HV!$A$4:$D$39,MATCH(backup!A66,HV!$A$4:$A$39,0),4)/1000,0),"")</f>
        <v>0</v>
      </c>
      <c r="M67" s="11"/>
      <c r="N67" s="11"/>
      <c r="O67" s="36"/>
      <c r="P67" s="36"/>
      <c r="Q67" s="40"/>
      <c r="R67" s="5"/>
      <c r="S67" s="27"/>
      <c r="T67" s="27"/>
    </row>
    <row r="68" spans="1:20" x14ac:dyDescent="0.25">
      <c r="A68" s="35"/>
      <c r="B68" s="33"/>
      <c r="C68" s="39"/>
      <c r="D68" s="39"/>
      <c r="E68" s="39"/>
      <c r="F68" s="39"/>
      <c r="G68" s="39"/>
      <c r="H68" s="39"/>
      <c r="I68" s="34"/>
      <c r="J68" s="13" t="s">
        <v>19</v>
      </c>
      <c r="K68" s="14">
        <f>K66+K67</f>
        <v>163</v>
      </c>
      <c r="L68" s="14">
        <f>L66+L67</f>
        <v>28</v>
      </c>
      <c r="M68" s="14">
        <f>M66+M67</f>
        <v>451</v>
      </c>
      <c r="N68" s="14">
        <f>N66+N67</f>
        <v>2287</v>
      </c>
      <c r="O68" s="36"/>
      <c r="P68" s="36"/>
      <c r="Q68" s="40"/>
      <c r="R68" s="5"/>
      <c r="S68" s="27"/>
      <c r="T68" s="27"/>
    </row>
    <row r="69" spans="1:20" x14ac:dyDescent="0.25">
      <c r="A69" s="35" t="s">
        <v>67</v>
      </c>
      <c r="B69" s="33" t="s">
        <v>39</v>
      </c>
      <c r="C69" s="39">
        <v>43792</v>
      </c>
      <c r="D69" s="39">
        <v>45915</v>
      </c>
      <c r="E69" s="39">
        <v>43792</v>
      </c>
      <c r="F69" s="39">
        <v>45809</v>
      </c>
      <c r="G69" s="39"/>
      <c r="H69" s="39">
        <f>SUM(D69-F69)</f>
        <v>106</v>
      </c>
      <c r="I69" s="34"/>
      <c r="J69" s="12" t="s">
        <v>17</v>
      </c>
      <c r="K69" s="11">
        <v>852</v>
      </c>
      <c r="L69" s="11">
        <v>317</v>
      </c>
      <c r="M69" s="11">
        <v>362</v>
      </c>
      <c r="N69" s="11">
        <v>1741</v>
      </c>
      <c r="O69" s="36">
        <v>1083</v>
      </c>
      <c r="P69" s="36">
        <v>5569</v>
      </c>
      <c r="Q69" s="40">
        <f t="shared" ref="Q69" si="28">IFERROR(L70/H69,0)</f>
        <v>0</v>
      </c>
      <c r="R69" s="5"/>
      <c r="S69" s="27">
        <f t="shared" ref="S69" si="29">H69-T69</f>
        <v>106</v>
      </c>
      <c r="T69" s="27">
        <f>IFERROR(ROUND(INDEX(HV!$A$4:$D$39,MATCH(backup!A69,HV!$A$4:$A$39,0),2)/1000,0),"")</f>
        <v>0</v>
      </c>
    </row>
    <row r="70" spans="1:20" x14ac:dyDescent="0.25">
      <c r="A70" s="35"/>
      <c r="B70" s="33"/>
      <c r="C70" s="39"/>
      <c r="D70" s="39"/>
      <c r="E70" s="39"/>
      <c r="F70" s="39"/>
      <c r="G70" s="39"/>
      <c r="H70" s="39"/>
      <c r="I70" s="34"/>
      <c r="J70" s="12" t="s">
        <v>18</v>
      </c>
      <c r="K70" s="11">
        <f>IFERROR(ROUND(INDEX(HV!$A$4:$D$39,MATCH(backup!A69,HV!$A$4:$A$39,0),3)/1000,0),"")</f>
        <v>0</v>
      </c>
      <c r="L70" s="11">
        <f>IFERROR(ROUND(INDEX(HV!$A$4:$D$39,MATCH(backup!A69,HV!$A$4:$A$39,0),4)/1000,0),"")</f>
        <v>0</v>
      </c>
      <c r="M70" s="11"/>
      <c r="N70" s="11"/>
      <c r="O70" s="36"/>
      <c r="P70" s="36"/>
      <c r="Q70" s="40"/>
      <c r="R70" s="5"/>
      <c r="S70" s="27"/>
      <c r="T70" s="27"/>
    </row>
    <row r="71" spans="1:20" x14ac:dyDescent="0.25">
      <c r="A71" s="35"/>
      <c r="B71" s="33"/>
      <c r="C71" s="39"/>
      <c r="D71" s="39"/>
      <c r="E71" s="39"/>
      <c r="F71" s="39"/>
      <c r="G71" s="39"/>
      <c r="H71" s="39"/>
      <c r="I71" s="34"/>
      <c r="J71" s="13" t="s">
        <v>19</v>
      </c>
      <c r="K71" s="14">
        <f>K69+K70</f>
        <v>852</v>
      </c>
      <c r="L71" s="14">
        <f>L69+L70</f>
        <v>317</v>
      </c>
      <c r="M71" s="14">
        <f>M69+M70</f>
        <v>362</v>
      </c>
      <c r="N71" s="14">
        <f>N69+N70</f>
        <v>1741</v>
      </c>
      <c r="O71" s="36"/>
      <c r="P71" s="36"/>
      <c r="Q71" s="40"/>
      <c r="R71" s="5"/>
      <c r="S71" s="27"/>
      <c r="T71" s="27"/>
    </row>
    <row r="72" spans="1:20" x14ac:dyDescent="0.25">
      <c r="A72" s="35" t="s">
        <v>40</v>
      </c>
      <c r="B72" s="33" t="s">
        <v>39</v>
      </c>
      <c r="C72" s="39">
        <v>271989</v>
      </c>
      <c r="D72" s="39">
        <v>273501</v>
      </c>
      <c r="E72" s="39">
        <v>271989</v>
      </c>
      <c r="F72" s="39">
        <v>272769</v>
      </c>
      <c r="G72" s="39"/>
      <c r="H72" s="39">
        <f>SUM(D72-F72)</f>
        <v>732</v>
      </c>
      <c r="I72" s="34"/>
      <c r="J72" s="12" t="s">
        <v>17</v>
      </c>
      <c r="K72" s="11">
        <v>8</v>
      </c>
      <c r="L72" s="11">
        <v>23</v>
      </c>
      <c r="M72" s="11">
        <v>3578</v>
      </c>
      <c r="N72" s="11"/>
      <c r="O72" s="36">
        <v>25237</v>
      </c>
      <c r="P72" s="36">
        <v>54531</v>
      </c>
      <c r="Q72" s="40">
        <f t="shared" si="5"/>
        <v>0</v>
      </c>
      <c r="R72" s="5"/>
      <c r="S72" s="27">
        <f t="shared" ref="S72" si="30">H72-T72</f>
        <v>725</v>
      </c>
      <c r="T72" s="27">
        <f>IFERROR(ROUND(INDEX(HV!$A$4:$D$39,MATCH(backup!A72,HV!$A$4:$A$39,0),2)/1000,0),"")</f>
        <v>7</v>
      </c>
    </row>
    <row r="73" spans="1:20" x14ac:dyDescent="0.25">
      <c r="A73" s="35"/>
      <c r="B73" s="33"/>
      <c r="C73" s="39"/>
      <c r="D73" s="39"/>
      <c r="E73" s="39"/>
      <c r="F73" s="39"/>
      <c r="G73" s="39"/>
      <c r="H73" s="39"/>
      <c r="I73" s="34"/>
      <c r="J73" s="12" t="s">
        <v>18</v>
      </c>
      <c r="K73" s="11">
        <f>IFERROR(ROUND(INDEX(HV!$A$4:$D$39,MATCH(backup!A72,HV!$A$4:$A$39,0),3)/1000,0),"")</f>
        <v>7</v>
      </c>
      <c r="L73" s="11">
        <f>IFERROR(ROUND(INDEX(HV!$A$4:$D$39,MATCH(backup!A72,HV!$A$4:$A$39,0),4)/1000,0),"")</f>
        <v>0</v>
      </c>
      <c r="M73" s="11"/>
      <c r="N73" s="11"/>
      <c r="O73" s="36"/>
      <c r="P73" s="36"/>
      <c r="Q73" s="40"/>
      <c r="R73" s="5"/>
      <c r="S73" s="27"/>
      <c r="T73" s="27"/>
    </row>
    <row r="74" spans="1:20" x14ac:dyDescent="0.25">
      <c r="A74" s="35"/>
      <c r="B74" s="33"/>
      <c r="C74" s="39"/>
      <c r="D74" s="39"/>
      <c r="E74" s="39"/>
      <c r="F74" s="39"/>
      <c r="G74" s="39"/>
      <c r="H74" s="39"/>
      <c r="I74" s="34">
        <f>SUM(I72:I73)</f>
        <v>0</v>
      </c>
      <c r="J74" s="13" t="s">
        <v>19</v>
      </c>
      <c r="K74" s="14">
        <f>K72+K73</f>
        <v>15</v>
      </c>
      <c r="L74" s="14">
        <f>L72+L73</f>
        <v>23</v>
      </c>
      <c r="M74" s="14">
        <f>M72+M73</f>
        <v>3578</v>
      </c>
      <c r="N74" s="14">
        <f>N72+N73</f>
        <v>0</v>
      </c>
      <c r="O74" s="36"/>
      <c r="P74" s="36"/>
      <c r="Q74" s="40"/>
      <c r="R74" s="5"/>
      <c r="S74" s="27"/>
      <c r="T74" s="27"/>
    </row>
    <row r="75" spans="1:20" x14ac:dyDescent="0.25">
      <c r="A75" s="35" t="s">
        <v>41</v>
      </c>
      <c r="B75" s="33" t="s">
        <v>39</v>
      </c>
      <c r="C75" s="39">
        <v>28000</v>
      </c>
      <c r="D75" s="39">
        <v>28037</v>
      </c>
      <c r="E75" s="39">
        <v>27705</v>
      </c>
      <c r="F75" s="39">
        <v>27671</v>
      </c>
      <c r="G75" s="39"/>
      <c r="H75" s="39">
        <f>SUM(D75-F75)</f>
        <v>366</v>
      </c>
      <c r="I75" s="34"/>
      <c r="J75" s="12" t="s">
        <v>17</v>
      </c>
      <c r="K75" s="11">
        <v>646</v>
      </c>
      <c r="L75" s="11">
        <v>125</v>
      </c>
      <c r="M75" s="11">
        <v>25</v>
      </c>
      <c r="N75" s="11">
        <v>3103</v>
      </c>
      <c r="O75" s="36">
        <v>744</v>
      </c>
      <c r="P75" s="36">
        <v>2439</v>
      </c>
      <c r="Q75" s="40">
        <f t="shared" si="7"/>
        <v>0</v>
      </c>
      <c r="R75" s="5"/>
      <c r="S75" s="27">
        <f t="shared" ref="S75" si="31">H75-T75</f>
        <v>366</v>
      </c>
      <c r="T75" s="27">
        <f>IFERROR(ROUND(INDEX(HV!$A$4:$D$39,MATCH(backup!A75,HV!$A$4:$A$39,0),2)/1000,0),"")</f>
        <v>0</v>
      </c>
    </row>
    <row r="76" spans="1:20" x14ac:dyDescent="0.25">
      <c r="A76" s="35"/>
      <c r="B76" s="33"/>
      <c r="C76" s="39"/>
      <c r="D76" s="39"/>
      <c r="E76" s="39"/>
      <c r="F76" s="39"/>
      <c r="G76" s="39"/>
      <c r="H76" s="39"/>
      <c r="I76" s="34"/>
      <c r="J76" s="12" t="s">
        <v>18</v>
      </c>
      <c r="K76" s="11">
        <f>IFERROR(ROUND(INDEX(HV!$A$4:$D$39,MATCH(backup!A75,HV!$A$4:$A$39,0),3)/1000,0),"")</f>
        <v>0</v>
      </c>
      <c r="L76" s="11">
        <f>IFERROR(ROUND(INDEX(HV!$A$4:$D$39,MATCH(backup!A75,HV!$A$4:$A$39,0),4)/1000,0),"")</f>
        <v>0</v>
      </c>
      <c r="M76" s="11"/>
      <c r="N76" s="11"/>
      <c r="O76" s="36"/>
      <c r="P76" s="36"/>
      <c r="Q76" s="40"/>
      <c r="R76" s="5"/>
      <c r="S76" s="27"/>
      <c r="T76" s="27"/>
    </row>
    <row r="77" spans="1:20" x14ac:dyDescent="0.25">
      <c r="A77" s="35"/>
      <c r="B77" s="33"/>
      <c r="C77" s="39"/>
      <c r="D77" s="39"/>
      <c r="E77" s="39"/>
      <c r="F77" s="39"/>
      <c r="G77" s="39"/>
      <c r="H77" s="39"/>
      <c r="I77" s="34"/>
      <c r="J77" s="13" t="s">
        <v>19</v>
      </c>
      <c r="K77" s="14">
        <f>K75+K76</f>
        <v>646</v>
      </c>
      <c r="L77" s="14">
        <f>L75+L76</f>
        <v>125</v>
      </c>
      <c r="M77" s="14">
        <f>M75+M76</f>
        <v>25</v>
      </c>
      <c r="N77" s="14">
        <f>N75+N76</f>
        <v>3103</v>
      </c>
      <c r="O77" s="36"/>
      <c r="P77" s="36"/>
      <c r="Q77" s="40"/>
      <c r="R77" s="5"/>
      <c r="S77" s="27"/>
      <c r="T77" s="27"/>
    </row>
    <row r="78" spans="1:20" x14ac:dyDescent="0.25">
      <c r="A78" s="35" t="s">
        <v>68</v>
      </c>
      <c r="B78" s="33" t="s">
        <v>39</v>
      </c>
      <c r="C78" s="39">
        <v>84761</v>
      </c>
      <c r="D78" s="39">
        <v>85748</v>
      </c>
      <c r="E78" s="39">
        <v>84761</v>
      </c>
      <c r="F78" s="39">
        <v>85741</v>
      </c>
      <c r="G78" s="39"/>
      <c r="H78" s="39">
        <f>SUM(D78-F78)</f>
        <v>7</v>
      </c>
      <c r="I78" s="34"/>
      <c r="J78" s="12" t="s">
        <v>17</v>
      </c>
      <c r="K78" s="11">
        <v>47</v>
      </c>
      <c r="L78" s="11">
        <v>44</v>
      </c>
      <c r="M78" s="11">
        <v>36</v>
      </c>
      <c r="N78" s="11">
        <v>339</v>
      </c>
      <c r="O78" s="36">
        <v>5723</v>
      </c>
      <c r="P78" s="36">
        <v>12082</v>
      </c>
      <c r="Q78" s="40">
        <f t="shared" ref="Q78" si="32">IFERROR(L79/H78,0)</f>
        <v>0</v>
      </c>
      <c r="R78" s="5"/>
      <c r="S78" s="27">
        <f t="shared" ref="S78" si="33">H78-T78</f>
        <v>5</v>
      </c>
      <c r="T78" s="27">
        <f>IFERROR(ROUND(INDEX(HV!$A$4:$D$39,MATCH(backup!A78,HV!$A$4:$A$39,0),2)/1000,0),"")</f>
        <v>2</v>
      </c>
    </row>
    <row r="79" spans="1:20" x14ac:dyDescent="0.25">
      <c r="A79" s="35"/>
      <c r="B79" s="33"/>
      <c r="C79" s="39"/>
      <c r="D79" s="39"/>
      <c r="E79" s="39"/>
      <c r="F79" s="39"/>
      <c r="G79" s="39"/>
      <c r="H79" s="39"/>
      <c r="I79" s="34"/>
      <c r="J79" s="12" t="s">
        <v>18</v>
      </c>
      <c r="K79" s="11">
        <f>IFERROR(ROUND(INDEX(HV!$A$4:$D$39,MATCH(backup!A78,HV!$A$4:$A$39,0),3)/1000,0),"")</f>
        <v>2</v>
      </c>
      <c r="L79" s="11">
        <f>IFERROR(ROUND(INDEX(HV!$A$4:$D$39,MATCH(backup!A78,HV!$A$4:$A$39,0),4)/1000,0),"")</f>
        <v>0</v>
      </c>
      <c r="M79" s="11"/>
      <c r="N79" s="11"/>
      <c r="O79" s="36"/>
      <c r="P79" s="36"/>
      <c r="Q79" s="40"/>
      <c r="R79" s="5"/>
      <c r="S79" s="27"/>
      <c r="T79" s="27"/>
    </row>
    <row r="80" spans="1:20" x14ac:dyDescent="0.25">
      <c r="A80" s="35"/>
      <c r="B80" s="33"/>
      <c r="C80" s="39"/>
      <c r="D80" s="39"/>
      <c r="E80" s="39"/>
      <c r="F80" s="39"/>
      <c r="G80" s="39"/>
      <c r="H80" s="39"/>
      <c r="I80" s="34"/>
      <c r="J80" s="13" t="s">
        <v>19</v>
      </c>
      <c r="K80" s="14">
        <f>K78+K79</f>
        <v>49</v>
      </c>
      <c r="L80" s="14">
        <f>L78+L79</f>
        <v>44</v>
      </c>
      <c r="M80" s="14">
        <f>M78+M79</f>
        <v>36</v>
      </c>
      <c r="N80" s="14">
        <f>N78+N79</f>
        <v>339</v>
      </c>
      <c r="O80" s="36"/>
      <c r="P80" s="36"/>
      <c r="Q80" s="40"/>
      <c r="R80" s="5"/>
      <c r="S80" s="27"/>
      <c r="T80" s="27"/>
    </row>
    <row r="81" spans="1:20" x14ac:dyDescent="0.25">
      <c r="A81" s="35" t="s">
        <v>42</v>
      </c>
      <c r="B81" s="33" t="s">
        <v>39</v>
      </c>
      <c r="C81" s="39">
        <v>62088</v>
      </c>
      <c r="D81" s="39">
        <v>63025</v>
      </c>
      <c r="E81" s="39">
        <v>62088</v>
      </c>
      <c r="F81" s="39">
        <v>62553</v>
      </c>
      <c r="G81" s="39"/>
      <c r="H81" s="39">
        <f>SUM(D81-F81)</f>
        <v>472</v>
      </c>
      <c r="I81" s="34"/>
      <c r="J81" s="12" t="s">
        <v>17</v>
      </c>
      <c r="K81" s="11">
        <v>660</v>
      </c>
      <c r="L81" s="11">
        <v>542</v>
      </c>
      <c r="M81" s="11">
        <v>275</v>
      </c>
      <c r="N81" s="11">
        <v>3589</v>
      </c>
      <c r="O81" s="36">
        <v>2082</v>
      </c>
      <c r="P81" s="36">
        <v>7688</v>
      </c>
      <c r="Q81" s="40">
        <f t="shared" si="5"/>
        <v>0</v>
      </c>
      <c r="R81" s="5"/>
      <c r="S81" s="27">
        <f t="shared" ref="S81" si="34">H81-T81</f>
        <v>185</v>
      </c>
      <c r="T81" s="27">
        <f>IFERROR(ROUND(INDEX(HV!$A$4:$D$39,MATCH(backup!A81,HV!$A$4:$A$39,0),2)/1000,0),"")</f>
        <v>287</v>
      </c>
    </row>
    <row r="82" spans="1:20" x14ac:dyDescent="0.25">
      <c r="A82" s="35"/>
      <c r="B82" s="33"/>
      <c r="C82" s="39"/>
      <c r="D82" s="39"/>
      <c r="E82" s="39"/>
      <c r="F82" s="39"/>
      <c r="G82" s="39"/>
      <c r="H82" s="39"/>
      <c r="I82" s="34"/>
      <c r="J82" s="12" t="s">
        <v>18</v>
      </c>
      <c r="K82" s="11">
        <f>IFERROR(ROUND(INDEX(HV!$A$4:$D$39,MATCH(backup!A81,HV!$A$4:$A$39,0),3)/1000,0),"")</f>
        <v>287</v>
      </c>
      <c r="L82" s="11">
        <f>IFERROR(ROUND(INDEX(HV!$A$4:$D$39,MATCH(backup!A81,HV!$A$4:$A$39,0),4)/1000,0),"")</f>
        <v>0</v>
      </c>
      <c r="M82" s="11"/>
      <c r="N82" s="11"/>
      <c r="O82" s="36"/>
      <c r="P82" s="36"/>
      <c r="Q82" s="40"/>
      <c r="R82" s="5"/>
      <c r="S82" s="27"/>
      <c r="T82" s="27"/>
    </row>
    <row r="83" spans="1:20" x14ac:dyDescent="0.25">
      <c r="A83" s="35"/>
      <c r="B83" s="33"/>
      <c r="C83" s="39"/>
      <c r="D83" s="39"/>
      <c r="E83" s="39"/>
      <c r="F83" s="39"/>
      <c r="G83" s="39"/>
      <c r="H83" s="39"/>
      <c r="I83" s="34"/>
      <c r="J83" s="13" t="s">
        <v>19</v>
      </c>
      <c r="K83" s="14">
        <f>K81+K82</f>
        <v>947</v>
      </c>
      <c r="L83" s="14">
        <f>L81+L82</f>
        <v>542</v>
      </c>
      <c r="M83" s="14">
        <f>M81+M82</f>
        <v>275</v>
      </c>
      <c r="N83" s="14">
        <f>N81+N82</f>
        <v>3589</v>
      </c>
      <c r="O83" s="36"/>
      <c r="P83" s="36"/>
      <c r="Q83" s="40"/>
      <c r="R83" s="5"/>
      <c r="S83" s="27"/>
      <c r="T83" s="27"/>
    </row>
    <row r="84" spans="1:20" x14ac:dyDescent="0.25">
      <c r="A84" s="35" t="s">
        <v>69</v>
      </c>
      <c r="B84" s="33" t="s">
        <v>39</v>
      </c>
      <c r="C84" s="39">
        <v>90348</v>
      </c>
      <c r="D84" s="39">
        <v>91596</v>
      </c>
      <c r="E84" s="39">
        <v>88350</v>
      </c>
      <c r="F84" s="39">
        <v>89665</v>
      </c>
      <c r="G84" s="39"/>
      <c r="H84" s="39">
        <f>SUM(D84-F84)</f>
        <v>1931</v>
      </c>
      <c r="I84" s="34"/>
      <c r="J84" s="12" t="s">
        <v>17</v>
      </c>
      <c r="K84" s="11">
        <v>60</v>
      </c>
      <c r="L84" s="11">
        <v>1</v>
      </c>
      <c r="M84" s="11">
        <v>147</v>
      </c>
      <c r="N84" s="11">
        <v>485</v>
      </c>
      <c r="O84" s="36">
        <v>2384</v>
      </c>
      <c r="P84" s="36">
        <v>8030</v>
      </c>
      <c r="Q84" s="40">
        <f t="shared" si="7"/>
        <v>5.1268772656654582E-2</v>
      </c>
      <c r="R84" s="5"/>
      <c r="S84" s="27">
        <f t="shared" ref="S84" si="35">H84-T84</f>
        <v>1173</v>
      </c>
      <c r="T84" s="27">
        <f>IFERROR(ROUND(INDEX(HV!$A$4:$D$39,MATCH(backup!A84,HV!$A$4:$A$39,0),2)/1000,0),"")</f>
        <v>758</v>
      </c>
    </row>
    <row r="85" spans="1:20" x14ac:dyDescent="0.25">
      <c r="A85" s="35"/>
      <c r="B85" s="33"/>
      <c r="C85" s="39"/>
      <c r="D85" s="39"/>
      <c r="E85" s="39"/>
      <c r="F85" s="39"/>
      <c r="G85" s="39"/>
      <c r="H85" s="39"/>
      <c r="I85" s="34"/>
      <c r="J85" s="12" t="s">
        <v>18</v>
      </c>
      <c r="K85" s="11">
        <f>IFERROR(ROUND(INDEX(HV!$A$4:$D$39,MATCH(backup!A84,HV!$A$4:$A$39,0),3)/1000,0),"")</f>
        <v>659</v>
      </c>
      <c r="L85" s="11">
        <f>IFERROR(ROUND(INDEX(HV!$A$4:$D$39,MATCH(backup!A84,HV!$A$4:$A$39,0),4)/1000,0),"")</f>
        <v>99</v>
      </c>
      <c r="M85" s="11"/>
      <c r="N85" s="11"/>
      <c r="O85" s="36"/>
      <c r="P85" s="36"/>
      <c r="Q85" s="40"/>
      <c r="R85" s="5"/>
      <c r="S85" s="27"/>
      <c r="T85" s="27"/>
    </row>
    <row r="86" spans="1:20" x14ac:dyDescent="0.25">
      <c r="A86" s="35"/>
      <c r="B86" s="33"/>
      <c r="C86" s="39"/>
      <c r="D86" s="39"/>
      <c r="E86" s="39"/>
      <c r="F86" s="39"/>
      <c r="G86" s="39"/>
      <c r="H86" s="39"/>
      <c r="I86" s="34"/>
      <c r="J86" s="13" t="s">
        <v>19</v>
      </c>
      <c r="K86" s="14">
        <f>K84+K85</f>
        <v>719</v>
      </c>
      <c r="L86" s="14">
        <f>L84+L85</f>
        <v>100</v>
      </c>
      <c r="M86" s="14">
        <f>M84+M85</f>
        <v>147</v>
      </c>
      <c r="N86" s="14">
        <f>N84+N85</f>
        <v>485</v>
      </c>
      <c r="O86" s="36"/>
      <c r="P86" s="36"/>
      <c r="Q86" s="40"/>
      <c r="R86" s="5"/>
      <c r="S86" s="27"/>
      <c r="T86" s="27"/>
    </row>
    <row r="87" spans="1:20" x14ac:dyDescent="0.25">
      <c r="A87" s="35" t="s">
        <v>70</v>
      </c>
      <c r="B87" s="33" t="s">
        <v>39</v>
      </c>
      <c r="C87" s="39">
        <v>18013</v>
      </c>
      <c r="D87" s="39">
        <v>17974</v>
      </c>
      <c r="E87" s="39">
        <v>18013</v>
      </c>
      <c r="F87" s="39">
        <v>17974</v>
      </c>
      <c r="G87" s="39"/>
      <c r="H87" s="39">
        <f>SUM(D87-F87)</f>
        <v>0</v>
      </c>
      <c r="I87" s="34"/>
      <c r="J87" s="12" t="s">
        <v>17</v>
      </c>
      <c r="K87" s="11">
        <v>1096</v>
      </c>
      <c r="L87" s="11">
        <v>100</v>
      </c>
      <c r="M87" s="11">
        <v>74</v>
      </c>
      <c r="N87" s="11">
        <v>597</v>
      </c>
      <c r="O87" s="36">
        <v>833</v>
      </c>
      <c r="P87" s="36">
        <v>1775</v>
      </c>
      <c r="Q87" s="40">
        <f t="shared" ref="Q87" si="36">IFERROR(L88/H87,0)</f>
        <v>0</v>
      </c>
      <c r="R87" s="5"/>
      <c r="S87" s="27">
        <f t="shared" ref="S87" si="37">H87-T87</f>
        <v>0</v>
      </c>
      <c r="T87" s="27">
        <f>IFERROR(ROUND(INDEX(HV!$A$4:$D$39,MATCH(backup!A87,HV!$A$4:$A$39,0),2)/1000,0),"")</f>
        <v>0</v>
      </c>
    </row>
    <row r="88" spans="1:20" x14ac:dyDescent="0.25">
      <c r="A88" s="35"/>
      <c r="B88" s="33"/>
      <c r="C88" s="39"/>
      <c r="D88" s="39"/>
      <c r="E88" s="39"/>
      <c r="F88" s="39"/>
      <c r="G88" s="39"/>
      <c r="H88" s="39"/>
      <c r="I88" s="34"/>
      <c r="J88" s="12" t="s">
        <v>18</v>
      </c>
      <c r="K88" s="11">
        <f>IFERROR(ROUND(INDEX(HV!$A$4:$D$39,MATCH(backup!A87,HV!$A$4:$A$39,0),3)/1000,0),"")</f>
        <v>0</v>
      </c>
      <c r="L88" s="11">
        <f>IFERROR(ROUND(INDEX(HV!$A$4:$D$39,MATCH(backup!A87,HV!$A$4:$A$39,0),4)/1000,0),"")</f>
        <v>0</v>
      </c>
      <c r="M88" s="11"/>
      <c r="N88" s="11"/>
      <c r="O88" s="36"/>
      <c r="P88" s="36"/>
      <c r="Q88" s="40"/>
      <c r="R88" s="5"/>
      <c r="S88" s="27"/>
      <c r="T88" s="27"/>
    </row>
    <row r="89" spans="1:20" x14ac:dyDescent="0.25">
      <c r="A89" s="35"/>
      <c r="B89" s="33"/>
      <c r="C89" s="39"/>
      <c r="D89" s="39"/>
      <c r="E89" s="39"/>
      <c r="F89" s="39"/>
      <c r="G89" s="39"/>
      <c r="H89" s="39"/>
      <c r="I89" s="34"/>
      <c r="J89" s="13" t="s">
        <v>19</v>
      </c>
      <c r="K89" s="14">
        <f>K87+K88</f>
        <v>1096</v>
      </c>
      <c r="L89" s="14">
        <f>L87+L88</f>
        <v>100</v>
      </c>
      <c r="M89" s="14">
        <f>M87+M88</f>
        <v>74</v>
      </c>
      <c r="N89" s="14">
        <f>N87+N88</f>
        <v>597</v>
      </c>
      <c r="O89" s="36"/>
      <c r="P89" s="36"/>
      <c r="Q89" s="40"/>
      <c r="R89" s="5"/>
      <c r="S89" s="27"/>
      <c r="T89" s="27"/>
    </row>
    <row r="90" spans="1:20" x14ac:dyDescent="0.25">
      <c r="A90" s="35" t="s">
        <v>43</v>
      </c>
      <c r="B90" s="33" t="s">
        <v>39</v>
      </c>
      <c r="C90" s="39">
        <v>31209</v>
      </c>
      <c r="D90" s="39">
        <v>31266</v>
      </c>
      <c r="E90" s="39">
        <v>31209</v>
      </c>
      <c r="F90" s="39">
        <v>30316</v>
      </c>
      <c r="G90" s="39"/>
      <c r="H90" s="39">
        <f>SUM(D90-F90)</f>
        <v>950</v>
      </c>
      <c r="I90" s="34"/>
      <c r="J90" s="12" t="s">
        <v>17</v>
      </c>
      <c r="K90" s="11">
        <v>1854</v>
      </c>
      <c r="L90" s="11">
        <v>98</v>
      </c>
      <c r="M90" s="11">
        <v>60</v>
      </c>
      <c r="N90" s="11">
        <v>754</v>
      </c>
      <c r="O90" s="36">
        <v>1848</v>
      </c>
      <c r="P90" s="36">
        <v>2933</v>
      </c>
      <c r="Q90" s="40">
        <f t="shared" ref="Q90:Q99" si="38">IFERROR(L91/H90,0)</f>
        <v>0</v>
      </c>
      <c r="R90" s="5"/>
      <c r="S90" s="27">
        <f t="shared" ref="S90" si="39">H90-T90</f>
        <v>950</v>
      </c>
      <c r="T90" s="27">
        <f>IFERROR(ROUND(INDEX(HV!$A$4:$D$39,MATCH(backup!A90,HV!$A$4:$A$39,0),2)/1000,0),"")</f>
        <v>0</v>
      </c>
    </row>
    <row r="91" spans="1:20" x14ac:dyDescent="0.25">
      <c r="A91" s="35"/>
      <c r="B91" s="33"/>
      <c r="C91" s="39"/>
      <c r="D91" s="39"/>
      <c r="E91" s="39"/>
      <c r="F91" s="39"/>
      <c r="G91" s="39"/>
      <c r="H91" s="39"/>
      <c r="I91" s="34"/>
      <c r="J91" s="12" t="s">
        <v>18</v>
      </c>
      <c r="K91" s="11">
        <f>IFERROR(ROUND(INDEX(HV!$A$4:$D$39,MATCH(backup!A90,HV!$A$4:$A$39,0),3)/1000,0),"")</f>
        <v>0</v>
      </c>
      <c r="L91" s="11">
        <f>IFERROR(ROUND(INDEX(HV!$A$4:$D$39,MATCH(backup!A90,HV!$A$4:$A$39,0),4)/1000,0),"")</f>
        <v>0</v>
      </c>
      <c r="M91" s="11"/>
      <c r="N91" s="11"/>
      <c r="O91" s="36"/>
      <c r="P91" s="36"/>
      <c r="Q91" s="40"/>
      <c r="R91" s="5"/>
      <c r="S91" s="27"/>
      <c r="T91" s="27"/>
    </row>
    <row r="92" spans="1:20" x14ac:dyDescent="0.25">
      <c r="A92" s="35"/>
      <c r="B92" s="33"/>
      <c r="C92" s="39"/>
      <c r="D92" s="39"/>
      <c r="E92" s="39"/>
      <c r="F92" s="39"/>
      <c r="G92" s="39"/>
      <c r="H92" s="39"/>
      <c r="I92" s="34"/>
      <c r="J92" s="13" t="s">
        <v>19</v>
      </c>
      <c r="K92" s="14">
        <f>K90+K91</f>
        <v>1854</v>
      </c>
      <c r="L92" s="14">
        <f>L90+L91</f>
        <v>98</v>
      </c>
      <c r="M92" s="14">
        <f>M90+M91</f>
        <v>60</v>
      </c>
      <c r="N92" s="14">
        <f>N90+N91</f>
        <v>754</v>
      </c>
      <c r="O92" s="36"/>
      <c r="P92" s="36"/>
      <c r="Q92" s="40"/>
      <c r="R92" s="5"/>
      <c r="S92" s="27"/>
      <c r="T92" s="27"/>
    </row>
    <row r="93" spans="1:20" x14ac:dyDescent="0.25">
      <c r="A93" s="35" t="s">
        <v>44</v>
      </c>
      <c r="B93" s="33" t="s">
        <v>53</v>
      </c>
      <c r="C93" s="39">
        <v>2485</v>
      </c>
      <c r="D93" s="39">
        <v>2789</v>
      </c>
      <c r="E93" s="39">
        <v>2485</v>
      </c>
      <c r="F93" s="39">
        <v>2772</v>
      </c>
      <c r="G93" s="39"/>
      <c r="H93" s="39">
        <f>D93-F93</f>
        <v>17</v>
      </c>
      <c r="I93" s="34"/>
      <c r="J93" s="12" t="s">
        <v>17</v>
      </c>
      <c r="K93" s="11">
        <v>68</v>
      </c>
      <c r="L93" s="11">
        <v>48</v>
      </c>
      <c r="M93" s="11">
        <v>19</v>
      </c>
      <c r="N93" s="11">
        <v>71</v>
      </c>
      <c r="O93" s="36">
        <v>73</v>
      </c>
      <c r="P93" s="36">
        <v>323</v>
      </c>
      <c r="Q93" s="40">
        <f t="shared" ref="Q93:Q102" si="40">IFERROR(L94/H93,0)</f>
        <v>0</v>
      </c>
      <c r="R93" s="5"/>
      <c r="S93" s="27">
        <f t="shared" ref="S93" si="41">H93-T93</f>
        <v>17</v>
      </c>
      <c r="T93" s="27">
        <f>IFERROR(ROUND(INDEX(HV!$A$4:$D$39,MATCH(backup!A93,HV!$A$4:$A$39,0),2)/1000,0),"")</f>
        <v>0</v>
      </c>
    </row>
    <row r="94" spans="1:20" x14ac:dyDescent="0.25">
      <c r="A94" s="35"/>
      <c r="B94" s="33"/>
      <c r="C94" s="39"/>
      <c r="D94" s="39"/>
      <c r="E94" s="39"/>
      <c r="F94" s="39"/>
      <c r="G94" s="39"/>
      <c r="H94" s="39"/>
      <c r="I94" s="34"/>
      <c r="J94" s="12" t="s">
        <v>18</v>
      </c>
      <c r="K94" s="11">
        <f>IFERROR(ROUND(INDEX(HV!$A$4:$D$39,MATCH(backup!A93,HV!$A$4:$A$39,0),3)/1000,0),"")</f>
        <v>0</v>
      </c>
      <c r="L94" s="11">
        <f>IFERROR(ROUND(INDEX(HV!$A$4:$D$39,MATCH(backup!A93,HV!$A$4:$A$39,0),4)/1000,0),"")</f>
        <v>0</v>
      </c>
      <c r="M94" s="11"/>
      <c r="N94" s="11"/>
      <c r="O94" s="36"/>
      <c r="P94" s="36"/>
      <c r="Q94" s="40"/>
      <c r="R94" s="5"/>
      <c r="S94" s="27"/>
      <c r="T94" s="27"/>
    </row>
    <row r="95" spans="1:20" x14ac:dyDescent="0.25">
      <c r="A95" s="35"/>
      <c r="B95" s="33"/>
      <c r="C95" s="39"/>
      <c r="D95" s="39"/>
      <c r="E95" s="39"/>
      <c r="F95" s="39"/>
      <c r="G95" s="39"/>
      <c r="H95" s="39"/>
      <c r="I95" s="34">
        <f>SUM(I93:I94)</f>
        <v>0</v>
      </c>
      <c r="J95" s="13" t="s">
        <v>19</v>
      </c>
      <c r="K95" s="14">
        <f>K93+K94</f>
        <v>68</v>
      </c>
      <c r="L95" s="14">
        <f>L93+L94</f>
        <v>48</v>
      </c>
      <c r="M95" s="14">
        <f>M93+M94</f>
        <v>19</v>
      </c>
      <c r="N95" s="14">
        <f>N93+N94</f>
        <v>71</v>
      </c>
      <c r="O95" s="36"/>
      <c r="P95" s="36"/>
      <c r="Q95" s="40"/>
      <c r="R95" s="5"/>
      <c r="S95" s="27"/>
      <c r="T95" s="27"/>
    </row>
    <row r="96" spans="1:20" x14ac:dyDescent="0.25">
      <c r="A96" s="35" t="s">
        <v>45</v>
      </c>
      <c r="B96" s="33" t="s">
        <v>53</v>
      </c>
      <c r="C96" s="39">
        <v>2651</v>
      </c>
      <c r="D96" s="39">
        <v>2602</v>
      </c>
      <c r="E96" s="39">
        <v>2651</v>
      </c>
      <c r="F96" s="39">
        <v>2589</v>
      </c>
      <c r="G96" s="39"/>
      <c r="H96" s="39">
        <f>D96-F96</f>
        <v>13</v>
      </c>
      <c r="I96" s="34"/>
      <c r="J96" s="12" t="s">
        <v>17</v>
      </c>
      <c r="K96" s="11">
        <v>2</v>
      </c>
      <c r="L96" s="11">
        <v>9</v>
      </c>
      <c r="M96" s="11">
        <v>9</v>
      </c>
      <c r="N96" s="11">
        <v>50</v>
      </c>
      <c r="O96" s="36">
        <v>194</v>
      </c>
      <c r="P96" s="36">
        <v>332</v>
      </c>
      <c r="Q96" s="40">
        <f t="shared" ref="Q96" si="42">IFERROR(L97/H96,0)</f>
        <v>1.5384615384615385</v>
      </c>
      <c r="R96" s="5"/>
      <c r="S96" s="27">
        <f t="shared" ref="S96" si="43">H96-T96</f>
        <v>-45</v>
      </c>
      <c r="T96" s="27">
        <f>IFERROR(ROUND(INDEX(HV!$A$4:$D$39,MATCH(backup!A96,HV!$A$4:$A$39,0),2)/1000,0),"")</f>
        <v>58</v>
      </c>
    </row>
    <row r="97" spans="1:20" x14ac:dyDescent="0.25">
      <c r="A97" s="35"/>
      <c r="B97" s="33"/>
      <c r="C97" s="39"/>
      <c r="D97" s="39"/>
      <c r="E97" s="39"/>
      <c r="F97" s="39"/>
      <c r="G97" s="39"/>
      <c r="H97" s="39"/>
      <c r="I97" s="34"/>
      <c r="J97" s="12" t="s">
        <v>18</v>
      </c>
      <c r="K97" s="11">
        <f>IFERROR(ROUND(INDEX(HV!$A$4:$D$39,MATCH(backup!A96,HV!$A$4:$A$39,0),3)/1000,0),"")</f>
        <v>38</v>
      </c>
      <c r="L97" s="11">
        <f>IFERROR(ROUND(INDEX(HV!$A$4:$D$39,MATCH(backup!A96,HV!$A$4:$A$39,0),4)/1000,0),"")</f>
        <v>20</v>
      </c>
      <c r="M97" s="11"/>
      <c r="N97" s="11"/>
      <c r="O97" s="36"/>
      <c r="P97" s="36"/>
      <c r="Q97" s="40"/>
      <c r="R97" s="5"/>
      <c r="S97" s="27"/>
      <c r="T97" s="27"/>
    </row>
    <row r="98" spans="1:20" x14ac:dyDescent="0.25">
      <c r="A98" s="35"/>
      <c r="B98" s="33"/>
      <c r="C98" s="39"/>
      <c r="D98" s="39"/>
      <c r="E98" s="39"/>
      <c r="F98" s="39"/>
      <c r="G98" s="39"/>
      <c r="H98" s="39"/>
      <c r="I98" s="34">
        <f>SUM(I96:I97)</f>
        <v>0</v>
      </c>
      <c r="J98" s="13" t="s">
        <v>19</v>
      </c>
      <c r="K98" s="14">
        <f>K96+K97</f>
        <v>40</v>
      </c>
      <c r="L98" s="14">
        <f>L96+L97</f>
        <v>29</v>
      </c>
      <c r="M98" s="14">
        <f>M96+M97</f>
        <v>9</v>
      </c>
      <c r="N98" s="14">
        <f>N96+N97</f>
        <v>50</v>
      </c>
      <c r="O98" s="36"/>
      <c r="P98" s="36"/>
      <c r="Q98" s="40"/>
      <c r="R98" s="5"/>
      <c r="S98" s="27"/>
      <c r="T98" s="27"/>
    </row>
    <row r="99" spans="1:20" x14ac:dyDescent="0.25">
      <c r="A99" s="35" t="s">
        <v>46</v>
      </c>
      <c r="B99" s="33" t="s">
        <v>53</v>
      </c>
      <c r="C99" s="39">
        <v>25803</v>
      </c>
      <c r="D99" s="39">
        <v>25519</v>
      </c>
      <c r="E99" s="39">
        <v>25803</v>
      </c>
      <c r="F99" s="39">
        <v>24654</v>
      </c>
      <c r="G99" s="39"/>
      <c r="H99" s="39">
        <f>D99-F99</f>
        <v>865</v>
      </c>
      <c r="I99" s="34"/>
      <c r="J99" s="12" t="s">
        <v>17</v>
      </c>
      <c r="K99" s="11">
        <v>1629</v>
      </c>
      <c r="L99" s="11">
        <v>154</v>
      </c>
      <c r="M99" s="11">
        <v>51</v>
      </c>
      <c r="N99" s="11">
        <v>78</v>
      </c>
      <c r="O99" s="36">
        <v>206</v>
      </c>
      <c r="P99" s="36">
        <v>1994</v>
      </c>
      <c r="Q99" s="40">
        <f t="shared" si="38"/>
        <v>1.1560693641618498E-3</v>
      </c>
      <c r="R99" s="5"/>
      <c r="S99" s="27">
        <f t="shared" ref="S99" si="44">H99-T99</f>
        <v>828</v>
      </c>
      <c r="T99" s="27">
        <f>IFERROR(ROUND(INDEX(HV!$A$4:$D$39,MATCH(backup!A99,HV!$A$4:$A$39,0),2)/1000,0),"")</f>
        <v>37</v>
      </c>
    </row>
    <row r="100" spans="1:20" x14ac:dyDescent="0.25">
      <c r="A100" s="35"/>
      <c r="B100" s="33"/>
      <c r="C100" s="39"/>
      <c r="D100" s="39"/>
      <c r="E100" s="39"/>
      <c r="F100" s="39"/>
      <c r="G100" s="39"/>
      <c r="H100" s="39"/>
      <c r="I100" s="34"/>
      <c r="J100" s="12" t="s">
        <v>18</v>
      </c>
      <c r="K100" s="11">
        <f>IFERROR(ROUND(INDEX(HV!$A$4:$D$39,MATCH(backup!A99,HV!$A$4:$A$39,0),3)/1000,0),"")</f>
        <v>36</v>
      </c>
      <c r="L100" s="11">
        <f>IFERROR(ROUND(INDEX(HV!$A$4:$D$39,MATCH(backup!A99,HV!$A$4:$A$39,0),4)/1000,0),"")</f>
        <v>1</v>
      </c>
      <c r="M100" s="11"/>
      <c r="N100" s="11"/>
      <c r="O100" s="36"/>
      <c r="P100" s="36"/>
      <c r="Q100" s="40"/>
      <c r="R100" s="5"/>
      <c r="S100" s="27"/>
      <c r="T100" s="27"/>
    </row>
    <row r="101" spans="1:20" x14ac:dyDescent="0.25">
      <c r="A101" s="35"/>
      <c r="B101" s="33"/>
      <c r="C101" s="39"/>
      <c r="D101" s="39"/>
      <c r="E101" s="39"/>
      <c r="F101" s="39"/>
      <c r="G101" s="39"/>
      <c r="H101" s="39"/>
      <c r="I101" s="34">
        <f>SUM(I99:I100)</f>
        <v>0</v>
      </c>
      <c r="J101" s="13" t="s">
        <v>19</v>
      </c>
      <c r="K101" s="14">
        <f>K99+K100</f>
        <v>1665</v>
      </c>
      <c r="L101" s="14">
        <f>L99+L100</f>
        <v>155</v>
      </c>
      <c r="M101" s="14">
        <f>M99+M100</f>
        <v>51</v>
      </c>
      <c r="N101" s="14">
        <f>N99+N100</f>
        <v>78</v>
      </c>
      <c r="O101" s="36"/>
      <c r="P101" s="36"/>
      <c r="Q101" s="40"/>
      <c r="R101" s="5"/>
      <c r="S101" s="27"/>
      <c r="T101" s="27"/>
    </row>
    <row r="102" spans="1:20" x14ac:dyDescent="0.25">
      <c r="A102" s="35" t="s">
        <v>47</v>
      </c>
      <c r="B102" s="33" t="s">
        <v>53</v>
      </c>
      <c r="C102" s="39">
        <v>20212</v>
      </c>
      <c r="D102" s="39">
        <v>19314</v>
      </c>
      <c r="E102" s="39">
        <v>20212</v>
      </c>
      <c r="F102" s="39">
        <v>19299</v>
      </c>
      <c r="G102" s="39"/>
      <c r="H102" s="39">
        <f>D102-F102</f>
        <v>15</v>
      </c>
      <c r="I102" s="34"/>
      <c r="J102" s="12" t="s">
        <v>17</v>
      </c>
      <c r="K102" s="11">
        <v>384</v>
      </c>
      <c r="L102" s="11">
        <v>55</v>
      </c>
      <c r="M102" s="11">
        <v>139</v>
      </c>
      <c r="N102" s="11">
        <v>376</v>
      </c>
      <c r="O102" s="36">
        <v>964</v>
      </c>
      <c r="P102" s="36">
        <v>18188</v>
      </c>
      <c r="Q102" s="40">
        <f t="shared" si="40"/>
        <v>1.5333333333333334</v>
      </c>
      <c r="R102" s="5"/>
      <c r="S102" s="27">
        <f t="shared" ref="S102" si="45">H102-T102</f>
        <v>-13</v>
      </c>
      <c r="T102" s="27">
        <f>IFERROR(ROUND(INDEX(HV!$A$4:$D$39,MATCH(backup!A102,HV!$A$4:$A$39,0),2)/1000,0),"")</f>
        <v>28</v>
      </c>
    </row>
    <row r="103" spans="1:20" x14ac:dyDescent="0.25">
      <c r="A103" s="35"/>
      <c r="B103" s="33"/>
      <c r="C103" s="39"/>
      <c r="D103" s="39"/>
      <c r="E103" s="39"/>
      <c r="F103" s="39"/>
      <c r="G103" s="39"/>
      <c r="H103" s="39"/>
      <c r="I103" s="34"/>
      <c r="J103" s="12" t="s">
        <v>18</v>
      </c>
      <c r="K103" s="11">
        <f>IFERROR(ROUND(INDEX(HV!$A$4:$D$39,MATCH(backup!A102,HV!$A$4:$A$39,0),3)/1000,0),"")</f>
        <v>6</v>
      </c>
      <c r="L103" s="11">
        <f>IFERROR(ROUND(INDEX(HV!$A$4:$D$39,MATCH(backup!A102,HV!$A$4:$A$39,0),4)/1000,0),"")</f>
        <v>23</v>
      </c>
      <c r="M103" s="11"/>
      <c r="N103" s="11"/>
      <c r="O103" s="36"/>
      <c r="P103" s="36"/>
      <c r="Q103" s="40"/>
      <c r="R103" s="5"/>
      <c r="S103" s="27"/>
      <c r="T103" s="27"/>
    </row>
    <row r="104" spans="1:20" x14ac:dyDescent="0.25">
      <c r="A104" s="35"/>
      <c r="B104" s="33"/>
      <c r="C104" s="39"/>
      <c r="D104" s="39"/>
      <c r="E104" s="39"/>
      <c r="F104" s="39"/>
      <c r="G104" s="39"/>
      <c r="H104" s="39"/>
      <c r="I104" s="34"/>
      <c r="J104" s="13" t="s">
        <v>19</v>
      </c>
      <c r="K104" s="14">
        <f>K102+K103</f>
        <v>390</v>
      </c>
      <c r="L104" s="14">
        <f>L102+L103</f>
        <v>78</v>
      </c>
      <c r="M104" s="14">
        <f>M102+M103</f>
        <v>139</v>
      </c>
      <c r="N104" s="14">
        <f>N102+N103</f>
        <v>376</v>
      </c>
      <c r="O104" s="36"/>
      <c r="P104" s="36"/>
      <c r="Q104" s="40"/>
      <c r="R104" s="5"/>
      <c r="S104" s="27"/>
      <c r="T104" s="27"/>
    </row>
    <row r="105" spans="1:20" x14ac:dyDescent="0.25">
      <c r="A105" s="8"/>
      <c r="B105" s="9"/>
      <c r="C105" s="6"/>
      <c r="D105" s="6"/>
      <c r="E105" s="6"/>
      <c r="F105" s="6"/>
      <c r="G105" s="7"/>
      <c r="H105" s="7"/>
      <c r="I105" s="7"/>
      <c r="J105" s="10"/>
      <c r="K105" s="7"/>
      <c r="L105" s="7"/>
      <c r="M105" s="7"/>
      <c r="N105" s="7"/>
      <c r="O105" s="7"/>
      <c r="P105" s="7"/>
      <c r="Q105" s="5"/>
      <c r="R105" s="5"/>
      <c r="S105" s="1"/>
      <c r="T105" s="1"/>
    </row>
    <row r="106" spans="1:20" x14ac:dyDescent="0.25">
      <c r="A106" s="1"/>
      <c r="B106" s="1"/>
      <c r="C106" s="5"/>
      <c r="D106" s="5"/>
      <c r="E106" s="5"/>
      <c r="F106" s="5"/>
      <c r="G106" s="5"/>
      <c r="H106" s="5"/>
      <c r="I106" s="5"/>
      <c r="J106" s="1"/>
      <c r="K106" s="5"/>
      <c r="L106" s="5"/>
      <c r="M106" s="5"/>
      <c r="N106" s="5"/>
      <c r="O106" s="5"/>
      <c r="P106" s="5"/>
      <c r="Q106" s="5"/>
      <c r="R106" s="5"/>
      <c r="S106" s="1"/>
      <c r="T106" s="1"/>
    </row>
    <row r="107" spans="1:20" ht="15" customHeight="1" x14ac:dyDescent="0.25">
      <c r="A107" s="1"/>
      <c r="B107" s="1"/>
      <c r="C107" s="31" t="s">
        <v>3</v>
      </c>
      <c r="D107" s="31"/>
      <c r="E107" s="31" t="s">
        <v>4</v>
      </c>
      <c r="F107" s="31"/>
      <c r="G107" s="31" t="s">
        <v>5</v>
      </c>
      <c r="H107" s="44"/>
      <c r="I107" s="32" t="s">
        <v>11</v>
      </c>
      <c r="J107" s="30" t="s">
        <v>6</v>
      </c>
      <c r="K107" s="32" t="s">
        <v>10</v>
      </c>
      <c r="L107" s="32" t="s">
        <v>7</v>
      </c>
      <c r="M107" s="32" t="s">
        <v>8</v>
      </c>
      <c r="N107" s="32" t="s">
        <v>9</v>
      </c>
      <c r="O107" s="5"/>
      <c r="P107" s="5"/>
      <c r="Q107" s="5"/>
      <c r="R107" s="5"/>
      <c r="S107" s="1"/>
      <c r="T107" s="1"/>
    </row>
    <row r="108" spans="1:20" ht="15" customHeight="1" x14ac:dyDescent="0.25">
      <c r="A108" s="1"/>
      <c r="B108" s="1"/>
      <c r="C108" s="32" t="s">
        <v>13</v>
      </c>
      <c r="D108" s="32" t="s">
        <v>14</v>
      </c>
      <c r="E108" s="32" t="s">
        <v>13</v>
      </c>
      <c r="F108" s="32" t="s">
        <v>14</v>
      </c>
      <c r="G108" s="32" t="s">
        <v>15</v>
      </c>
      <c r="H108" s="32" t="s">
        <v>16</v>
      </c>
      <c r="I108" s="32"/>
      <c r="J108" s="30"/>
      <c r="K108" s="32"/>
      <c r="L108" s="32"/>
      <c r="M108" s="32"/>
      <c r="N108" s="32"/>
      <c r="O108" s="5"/>
      <c r="P108" s="5"/>
      <c r="Q108" s="5"/>
      <c r="R108" s="5"/>
      <c r="S108" s="1"/>
      <c r="T108" s="1"/>
    </row>
    <row r="109" spans="1:20" x14ac:dyDescent="0.25">
      <c r="A109" s="1"/>
      <c r="B109" s="1"/>
      <c r="C109" s="32"/>
      <c r="D109" s="32"/>
      <c r="E109" s="32"/>
      <c r="F109" s="32"/>
      <c r="G109" s="32"/>
      <c r="H109" s="32"/>
      <c r="I109" s="32"/>
      <c r="J109" s="30"/>
      <c r="K109" s="32"/>
      <c r="L109" s="32"/>
      <c r="M109" s="32"/>
      <c r="N109" s="32"/>
      <c r="O109" s="5"/>
      <c r="P109" s="5"/>
      <c r="Q109" s="5"/>
      <c r="R109" s="5"/>
      <c r="S109" s="1"/>
      <c r="T109" s="1"/>
    </row>
    <row r="110" spans="1:20" x14ac:dyDescent="0.25">
      <c r="A110" s="35" t="s">
        <v>48</v>
      </c>
      <c r="B110" s="38"/>
      <c r="C110" s="39">
        <f>C9+C12+C15+C18+C21+C24+C27+C30+C33+C36+C39+C42+C45+C48+C51+C54+C57+C60+C63+C66+C69+C72+C75+C78+C81+C84+C87+C6+C90+C93+C96+C99+C102</f>
        <v>3066015</v>
      </c>
      <c r="D110" s="39">
        <f>D9+D12+D15+D18+D21+D24+D27+D30+D33+D36+D39+D42+D45+D48+D51+D54+D57+D60+D63+D66+D69+D72+D75+D78+D81+D84+D87+D6+D90+D93+D96+D99+D102</f>
        <v>3073497</v>
      </c>
      <c r="E110" s="39">
        <f>E9+E12+E15+E18+E21+E24+E27+E30+E33+E36+E39+E42+E45+E48+E51+E54+E57+E60+E63+E66+E69+E72+E75+E78+E81+E84+E87+E6+E90+E93+E96+E99+E102</f>
        <v>3063320</v>
      </c>
      <c r="F110" s="39">
        <f>F9+F12+F15+F18+F21+F24+F27+F30+F33+F36+F39+F42+F45+F48+F51+F54+F57+F60+F63+F66+F69+F72+F75+F78+F81+F84+F87+F6+F90+F93+F96+F99+F102</f>
        <v>3060418</v>
      </c>
      <c r="G110" s="39">
        <f>SUM(G6:G50,G51:G92,G93:G104)</f>
        <v>-8287</v>
      </c>
      <c r="H110" s="39">
        <f>SUM(H6:H44,H45:H86,H87:H104)</f>
        <v>21366</v>
      </c>
      <c r="I110" s="34">
        <f>(I7+I10+I13+I16+I19+I22+I24+I28+I31+I34+I37+I40+I43+I46+I49+I52+I55+I58+I61+I64+I67+I70+I73+I76+I79+I82+I85+I88+I91+I94+I97+I100+I103)</f>
        <v>-6677</v>
      </c>
      <c r="J110" s="12" t="s">
        <v>17</v>
      </c>
      <c r="K110" s="11">
        <f>K9+K12+K15+K18+K21+K24+K27+K30+K33+K36+K39+K42+K45+K48+K51+K54+K57+K60+K63+K66+K69+K72+K75+K78+K81+K84+K87+K6+K90+K93+K96+K99+K102</f>
        <v>47854</v>
      </c>
      <c r="L110" s="11">
        <f>L9+L12+L15+L18+L21+L24+L27+L30+L33+L36+L39+L42+L45+L48+L51+L54+L57+L60+L63+L66+L69+L72+L75+L78+L81+L84+L87+L6+L90+L93+L96+L99+L102</f>
        <v>21831.299289999999</v>
      </c>
      <c r="M110" s="11">
        <f>M9+M12+M15+M18+M21+M24+M27+M30+M33+M36+M39+M42+M45+M48+M51+M54+M57+M60+M63+M66+M69+M72+M75+M78+M81+M84+M87+M6+M90+M93+M96+M99+M102</f>
        <v>13466</v>
      </c>
      <c r="N110" s="11">
        <f>N9+N12+N15+N18+N21+N24+N27+N30+N33+N36+N39+N42+N45+N48+N51+N54+N57+N60+N63+N66+N69+N72+N75+N78+N81+N84+N87+N6+N90+N93+N96+N99+N102</f>
        <v>184302</v>
      </c>
      <c r="O110" s="5"/>
      <c r="P110" s="5"/>
      <c r="Q110" s="5"/>
      <c r="R110" s="5"/>
      <c r="S110" s="1"/>
      <c r="T110" s="1"/>
    </row>
    <row r="111" spans="1:20" x14ac:dyDescent="0.25">
      <c r="A111" s="35" t="s">
        <v>48</v>
      </c>
      <c r="B111" s="38"/>
      <c r="C111" s="39"/>
      <c r="D111" s="39"/>
      <c r="E111" s="39"/>
      <c r="F111" s="39"/>
      <c r="G111" s="39"/>
      <c r="H111" s="39"/>
      <c r="I111" s="34"/>
      <c r="J111" s="12" t="s">
        <v>18</v>
      </c>
      <c r="K111" s="11">
        <f>(K7+K10+K13+K16+K19+K22+K25+K28+K31+K34+K37+K40+K43+K46+K49+K52+K55+K58+K61+K64+K67+K70+K73+K76+K79+K82+K85+K88+K91+K94+K97+K100+K103)</f>
        <v>5103</v>
      </c>
      <c r="L111" s="11">
        <f>(L7+L10+L13+L16+L19+L22+L25+L28+L31+L34+L37+L40+L43+L46+L49+L52+L55+L58+L61+L64+L67+L70+L73+L76+L79+L82+L85+L88+L91+L94+L97+L100+L103)</f>
        <v>1390</v>
      </c>
      <c r="M111" s="11">
        <f>(M7+M10+M13+M16+M19+M22+M25+M28+M31+M34+M37+M40+M43+M46+M49+M52+M55+M58+M61+M64+M67+M70+M73+M76+M79+M82+M85+M88+M91+M94+M97+M100+M103)</f>
        <v>0</v>
      </c>
      <c r="N111" s="11">
        <f>(N7+N10+N13+N16+N19+N22+N25+N28+N31+N34+N37+N40+N43+N46+N49+N52+N55+N58+N61+N64+N67+N70+N73+N76+N79+N82+N85+N88+N91+N94+N97+N100+N103)</f>
        <v>0</v>
      </c>
      <c r="O111" s="5"/>
      <c r="P111" s="5"/>
      <c r="Q111" s="5"/>
      <c r="R111" s="5"/>
      <c r="S111" s="1"/>
      <c r="T111" s="1"/>
    </row>
    <row r="112" spans="1:20" x14ac:dyDescent="0.25">
      <c r="A112" s="35"/>
      <c r="B112" s="38"/>
      <c r="C112" s="39"/>
      <c r="D112" s="39"/>
      <c r="E112" s="39"/>
      <c r="F112" s="39"/>
      <c r="G112" s="39"/>
      <c r="H112" s="39"/>
      <c r="I112" s="34"/>
      <c r="J112" s="13" t="s">
        <v>49</v>
      </c>
      <c r="K112" s="14">
        <f>K11+K14+K17+K20+K23+K26+K29+K32+K35+K38+K41+K44+K47+K50+K53+K56+K59+K62+K65+K68+K71+K74+K77+K80+K83+K86+K89+K8+K92+K95+K98+K101+K104</f>
        <v>52957</v>
      </c>
      <c r="L112" s="14">
        <f>L11+L14+L17+L20+L23+L26+L29+L32+L35+L38+L41+L44+L47+L50+L53+L56+L59+L62+L65+L68+L71+L74+L77+L80+L83+L86+L89+L8+L92+L95+L98+L101+L104</f>
        <v>23221.299289999999</v>
      </c>
      <c r="M112" s="14">
        <f>M11+M14+M17+M20+M23+M26+M29+M32+M35+M38+M41+M44+M47+M50+M53+M56+M59+M62+M65+M68+M71+M74+M77+M80+M83+M86+M89+M8+M92+M95+M98+M101+M104</f>
        <v>13466</v>
      </c>
      <c r="N112" s="14">
        <f>N11+N14+N17+N20+N23+N26+N29+N32+N35+N38+N41+N44+N47+N50+N53+N56+N59+N62+N65+N68+N71+N74+N77+N80+N83+N86+N89+N8+N92+N95+N98+N101+N104</f>
        <v>184302</v>
      </c>
      <c r="O112" s="5"/>
      <c r="P112" s="5"/>
      <c r="Q112" s="5"/>
      <c r="R112" s="5"/>
      <c r="S112" s="1"/>
      <c r="T112" s="1"/>
    </row>
    <row r="113" spans="1:20" x14ac:dyDescent="0.25">
      <c r="A113" s="1"/>
      <c r="B113" s="1"/>
      <c r="C113" s="5"/>
      <c r="D113" s="5"/>
      <c r="E113" s="5"/>
      <c r="F113" s="5"/>
      <c r="G113" s="5"/>
      <c r="H113" s="5"/>
      <c r="I113" s="5"/>
      <c r="J113" s="1"/>
      <c r="K113" s="5"/>
      <c r="L113" s="5"/>
      <c r="M113" s="5"/>
      <c r="N113" s="5"/>
      <c r="O113" s="5"/>
      <c r="P113" s="5"/>
      <c r="Q113" s="5"/>
      <c r="R113" s="5"/>
      <c r="S113" s="1"/>
      <c r="T113" s="1"/>
    </row>
    <row r="114" spans="1:20" x14ac:dyDescent="0.25">
      <c r="A114" s="1"/>
      <c r="B114" s="1"/>
      <c r="C114" s="5"/>
      <c r="D114" s="5"/>
      <c r="E114" s="5"/>
      <c r="F114" s="5"/>
      <c r="G114" s="5"/>
      <c r="H114" s="5">
        <f>L7+L10+L13+L16+L19+L22+L25+L28+L31+L34+L37+L40+L43+L46+L49+L52+L55+L58+L61+L64+L67+L70+L73+L76+L79+L82+L85+L88+L91+L94+L97+L100+L103+K7+K10+K13+K16+K19+K22+K25+K28+K31+K34+K37+K40+K43+K46+K49+K52+K55+K58+K61+K64+K67+K70+K73+K76+K79+K82+K85+K88+K91+K94+K97+K100+K103</f>
        <v>6493</v>
      </c>
      <c r="I114" s="5"/>
      <c r="J114" s="1"/>
      <c r="K114" s="5"/>
      <c r="L114" s="5"/>
      <c r="M114" s="5"/>
      <c r="N114" s="5"/>
      <c r="O114" s="5"/>
      <c r="P114" s="5"/>
      <c r="Q114" s="5"/>
      <c r="R114" s="5"/>
      <c r="S114" s="1"/>
      <c r="T114" s="1"/>
    </row>
    <row r="115" spans="1:20" x14ac:dyDescent="0.25">
      <c r="A115" s="1"/>
      <c r="B115" s="1"/>
      <c r="C115" s="5"/>
      <c r="D115" s="5"/>
      <c r="E115" s="5"/>
      <c r="F115" s="5"/>
      <c r="G115" s="5"/>
      <c r="I115" s="5"/>
      <c r="J115" s="1"/>
      <c r="K115" s="5"/>
      <c r="L115" s="5"/>
      <c r="M115" s="5"/>
      <c r="N115" s="5"/>
      <c r="O115" s="5"/>
      <c r="P115" s="5"/>
      <c r="Q115" s="5"/>
      <c r="R115" s="5"/>
      <c r="S115" s="1"/>
      <c r="T115" s="1"/>
    </row>
    <row r="116" spans="1:20" x14ac:dyDescent="0.25">
      <c r="A116" s="1"/>
      <c r="B116" s="1"/>
      <c r="C116" s="5"/>
      <c r="D116" s="5"/>
      <c r="E116" s="5"/>
      <c r="F116" s="5"/>
      <c r="G116" s="5"/>
      <c r="H116" s="5">
        <f>H114-H110-G110</f>
        <v>-6586</v>
      </c>
      <c r="I116" s="5"/>
      <c r="J116" s="1"/>
      <c r="K116" s="5"/>
      <c r="L116" s="5"/>
      <c r="M116" s="5"/>
      <c r="N116" s="5"/>
      <c r="O116" s="5"/>
      <c r="P116" s="5"/>
      <c r="Q116" s="5"/>
      <c r="R116" s="5"/>
      <c r="S116" s="1"/>
      <c r="T116" s="1"/>
    </row>
    <row r="117" spans="1:20" x14ac:dyDescent="0.25">
      <c r="A117" s="1"/>
      <c r="B117" s="1"/>
      <c r="C117" s="5"/>
      <c r="D117" s="5"/>
      <c r="E117" s="5"/>
      <c r="F117" s="5"/>
      <c r="G117" s="5"/>
      <c r="I117" s="5"/>
      <c r="J117" s="1"/>
      <c r="K117" s="5"/>
      <c r="L117" s="5"/>
      <c r="M117" s="5"/>
      <c r="N117" s="5"/>
      <c r="O117" s="5"/>
      <c r="P117" s="5"/>
      <c r="Q117" s="5"/>
      <c r="R117" s="5"/>
      <c r="S117" s="1"/>
      <c r="T117" s="1"/>
    </row>
  </sheetData>
  <mergeCells count="509">
    <mergeCell ref="A3:A5"/>
    <mergeCell ref="B3:B5"/>
    <mergeCell ref="C3:D3"/>
    <mergeCell ref="E3:F3"/>
    <mergeCell ref="G3:H3"/>
    <mergeCell ref="I3:I5"/>
    <mergeCell ref="C6:C8"/>
    <mergeCell ref="D6:D8"/>
    <mergeCell ref="E6:E8"/>
    <mergeCell ref="F6:F8"/>
    <mergeCell ref="P3:P5"/>
    <mergeCell ref="Q3:Q5"/>
    <mergeCell ref="S3:S5"/>
    <mergeCell ref="T3:T5"/>
    <mergeCell ref="C4:C5"/>
    <mergeCell ref="D4:D5"/>
    <mergeCell ref="E4:E5"/>
    <mergeCell ref="F4:F5"/>
    <mergeCell ref="G4:G5"/>
    <mergeCell ref="H4:H5"/>
    <mergeCell ref="J3:J5"/>
    <mergeCell ref="K3:K5"/>
    <mergeCell ref="L3:L5"/>
    <mergeCell ref="M3:M5"/>
    <mergeCell ref="N3:N5"/>
    <mergeCell ref="O3:O5"/>
    <mergeCell ref="I9:I11"/>
    <mergeCell ref="O9:O11"/>
    <mergeCell ref="P9:P11"/>
    <mergeCell ref="Q9:Q11"/>
    <mergeCell ref="S9:S11"/>
    <mergeCell ref="T9:T11"/>
    <mergeCell ref="S6:S8"/>
    <mergeCell ref="T6:T8"/>
    <mergeCell ref="A9:A11"/>
    <mergeCell ref="B9:B11"/>
    <mergeCell ref="C9:C11"/>
    <mergeCell ref="D9:D11"/>
    <mergeCell ref="E9:E11"/>
    <mergeCell ref="F9:F11"/>
    <mergeCell ref="G9:G11"/>
    <mergeCell ref="H9:H11"/>
    <mergeCell ref="G6:G8"/>
    <mergeCell ref="H6:H8"/>
    <mergeCell ref="I6:I8"/>
    <mergeCell ref="O6:O8"/>
    <mergeCell ref="P6:P8"/>
    <mergeCell ref="Q6:Q8"/>
    <mergeCell ref="A6:A8"/>
    <mergeCell ref="B6:B8"/>
    <mergeCell ref="T15:T17"/>
    <mergeCell ref="S12:S14"/>
    <mergeCell ref="T12:T14"/>
    <mergeCell ref="A15:A17"/>
    <mergeCell ref="B15:B17"/>
    <mergeCell ref="C15:C17"/>
    <mergeCell ref="D15:D17"/>
    <mergeCell ref="E15:E17"/>
    <mergeCell ref="F15:F17"/>
    <mergeCell ref="G15:G17"/>
    <mergeCell ref="H15:H17"/>
    <mergeCell ref="G12:G14"/>
    <mergeCell ref="H12:H14"/>
    <mergeCell ref="I12:I14"/>
    <mergeCell ref="O12:O14"/>
    <mergeCell ref="P12:P14"/>
    <mergeCell ref="Q12:Q14"/>
    <mergeCell ref="A12:A14"/>
    <mergeCell ref="B12:B14"/>
    <mergeCell ref="C12:C14"/>
    <mergeCell ref="D12:D14"/>
    <mergeCell ref="E12:E14"/>
    <mergeCell ref="F12:F14"/>
    <mergeCell ref="C18:C20"/>
    <mergeCell ref="D18:D20"/>
    <mergeCell ref="E18:E20"/>
    <mergeCell ref="F18:F20"/>
    <mergeCell ref="I15:I17"/>
    <mergeCell ref="O15:O17"/>
    <mergeCell ref="P15:P17"/>
    <mergeCell ref="Q15:Q17"/>
    <mergeCell ref="S15:S17"/>
    <mergeCell ref="I21:I23"/>
    <mergeCell ref="O21:O23"/>
    <mergeCell ref="P21:P23"/>
    <mergeCell ref="Q21:Q23"/>
    <mergeCell ref="S21:S23"/>
    <mergeCell ref="T21:T23"/>
    <mergeCell ref="S18:S20"/>
    <mergeCell ref="T18:T20"/>
    <mergeCell ref="A21:A23"/>
    <mergeCell ref="B21:B23"/>
    <mergeCell ref="C21:C23"/>
    <mergeCell ref="D21:D23"/>
    <mergeCell ref="E21:E23"/>
    <mergeCell ref="F21:F23"/>
    <mergeCell ref="G21:G23"/>
    <mergeCell ref="H21:H23"/>
    <mergeCell ref="G18:G20"/>
    <mergeCell ref="H18:H20"/>
    <mergeCell ref="I18:I20"/>
    <mergeCell ref="O18:O20"/>
    <mergeCell ref="P18:P20"/>
    <mergeCell ref="Q18:Q20"/>
    <mergeCell ref="A18:A20"/>
    <mergeCell ref="B18:B20"/>
    <mergeCell ref="T27:T29"/>
    <mergeCell ref="S24:S26"/>
    <mergeCell ref="T24:T26"/>
    <mergeCell ref="A27:A29"/>
    <mergeCell ref="B27:B29"/>
    <mergeCell ref="C27:C29"/>
    <mergeCell ref="D27:D29"/>
    <mergeCell ref="E27:E29"/>
    <mergeCell ref="F27:F29"/>
    <mergeCell ref="G27:G29"/>
    <mergeCell ref="H27:H29"/>
    <mergeCell ref="G24:G26"/>
    <mergeCell ref="H24:H26"/>
    <mergeCell ref="I24:I26"/>
    <mergeCell ref="O24:O26"/>
    <mergeCell ref="P24:P26"/>
    <mergeCell ref="Q24:Q26"/>
    <mergeCell ref="A24:A26"/>
    <mergeCell ref="B24:B26"/>
    <mergeCell ref="C24:C26"/>
    <mergeCell ref="D24:D26"/>
    <mergeCell ref="E24:E26"/>
    <mergeCell ref="F24:F26"/>
    <mergeCell ref="C30:C32"/>
    <mergeCell ref="D30:D32"/>
    <mergeCell ref="E30:E32"/>
    <mergeCell ref="F30:F32"/>
    <mergeCell ref="I27:I29"/>
    <mergeCell ref="O27:O29"/>
    <mergeCell ref="P27:P29"/>
    <mergeCell ref="Q27:Q29"/>
    <mergeCell ref="S27:S29"/>
    <mergeCell ref="I33:I35"/>
    <mergeCell ref="O33:O35"/>
    <mergeCell ref="P33:P35"/>
    <mergeCell ref="Q33:Q35"/>
    <mergeCell ref="S33:S35"/>
    <mergeCell ref="T33:T35"/>
    <mergeCell ref="S30:S32"/>
    <mergeCell ref="T30:T32"/>
    <mergeCell ref="A33:A35"/>
    <mergeCell ref="B33:B35"/>
    <mergeCell ref="C33:C35"/>
    <mergeCell ref="D33:D35"/>
    <mergeCell ref="E33:E35"/>
    <mergeCell ref="F33:F35"/>
    <mergeCell ref="G33:G35"/>
    <mergeCell ref="H33:H35"/>
    <mergeCell ref="G30:G32"/>
    <mergeCell ref="H30:H32"/>
    <mergeCell ref="I30:I32"/>
    <mergeCell ref="O30:O32"/>
    <mergeCell ref="P30:P32"/>
    <mergeCell ref="Q30:Q32"/>
    <mergeCell ref="A30:A32"/>
    <mergeCell ref="B30:B32"/>
    <mergeCell ref="T39:T41"/>
    <mergeCell ref="S36:S38"/>
    <mergeCell ref="T36:T38"/>
    <mergeCell ref="A39:A41"/>
    <mergeCell ref="B39:B41"/>
    <mergeCell ref="C39:C41"/>
    <mergeCell ref="D39:D41"/>
    <mergeCell ref="E39:E41"/>
    <mergeCell ref="F39:F41"/>
    <mergeCell ref="G39:G41"/>
    <mergeCell ref="H39:H41"/>
    <mergeCell ref="G36:G38"/>
    <mergeCell ref="H36:H38"/>
    <mergeCell ref="I36:I38"/>
    <mergeCell ref="O36:O38"/>
    <mergeCell ref="P36:P38"/>
    <mergeCell ref="Q36:Q38"/>
    <mergeCell ref="A36:A38"/>
    <mergeCell ref="B36:B38"/>
    <mergeCell ref="C36:C38"/>
    <mergeCell ref="D36:D38"/>
    <mergeCell ref="E36:E38"/>
    <mergeCell ref="F36:F38"/>
    <mergeCell ref="C42:C44"/>
    <mergeCell ref="D42:D44"/>
    <mergeCell ref="E42:E44"/>
    <mergeCell ref="F42:F44"/>
    <mergeCell ref="I39:I41"/>
    <mergeCell ref="O39:O41"/>
    <mergeCell ref="P39:P41"/>
    <mergeCell ref="Q39:Q41"/>
    <mergeCell ref="S39:S41"/>
    <mergeCell ref="I45:I47"/>
    <mergeCell ref="O45:O47"/>
    <mergeCell ref="P45:P47"/>
    <mergeCell ref="Q45:Q47"/>
    <mergeCell ref="S45:S47"/>
    <mergeCell ref="T45:T47"/>
    <mergeCell ref="S42:S44"/>
    <mergeCell ref="T42:T44"/>
    <mergeCell ref="A45:A47"/>
    <mergeCell ref="B45:B47"/>
    <mergeCell ref="C45:C47"/>
    <mergeCell ref="D45:D47"/>
    <mergeCell ref="E45:E47"/>
    <mergeCell ref="F45:F47"/>
    <mergeCell ref="G45:G47"/>
    <mergeCell ref="H45:H47"/>
    <mergeCell ref="G42:G44"/>
    <mergeCell ref="H42:H44"/>
    <mergeCell ref="I42:I44"/>
    <mergeCell ref="O42:O44"/>
    <mergeCell ref="P42:P44"/>
    <mergeCell ref="Q42:Q44"/>
    <mergeCell ref="A42:A44"/>
    <mergeCell ref="B42:B44"/>
    <mergeCell ref="T51:T53"/>
    <mergeCell ref="S48:S50"/>
    <mergeCell ref="T48:T50"/>
    <mergeCell ref="A51:A53"/>
    <mergeCell ref="B51:B53"/>
    <mergeCell ref="C51:C53"/>
    <mergeCell ref="D51:D53"/>
    <mergeCell ref="E51:E53"/>
    <mergeCell ref="F51:F53"/>
    <mergeCell ref="G51:G53"/>
    <mergeCell ref="H51:H53"/>
    <mergeCell ref="G48:G50"/>
    <mergeCell ref="H48:H50"/>
    <mergeCell ref="I48:I50"/>
    <mergeCell ref="O48:O50"/>
    <mergeCell ref="P48:P50"/>
    <mergeCell ref="Q48:Q50"/>
    <mergeCell ref="A48:A50"/>
    <mergeCell ref="B48:B50"/>
    <mergeCell ref="C48:C50"/>
    <mergeCell ref="D48:D50"/>
    <mergeCell ref="E48:E50"/>
    <mergeCell ref="F48:F50"/>
    <mergeCell ref="C54:C56"/>
    <mergeCell ref="D54:D56"/>
    <mergeCell ref="E54:E56"/>
    <mergeCell ref="F54:F56"/>
    <mergeCell ref="I51:I53"/>
    <mergeCell ref="O51:O53"/>
    <mergeCell ref="P51:P53"/>
    <mergeCell ref="Q51:Q53"/>
    <mergeCell ref="S51:S53"/>
    <mergeCell ref="I57:I59"/>
    <mergeCell ref="O57:O59"/>
    <mergeCell ref="P57:P59"/>
    <mergeCell ref="Q57:Q59"/>
    <mergeCell ref="S57:S59"/>
    <mergeCell ref="T57:T59"/>
    <mergeCell ref="S54:S56"/>
    <mergeCell ref="T54:T56"/>
    <mergeCell ref="A57:A59"/>
    <mergeCell ref="B57:B59"/>
    <mergeCell ref="C57:C59"/>
    <mergeCell ref="D57:D59"/>
    <mergeCell ref="E57:E59"/>
    <mergeCell ref="F57:F59"/>
    <mergeCell ref="G57:G59"/>
    <mergeCell ref="H57:H59"/>
    <mergeCell ref="G54:G56"/>
    <mergeCell ref="H54:H56"/>
    <mergeCell ref="I54:I56"/>
    <mergeCell ref="O54:O56"/>
    <mergeCell ref="P54:P56"/>
    <mergeCell ref="Q54:Q56"/>
    <mergeCell ref="A54:A56"/>
    <mergeCell ref="B54:B56"/>
    <mergeCell ref="T63:T65"/>
    <mergeCell ref="S60:S62"/>
    <mergeCell ref="T60:T62"/>
    <mergeCell ref="A63:A65"/>
    <mergeCell ref="B63:B65"/>
    <mergeCell ref="C63:C65"/>
    <mergeCell ref="D63:D65"/>
    <mergeCell ref="E63:E65"/>
    <mergeCell ref="F63:F65"/>
    <mergeCell ref="G63:G65"/>
    <mergeCell ref="H63:H65"/>
    <mergeCell ref="G60:G62"/>
    <mergeCell ref="H60:H62"/>
    <mergeCell ref="I60:I62"/>
    <mergeCell ref="O60:O62"/>
    <mergeCell ref="P60:P62"/>
    <mergeCell ref="Q60:Q62"/>
    <mergeCell ref="A60:A62"/>
    <mergeCell ref="B60:B62"/>
    <mergeCell ref="C60:C62"/>
    <mergeCell ref="D60:D62"/>
    <mergeCell ref="E60:E62"/>
    <mergeCell ref="F60:F62"/>
    <mergeCell ref="C66:C68"/>
    <mergeCell ref="D66:D68"/>
    <mergeCell ref="E66:E68"/>
    <mergeCell ref="F66:F68"/>
    <mergeCell ref="I63:I65"/>
    <mergeCell ref="O63:O65"/>
    <mergeCell ref="P63:P65"/>
    <mergeCell ref="Q63:Q65"/>
    <mergeCell ref="S63:S65"/>
    <mergeCell ref="I69:I71"/>
    <mergeCell ref="O69:O71"/>
    <mergeCell ref="P69:P71"/>
    <mergeCell ref="Q69:Q71"/>
    <mergeCell ref="S69:S71"/>
    <mergeCell ref="T69:T71"/>
    <mergeCell ref="S66:S68"/>
    <mergeCell ref="T66:T68"/>
    <mergeCell ref="A69:A71"/>
    <mergeCell ref="B69:B71"/>
    <mergeCell ref="C69:C71"/>
    <mergeCell ref="D69:D71"/>
    <mergeCell ref="E69:E71"/>
    <mergeCell ref="F69:F71"/>
    <mergeCell ref="G69:G71"/>
    <mergeCell ref="H69:H71"/>
    <mergeCell ref="G66:G68"/>
    <mergeCell ref="H66:H68"/>
    <mergeCell ref="I66:I68"/>
    <mergeCell ref="O66:O68"/>
    <mergeCell ref="P66:P68"/>
    <mergeCell ref="Q66:Q68"/>
    <mergeCell ref="A66:A68"/>
    <mergeCell ref="B66:B68"/>
    <mergeCell ref="T75:T77"/>
    <mergeCell ref="S72:S74"/>
    <mergeCell ref="T72:T74"/>
    <mergeCell ref="A75:A77"/>
    <mergeCell ref="B75:B77"/>
    <mergeCell ref="C75:C77"/>
    <mergeCell ref="D75:D77"/>
    <mergeCell ref="E75:E77"/>
    <mergeCell ref="F75:F77"/>
    <mergeCell ref="G75:G77"/>
    <mergeCell ref="H75:H77"/>
    <mergeCell ref="G72:G74"/>
    <mergeCell ref="H72:H74"/>
    <mergeCell ref="I72:I74"/>
    <mergeCell ref="O72:O74"/>
    <mergeCell ref="P72:P74"/>
    <mergeCell ref="Q72:Q74"/>
    <mergeCell ref="A72:A74"/>
    <mergeCell ref="B72:B74"/>
    <mergeCell ref="C72:C74"/>
    <mergeCell ref="D72:D74"/>
    <mergeCell ref="E72:E74"/>
    <mergeCell ref="F72:F74"/>
    <mergeCell ref="C78:C80"/>
    <mergeCell ref="D78:D80"/>
    <mergeCell ref="E78:E80"/>
    <mergeCell ref="F78:F80"/>
    <mergeCell ref="I75:I77"/>
    <mergeCell ref="O75:O77"/>
    <mergeCell ref="P75:P77"/>
    <mergeCell ref="Q75:Q77"/>
    <mergeCell ref="S75:S77"/>
    <mergeCell ref="I81:I83"/>
    <mergeCell ref="O81:O83"/>
    <mergeCell ref="P81:P83"/>
    <mergeCell ref="Q81:Q83"/>
    <mergeCell ref="S81:S83"/>
    <mergeCell ref="T81:T83"/>
    <mergeCell ref="S78:S80"/>
    <mergeCell ref="T78:T80"/>
    <mergeCell ref="A81:A83"/>
    <mergeCell ref="B81:B83"/>
    <mergeCell ref="C81:C83"/>
    <mergeCell ref="D81:D83"/>
    <mergeCell ref="E81:E83"/>
    <mergeCell ref="F81:F83"/>
    <mergeCell ref="G81:G83"/>
    <mergeCell ref="H81:H83"/>
    <mergeCell ref="G78:G80"/>
    <mergeCell ref="H78:H80"/>
    <mergeCell ref="I78:I80"/>
    <mergeCell ref="O78:O80"/>
    <mergeCell ref="P78:P80"/>
    <mergeCell ref="Q78:Q80"/>
    <mergeCell ref="A78:A80"/>
    <mergeCell ref="B78:B80"/>
    <mergeCell ref="S84:S86"/>
    <mergeCell ref="T84:T86"/>
    <mergeCell ref="A87:A89"/>
    <mergeCell ref="B87:B89"/>
    <mergeCell ref="C87:C89"/>
    <mergeCell ref="D87:D89"/>
    <mergeCell ref="E87:E89"/>
    <mergeCell ref="F87:F89"/>
    <mergeCell ref="G87:G89"/>
    <mergeCell ref="H87:H89"/>
    <mergeCell ref="G84:G86"/>
    <mergeCell ref="H84:H86"/>
    <mergeCell ref="I84:I86"/>
    <mergeCell ref="O84:O86"/>
    <mergeCell ref="P84:P86"/>
    <mergeCell ref="Q84:Q86"/>
    <mergeCell ref="A84:A86"/>
    <mergeCell ref="B84:B86"/>
    <mergeCell ref="C84:C86"/>
    <mergeCell ref="D84:D86"/>
    <mergeCell ref="E84:E86"/>
    <mergeCell ref="F84:F86"/>
    <mergeCell ref="D90:D92"/>
    <mergeCell ref="E90:E92"/>
    <mergeCell ref="F90:F92"/>
    <mergeCell ref="I87:I89"/>
    <mergeCell ref="O87:O89"/>
    <mergeCell ref="P87:P89"/>
    <mergeCell ref="Q87:Q89"/>
    <mergeCell ref="S87:S89"/>
    <mergeCell ref="T87:T89"/>
    <mergeCell ref="O93:O95"/>
    <mergeCell ref="P93:P95"/>
    <mergeCell ref="Q93:Q95"/>
    <mergeCell ref="S93:S95"/>
    <mergeCell ref="T93:T95"/>
    <mergeCell ref="S90:S92"/>
    <mergeCell ref="T90:T92"/>
    <mergeCell ref="A93:A95"/>
    <mergeCell ref="B93:B95"/>
    <mergeCell ref="C93:C95"/>
    <mergeCell ref="D93:D95"/>
    <mergeCell ref="E93:E95"/>
    <mergeCell ref="F93:F95"/>
    <mergeCell ref="G93:G95"/>
    <mergeCell ref="H93:H95"/>
    <mergeCell ref="G90:G92"/>
    <mergeCell ref="H90:H92"/>
    <mergeCell ref="I90:I92"/>
    <mergeCell ref="O90:O92"/>
    <mergeCell ref="P90:P92"/>
    <mergeCell ref="Q90:Q92"/>
    <mergeCell ref="A90:A92"/>
    <mergeCell ref="B90:B92"/>
    <mergeCell ref="C90:C92"/>
    <mergeCell ref="O99:O101"/>
    <mergeCell ref="P99:P101"/>
    <mergeCell ref="Q99:Q101"/>
    <mergeCell ref="S99:S101"/>
    <mergeCell ref="T99:T101"/>
    <mergeCell ref="S96:S98"/>
    <mergeCell ref="T96:T98"/>
    <mergeCell ref="A99:A101"/>
    <mergeCell ref="B99:B101"/>
    <mergeCell ref="C99:C101"/>
    <mergeCell ref="D99:D101"/>
    <mergeCell ref="E99:E101"/>
    <mergeCell ref="F99:F101"/>
    <mergeCell ref="G99:G101"/>
    <mergeCell ref="H99:H101"/>
    <mergeCell ref="G96:G98"/>
    <mergeCell ref="H96:H98"/>
    <mergeCell ref="I96:I98"/>
    <mergeCell ref="O96:O98"/>
    <mergeCell ref="P96:P98"/>
    <mergeCell ref="Q96:Q98"/>
    <mergeCell ref="A96:A98"/>
    <mergeCell ref="B96:B98"/>
    <mergeCell ref="C96:C98"/>
    <mergeCell ref="S102:S104"/>
    <mergeCell ref="T102:T104"/>
    <mergeCell ref="C107:D107"/>
    <mergeCell ref="E107:F107"/>
    <mergeCell ref="G107:H107"/>
    <mergeCell ref="I107:I109"/>
    <mergeCell ref="J107:J109"/>
    <mergeCell ref="K107:K109"/>
    <mergeCell ref="L107:L109"/>
    <mergeCell ref="M107:M109"/>
    <mergeCell ref="G102:G104"/>
    <mergeCell ref="H102:H104"/>
    <mergeCell ref="I102:I104"/>
    <mergeCell ref="O102:O104"/>
    <mergeCell ref="P102:P104"/>
    <mergeCell ref="Q102:Q104"/>
    <mergeCell ref="C102:C104"/>
    <mergeCell ref="D102:D104"/>
    <mergeCell ref="E102:E104"/>
    <mergeCell ref="F102:F104"/>
    <mergeCell ref="G110:G112"/>
    <mergeCell ref="H110:H112"/>
    <mergeCell ref="I110:I112"/>
    <mergeCell ref="A1:N1"/>
    <mergeCell ref="A110:A112"/>
    <mergeCell ref="B110:B112"/>
    <mergeCell ref="C110:C112"/>
    <mergeCell ref="D110:D112"/>
    <mergeCell ref="E110:E112"/>
    <mergeCell ref="F110:F112"/>
    <mergeCell ref="N107:N109"/>
    <mergeCell ref="C108:C109"/>
    <mergeCell ref="D108:D109"/>
    <mergeCell ref="E108:E109"/>
    <mergeCell ref="F108:F109"/>
    <mergeCell ref="G108:G109"/>
    <mergeCell ref="H108:H109"/>
    <mergeCell ref="A102:A104"/>
    <mergeCell ref="B102:B104"/>
    <mergeCell ref="I99:I101"/>
    <mergeCell ref="D96:D98"/>
    <mergeCell ref="E96:E98"/>
    <mergeCell ref="F96:F98"/>
    <mergeCell ref="I93:I95"/>
  </mergeCells>
  <printOptions horizontalCentered="1"/>
  <pageMargins left="0.55118110236220474" right="0.55118110236220474" top="0.51181102362204722" bottom="0.43307086614173229" header="0.31496062992125984" footer="0.23622047244094491"/>
  <pageSetup paperSize="9" scale="72" fitToHeight="3" orientation="landscape" r:id="rId1"/>
  <rowBreaks count="2" manualBreakCount="2">
    <brk id="47" max="13" man="1"/>
    <brk id="92" max="1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18</Rok>
    <_dlc_DocId xmlns="fc3156d0-6477-4e59-85db-677a3ac3ddef">K6F56YJ4D42X-540-954</_dlc_DocId>
    <_dlc_DocIdUrl xmlns="fc3156d0-6477-4e59-85db-677a3ac3ddef">
      <Url>http://sharepoint.brno.cz/ORF/rozpocet/_layouts/15/DocIdRedir.aspx?ID=K6F56YJ4D42X-540-954</Url>
      <Description>K6F56YJ4D42X-540-954</Description>
    </_dlc_DocIdUrl>
  </documentManagement>
</p:properties>
</file>

<file path=customXml/itemProps1.xml><?xml version="1.0" encoding="utf-8"?>
<ds:datastoreItem xmlns:ds="http://schemas.openxmlformats.org/officeDocument/2006/customXml" ds:itemID="{B603153C-F500-4114-BC9D-D24A9E83123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4B0D5AD-8141-49EC-B45A-BFC34BB43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ACA5E5-2C33-47F7-B072-CCABD3958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4635525-B64F-4A5A-A9FC-2140885B7681}">
  <ds:schemaRefs>
    <ds:schemaRef ds:uri="http://schemas.microsoft.com/office/2006/documentManagement/types"/>
    <ds:schemaRef ds:uri="626c80ca-c64a-4e2b-8fdc-4ca129da90da"/>
    <ds:schemaRef ds:uri="fc3156d0-6477-4e59-85db-677a3ac3ddef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HV</vt:lpstr>
      <vt:lpstr>backup</vt:lpstr>
      <vt:lpstr>backup!Názvy_tisku</vt:lpstr>
      <vt:lpstr>backup!Oblast_tisku</vt:lpstr>
      <vt:lpstr>HV!Oblast_tisku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Jiri Trnecka</cp:lastModifiedBy>
  <cp:lastPrinted>2017-06-19T09:34:07Z</cp:lastPrinted>
  <dcterms:created xsi:type="dcterms:W3CDTF">2016-02-10T08:42:57Z</dcterms:created>
  <dcterms:modified xsi:type="dcterms:W3CDTF">2017-06-19T09:34:12Z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a69072c7-7500-4b76-89d4-0d5de1c1dedc</vt:lpwstr>
  </property>
</Properties>
</file>