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0" yWindow="0" windowWidth="23040" windowHeight="8925"/>
  </bookViews>
  <sheets>
    <sheet name="RMB12" sheetId="1" r:id="rId1"/>
  </sheets>
  <definedNames>
    <definedName name="_xlnm._FilterDatabase" localSheetId="0" hidden="1">'RMB12'!$A$180:$F$294</definedName>
    <definedName name="_xlnm.Print_Titles" localSheetId="0">'RMB12'!$4:$5</definedName>
    <definedName name="_xlnm.Print_Area" localSheetId="0">'RMB12'!$A$1:$F$312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6" i="1" l="1"/>
  <c r="C416" i="1"/>
  <c r="D396" i="1"/>
  <c r="C396" i="1"/>
  <c r="D394" i="1"/>
  <c r="D393" i="1" s="1"/>
  <c r="C393" i="1"/>
  <c r="D385" i="1"/>
  <c r="C385" i="1"/>
  <c r="D383" i="1"/>
  <c r="D382" i="1"/>
  <c r="D381" i="1"/>
  <c r="D380" i="1"/>
  <c r="C379" i="1"/>
  <c r="D377" i="1"/>
  <c r="D376" i="1"/>
  <c r="D373" i="1"/>
  <c r="C373" i="1"/>
  <c r="C351" i="1" s="1"/>
  <c r="D348" i="1"/>
  <c r="C348" i="1"/>
  <c r="D345" i="1"/>
  <c r="D344" i="1" s="1"/>
  <c r="C344" i="1"/>
  <c r="D342" i="1"/>
  <c r="D341" i="1"/>
  <c r="D338" i="1"/>
  <c r="C338" i="1"/>
  <c r="C317" i="1" s="1"/>
  <c r="D335" i="1"/>
  <c r="D306" i="1"/>
  <c r="C306" i="1"/>
  <c r="D296" i="1"/>
  <c r="C296" i="1"/>
  <c r="D280" i="1"/>
  <c r="D278" i="1"/>
  <c r="D277" i="1"/>
  <c r="D276" i="1"/>
  <c r="D275" i="1"/>
  <c r="D274" i="1"/>
  <c r="D273" i="1"/>
  <c r="D272" i="1"/>
  <c r="D270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0" i="1"/>
  <c r="D249" i="1"/>
  <c r="D248" i="1"/>
  <c r="D247" i="1"/>
  <c r="D240" i="1"/>
  <c r="C198" i="1"/>
  <c r="D193" i="1"/>
  <c r="D192" i="1"/>
  <c r="D188" i="1"/>
  <c r="C180" i="1"/>
  <c r="D174" i="1"/>
  <c r="C174" i="1"/>
  <c r="D166" i="1"/>
  <c r="C166" i="1"/>
  <c r="D142" i="1"/>
  <c r="C142" i="1"/>
  <c r="D140" i="1"/>
  <c r="D118" i="1" s="1"/>
  <c r="C140" i="1"/>
  <c r="C118" i="1" s="1"/>
  <c r="D115" i="1"/>
  <c r="C115" i="1"/>
  <c r="D111" i="1"/>
  <c r="C111" i="1"/>
  <c r="C108" i="1"/>
  <c r="C100" i="1" s="1"/>
  <c r="D107" i="1"/>
  <c r="D106" i="1"/>
  <c r="D103" i="1"/>
  <c r="D101" i="1"/>
  <c r="D91" i="1"/>
  <c r="D90" i="1" s="1"/>
  <c r="C90" i="1"/>
  <c r="D49" i="1"/>
  <c r="C49" i="1"/>
  <c r="D47" i="1"/>
  <c r="C47" i="1"/>
  <c r="D45" i="1"/>
  <c r="C44" i="1"/>
  <c r="C42" i="1"/>
  <c r="D41" i="1"/>
  <c r="D40" i="1"/>
  <c r="D39" i="1"/>
  <c r="C38" i="1"/>
  <c r="D37" i="1"/>
  <c r="D36" i="1"/>
  <c r="D35" i="1"/>
  <c r="D33" i="1"/>
  <c r="C33" i="1"/>
  <c r="D21" i="1"/>
  <c r="D19" i="1" s="1"/>
  <c r="C21" i="1"/>
  <c r="C19" i="1" s="1"/>
  <c r="D17" i="1"/>
  <c r="D15" i="1" s="1"/>
  <c r="C17" i="1"/>
  <c r="C15" i="1" s="1"/>
  <c r="D13" i="1"/>
  <c r="D12" i="1"/>
  <c r="C12" i="1"/>
  <c r="C9" i="1" s="1"/>
  <c r="D11" i="1"/>
  <c r="D10" i="1"/>
  <c r="D6" i="1"/>
  <c r="C6" i="1"/>
  <c r="D23" i="1" l="1"/>
  <c r="D317" i="1"/>
  <c r="D379" i="1"/>
  <c r="C23" i="1"/>
  <c r="C311" i="1" s="1"/>
  <c r="C450" i="1" s="1"/>
  <c r="D180" i="1"/>
  <c r="C443" i="1"/>
  <c r="C451" i="1" s="1"/>
  <c r="D100" i="1"/>
  <c r="D351" i="1"/>
  <c r="D443" i="1" s="1"/>
  <c r="D451" i="1" s="1"/>
  <c r="D9" i="1"/>
  <c r="D311" i="1" l="1"/>
  <c r="D450" i="1" s="1"/>
  <c r="D453" i="1" s="1"/>
  <c r="C453" i="1"/>
</calcChain>
</file>

<file path=xl/sharedStrings.xml><?xml version="1.0" encoding="utf-8"?>
<sst xmlns="http://schemas.openxmlformats.org/spreadsheetml/2006/main" count="434" uniqueCount="321">
  <si>
    <t>Přehled přijatých účelových transferů z jiných veřejných rozpočtů</t>
  </si>
  <si>
    <t>a ze zahraničí k 31.12.2016</t>
  </si>
  <si>
    <t>NEINVESTIČNÍ TRANSFERY</t>
  </si>
  <si>
    <t>UR v tis. Kč</t>
  </si>
  <si>
    <t>Skutečnost v Kč</t>
  </si>
  <si>
    <t>ÚZ</t>
  </si>
  <si>
    <t>POL.</t>
  </si>
  <si>
    <t>MINISTERSTVO   FINANCÍ</t>
  </si>
  <si>
    <t>Dotace na zajištění výdajů v souvis. s konáním společ. voleb do zastupitel. krajů a Senátu PČR</t>
  </si>
  <si>
    <t>STÁTNÍ  FOND  ROZVOJE  BYDLENÍ</t>
  </si>
  <si>
    <t>Brno - Černovice - dotace k úvěru na opravu panelových bytů</t>
  </si>
  <si>
    <t>4113</t>
  </si>
  <si>
    <t>Brno - Nový Lískovec - dotace k úvěru na opravu panelových bytů</t>
  </si>
  <si>
    <t>Brno - Slatina - dotace k úvěru na opravu panelových bytů</t>
  </si>
  <si>
    <t>Brno - Vinohrady - dotace k úvěru na opravu panelových bytů</t>
  </si>
  <si>
    <t>STÁTNÍ  FOND  ŽIVOTNÍHO PROSTŘEDÍ</t>
  </si>
  <si>
    <t>Příprava a realizace prvků územního systému ekologické stability ÚSES v k.ú. Chrlice</t>
  </si>
  <si>
    <t>Brno - Ořešín - sadové úpravy ulice Drozdí v MČ Brno - Ořešín</t>
  </si>
  <si>
    <t xml:space="preserve">STÁTNÍ  ZEMĚDĚLSKÝ INTERVENČNÍ FOND  </t>
  </si>
  <si>
    <t>Brno - Ořešín - přímé platby zemědělcům - SR</t>
  </si>
  <si>
    <t>Brno - Ořešín - přímé platby zemědělcům - EU</t>
  </si>
  <si>
    <t xml:space="preserve">ÚŘAD  PRÁCE </t>
  </si>
  <si>
    <t>Státní příspěvek na výkon pěstounské péče</t>
  </si>
  <si>
    <t>Vratka části státního příspěvku na výkon pěstounské péče</t>
  </si>
  <si>
    <t xml:space="preserve">Aktivní politika zaměstnanosti - městská policie Brno </t>
  </si>
  <si>
    <t xml:space="preserve">Brno - Kníničky - aktivní politika zaměstnanosti </t>
  </si>
  <si>
    <t xml:space="preserve">Brno - Komín - aktivní politika zaměstnanosti </t>
  </si>
  <si>
    <t xml:space="preserve">Brno - Ořešín - aktivní politika zaměstnanosti </t>
  </si>
  <si>
    <t>4116</t>
  </si>
  <si>
    <t>Brno - Bosonohy - aktivní politika zaměstnanosti - OP Zaměstnanost</t>
  </si>
  <si>
    <t>Brno - Ivanovice - aktivní politika zaměstnanosti - OP Zaměstnanost</t>
  </si>
  <si>
    <t>Brno - jih - aktivní politika zaměstnanosti - OP Zaměstnanost</t>
  </si>
  <si>
    <t>Brno - Kníničky - aktivní politika zaměstnanosti - OP Zaměstnanost</t>
  </si>
  <si>
    <t>Brno - Komín - aktivní politika zaměstnanosti - OP Zaměstnanost</t>
  </si>
  <si>
    <t>Brno - Maloměřice a Obřany - aktivní politika zaměstnanosti - OP Zaměstnanost</t>
  </si>
  <si>
    <t>Brno - Medlánky - aktivní politika zaměstnanosti - OP Zaměstnanost</t>
  </si>
  <si>
    <t>Brno - sever - aktivní politika zaměstnanosti - OP Zaměstnanost</t>
  </si>
  <si>
    <t>Brno - střed - aktivní politika zaměstnanosti - OP Zaměstnanost</t>
  </si>
  <si>
    <t>Brno - Vinohrady - aktivní politika zaměstnanosti - OP Zaměstnanost</t>
  </si>
  <si>
    <t>Brno - Žabovřesky - aktivní politika zaměstnanosti - OP Zaměstnanost</t>
  </si>
  <si>
    <t>Brno - Žebětín - aktivní politika zaměstnanosti - OP Zaměstnanost</t>
  </si>
  <si>
    <t>MINISTERSTVO   KULTURY</t>
  </si>
  <si>
    <t>Dům umění města Brna - Výstavní plán Domu umění města Brna</t>
  </si>
  <si>
    <t>Centrum experimentálního divadla - Diskutujeme ve formátu A2</t>
  </si>
  <si>
    <t>KJM - Harmonizace lokálních a národních autorit 13</t>
  </si>
  <si>
    <t>CED - Divadlo v pohybu</t>
  </si>
  <si>
    <t>KJM - Od hraní ke čtení aneb Malí a ještě menší v knihovně</t>
  </si>
  <si>
    <t>KJM - Pověste ho vejš! 3</t>
  </si>
  <si>
    <t>KJM - Expresivní terapie a prožitkové aktivity v knihovně II.</t>
  </si>
  <si>
    <t>FB - Abonentní řada Jazz &amp; World Music</t>
  </si>
  <si>
    <t>FB - Velikonoční festival duchovní hudby</t>
  </si>
  <si>
    <t>TIC - Celoroční výstavní činnost Galerií TIC v roce 2016</t>
  </si>
  <si>
    <t>TIC - "Krizovaná výstava". Symptomy 90. let v Galerii Mladých.</t>
  </si>
  <si>
    <t>NDB - Divadelní svět</t>
  </si>
  <si>
    <t>TIC - Kocham film, 3. ročník přehlídky polských filmů</t>
  </si>
  <si>
    <t>TIC - Brněnská šestnáctka, 57. ročník mezinárodního festivalu krátkých filmů</t>
  </si>
  <si>
    <t>TIC -  Centrum filmové a audiovizuální výchovy v Kině Art - Kinoškola</t>
  </si>
  <si>
    <t>MuMB - Hoď čučku na Špilas! Interaktivní stezky v Brně na Špilberku s přesahem do Olom. kraje</t>
  </si>
  <si>
    <t>DROM, romské středisko - Cesta za poznáním</t>
  </si>
  <si>
    <t>KJM -  automat. knihov. čin. na pobočkách Brno-Bosonohy a Brno-Ivanovice</t>
  </si>
  <si>
    <t>MuMB - Katalog plánové dokumentace vily Tugendhat ze sbírek Muzea města Brna</t>
  </si>
  <si>
    <t>Filharmonie Brno - vlastní umělecká činnost v roce 2016</t>
  </si>
  <si>
    <t>TIC - Tmavomodrý festival 2016</t>
  </si>
  <si>
    <t>TIC - Babylonfest 2016</t>
  </si>
  <si>
    <t>MuMB - Učíme se z příběhů - Zpřístupnění sbírek MuMB v NKP hrad a pevnost formou zážitků</t>
  </si>
  <si>
    <t>Divadlo Radost - vlastní umělecká činnost v roce 2016</t>
  </si>
  <si>
    <t>Městské divadlo Brno - vlastní umělecká činnost v roce 2016</t>
  </si>
  <si>
    <t>CED - vlastní umělecká činnost v roce 2016</t>
  </si>
  <si>
    <t>NDB - Janáček Brno</t>
  </si>
  <si>
    <t>Filharmonie Brno - Rheingau Music Festival</t>
  </si>
  <si>
    <t>NDB - vlastní umělecká činnost v roce 2016</t>
  </si>
  <si>
    <t>MuMB - Bohuslav Woody Vašulka - Mystery &amp; Memory</t>
  </si>
  <si>
    <t>NDB - Mezinárodní festival Janáček Brno</t>
  </si>
  <si>
    <t>Filharmonie Brno - Expozice nové hudby</t>
  </si>
  <si>
    <t>Muzeum města Brna - Karel IV. a Lucemburkové na Špilberku</t>
  </si>
  <si>
    <t>Filharmonie Brno - Anima Munidi Festival</t>
  </si>
  <si>
    <t>CED - Diskutujeme ve formátu A2</t>
  </si>
  <si>
    <t>Filharmonie Brno - Expozice hudby</t>
  </si>
  <si>
    <t>Program regenerace MPR - Mahenovo divadlo (1.477 tis. Kč) a Klášter minorit. (498 tis. Kč)</t>
  </si>
  <si>
    <t>Obnova nemov. kult. památky - školy MČ Brno - Bohunice - staveb. úprava interiéru a další práce</t>
  </si>
  <si>
    <t>MINISTERSTVO  ŠKOLSTVÍ, MLÁDEŽE  A TĚLOVÝCHOVY</t>
  </si>
  <si>
    <t xml:space="preserve">Doplnění a rozšíření Přírodovědného digitária </t>
  </si>
  <si>
    <t>ZŠ a MŠ Husova 17 - Josef Bryks, neobyčejný příběh s tragickým koncem</t>
  </si>
  <si>
    <t>Místní  akční plány vzdělávání v prioritní ose 3 Rovný přístup ke kvalitnímu vzdělávání</t>
  </si>
  <si>
    <t>Rovný přístup k předškolnímu vzdělávání ve městě Brně - CZ.02.3.61/0.0/0.0/15_007/0000244</t>
  </si>
  <si>
    <t>ZŠ Gajdošova 3 - rovný přístup ke kvalitnímu předškolnímu a sekundárnímu vzdělávání</t>
  </si>
  <si>
    <t>ZŠ Bakalovo nábřeží 3 - rovný přístup ke kvalitnímu předškolnímu a sekundárnímu vzdělávání</t>
  </si>
  <si>
    <t>ZŠ a MŠ Elišky Přemyslovna 10 - rovný přístup ke kvalitnímu předškol. a sekund. vzdělávání</t>
  </si>
  <si>
    <t xml:space="preserve">MŠ Sedmikráska, Zengrova 3 - rovný přístup ke kvalitnímu předškol. a sekund. vzdělávání </t>
  </si>
  <si>
    <t>Nízkoprahové centrum v parku Hvězdička</t>
  </si>
  <si>
    <t>Zabezpečení činností vykonávaných v oblasti sociálně-právní ochrany dětí v roce 2016</t>
  </si>
  <si>
    <t>SZZ II - Dětská skupina Zahradníkova</t>
  </si>
  <si>
    <t>Dotace na výkon sociální práce s výjimkou agendy sociálně-právní ochrany dětí pro rok 2016</t>
  </si>
  <si>
    <t xml:space="preserve">Pilotní testování rychlého zabydlení rodin s dětmi (Rapid Re-Housing) </t>
  </si>
  <si>
    <t>DROM, romské středisko - Naše nová cesta - AMARO NEVO DROM</t>
  </si>
  <si>
    <t>Vratka části dotace na zabezpečení činností vykonávaných v oblasti sociálně-právní ochrany dětí</t>
  </si>
  <si>
    <t>MINISTERSTVO  PRO MÍSTNÍ ROZVOJ</t>
  </si>
  <si>
    <t xml:space="preserve">Řízení ITI - č. projektu CZ.08.1.125/0.0/0.0/15_003/0000066 </t>
  </si>
  <si>
    <t>Dotace na výkon činnosti Jednotných kontaktních míst</t>
  </si>
  <si>
    <t>Zajištění bydlení osob s udělenou mezinár. ochranou na území ČR - SATTOUF Mousa s rodinou</t>
  </si>
  <si>
    <t>Rozvojové dokumenty Strategie pro Brno</t>
  </si>
  <si>
    <t>Optimalizace řízení informatiky</t>
  </si>
  <si>
    <t>Podpora profesního a osobního růstu zaměstnanců statutárního města Brna</t>
  </si>
  <si>
    <t>Zajištění bydlení osob s udělenou mezinár. ochranou na území ČR - SHULHA Andrei</t>
  </si>
  <si>
    <t>Zajištění bydlení osob s udělenou mezinárodní ochranou na území ČR - KHATEB Nour</t>
  </si>
  <si>
    <t>Zajištění bydlení osob s udělenou mezinárodní ochranou na území ČR - MUKAMEEV Andrey</t>
  </si>
  <si>
    <t>Spojme kruh bezpečí pro oběti 2016</t>
  </si>
  <si>
    <t>Aristoteles 2016</t>
  </si>
  <si>
    <t>Skupinové psychoterapie 2016</t>
  </si>
  <si>
    <t>Poradna Justýna 2016</t>
  </si>
  <si>
    <t>Vratka části dotace - Spojme kruh bezpečí pro oběti 2016</t>
  </si>
  <si>
    <t>Brno - Bohunice - výdaje jednotky sboru dobrovolných hasičů</t>
  </si>
  <si>
    <t>Brno - Černovice - výdaje jednotky sboru dobrovolných hasičů</t>
  </si>
  <si>
    <t>Brno - Chrlice - výdaje jednotky sboru dobrovolných hasičů</t>
  </si>
  <si>
    <t>Brno - Jundrov - výdaje jednotky sboru dobrovolných hasičů</t>
  </si>
  <si>
    <t>Brno - Komín - výdaje jednotky sboru dobrovolných hasičů</t>
  </si>
  <si>
    <t>Brno - Královo Pole - výdaje jednotky sboru dobrovolných hasičů</t>
  </si>
  <si>
    <t>Brno - Maloměřice a Obřany - výdaje jednotky sboru dobrovolných hasičů</t>
  </si>
  <si>
    <t>Brno - sever - výdaje jednotky sboru dobrovolných hasičů</t>
  </si>
  <si>
    <t>Brno - Žebětín - výdaje jednotky sboru dobrovolných hasičů</t>
  </si>
  <si>
    <t>Brno - Židenice - úhrada nákladů v souvislosti s azylovým zařízením</t>
  </si>
  <si>
    <t>MINISTERSTVO ZDRAVOTNICTVÍ</t>
  </si>
  <si>
    <t>Rezidenční místa pro chirurgii - Úrazová nemocnice v Brně</t>
  </si>
  <si>
    <t>Perioperační péče - rezidenční místo - Úrazová nemocnice v Brně</t>
  </si>
  <si>
    <t>Intenzivní péče - rezidenční místa - Úrazová nemocnice v Brně</t>
  </si>
  <si>
    <t>Ošetřovatelská péče v chirurgických oborech - rezidenční místa - Úrazová nemocnice v Brně</t>
  </si>
  <si>
    <t>Aplikovaná fyzioterapie - rezidenční místa - Úrazová nemocnice v Brně</t>
  </si>
  <si>
    <t>Klinická biochemie (zdravotní laborant) - rezidenční místa - Úrazová nemocnice v Brně</t>
  </si>
  <si>
    <t>Ortopedie - rezidenční místa - Úrazová nemocnice v Brně</t>
  </si>
  <si>
    <t>Traumatologie - rezidenční místa - Úrazová nemocnice v Brně</t>
  </si>
  <si>
    <t>Chirurgie - rezidenční místa - Úrazová nemocnice v Brně</t>
  </si>
  <si>
    <t>MINISTERSTVO ZEMĚDĚLSTVÍ</t>
  </si>
  <si>
    <t>Úhrada nákladů na činnost odborného lesního hospodáře</t>
  </si>
  <si>
    <t>Úhrada nákladů na výsadbu minimálního podílu melioračních a zpevňujících dřevin</t>
  </si>
  <si>
    <t>MINISTERSTVO ŽIVOTNÍHO PROSTŘEDÍ</t>
  </si>
  <si>
    <t>ZOO Brno  a stanice zájmových činností - příspěvek zoologickým zahradám</t>
  </si>
  <si>
    <t>Brno - Královo Pole - Úprava zahrady MŠ Purkyňova</t>
  </si>
  <si>
    <t>JIHOMORAVSKÝ KRAJ</t>
  </si>
  <si>
    <t>ZŠ Bosonožská 9 - OP potravinové a materiální pomoci</t>
  </si>
  <si>
    <t>ZŠ Gajdošova 3 - OP potravinové a materiální pomoci</t>
  </si>
  <si>
    <t>ZŠ Hudcova 35 - OP potravinové a materiální pomoci</t>
  </si>
  <si>
    <t>ZŠ a MŠ Kotlářská 4 - OP potravinové a materiální pomoci</t>
  </si>
  <si>
    <t>ZŠ Masarova 11 - OP potravinové a materiální pomoci</t>
  </si>
  <si>
    <t>ZŠ Mutěnická 23 - OP potravinové a materiální pomoci</t>
  </si>
  <si>
    <t>4122</t>
  </si>
  <si>
    <t>ZŠ Novolíšeňská 10 - OP potravinové a materiální pomoci</t>
  </si>
  <si>
    <t>ZŠ a MŠ Merhautova 37 - OP potravinové a materiální pomoci</t>
  </si>
  <si>
    <t>Vyrovnávací platba za splnění závazku veřejné služby - příspěvkové organizace</t>
  </si>
  <si>
    <t xml:space="preserve">Vyrovnávací platba za splnění závazku veřejné služby - městské části </t>
  </si>
  <si>
    <t>Vyrovnávací platba za splnění závazku veřejné služby</t>
  </si>
  <si>
    <t>ZŠ a MŠ Husova 17 - OP potravinové a materiální pomoci</t>
  </si>
  <si>
    <t>ZŠ a MŠ Měšťanská 21 - OP potravinové a materiální pomoci</t>
  </si>
  <si>
    <t>Drom, romské středisko - sociální služby - Olomoucký kraj</t>
  </si>
  <si>
    <t>MŠ Hudcova 435/47 -  OP potravinové a materiální pomoci</t>
  </si>
  <si>
    <t>ZŠ a MŠ Staňkova 14 - Jihomoravské regionální centrum na podporu integrace cizinců</t>
  </si>
  <si>
    <t>Zajištění sociálních služeb</t>
  </si>
  <si>
    <t>Mobilní poradenské centrum - MOBIDIK</t>
  </si>
  <si>
    <t>Senior akademie XI.</t>
  </si>
  <si>
    <t>FB - Novoroční koncert 2016</t>
  </si>
  <si>
    <t xml:space="preserve">FB - Mezinárodní hudební festival Špilberk </t>
  </si>
  <si>
    <t>FB - Pořádání vybraných koncertů</t>
  </si>
  <si>
    <t>FB - Mozartovy děti 2016</t>
  </si>
  <si>
    <t>NDB - Off program NdB</t>
  </si>
  <si>
    <t>MDB - Inscenační projekty 2016 – Evangelium o Marii</t>
  </si>
  <si>
    <t>MDB - Inscenační projekty 2016 – Prodaný smích</t>
  </si>
  <si>
    <t>NDB - Divadelní svět Brno 2016</t>
  </si>
  <si>
    <t>CED - Inscenace Divadla U stolu</t>
  </si>
  <si>
    <t>CED - Studio HaDivadla 2016</t>
  </si>
  <si>
    <t>CED - Provázek na hrad!</t>
  </si>
  <si>
    <t>Školení strážníků obecní policie</t>
  </si>
  <si>
    <t>ZŠ a MŠ Blanenská 1 - projekt partnerství v regionu CENTROPE</t>
  </si>
  <si>
    <t>ZŠ Heyrovského 32 - Místo pro relaxaci ve zdravé škole</t>
  </si>
  <si>
    <t>ZŠ a MŠ Jihomoravské nám. 2 - Odpočatý a spokojený učitel = lepší a kvalitnější učitel 3</t>
  </si>
  <si>
    <t>ZŠ a MŠ Kotlářská 4 - Relaxační přestávky v lesoparku ZŠ a MŠ Brno</t>
  </si>
  <si>
    <t>ZŠ a MŠ Kotlářská 4 - Řekni NE kouření! Řekni NE alkoholu!</t>
  </si>
  <si>
    <t>Domovnické preventivní minimum</t>
  </si>
  <si>
    <t>Asistence obětem a pachatelům trestné činnosti</t>
  </si>
  <si>
    <t>Brno lepším místem pro život</t>
  </si>
  <si>
    <t>ZŠ a MŠ Křenová 21 - RESTART 2016 - metodická podp. školní doch. na ZŠ a MŠ Křenová 21</t>
  </si>
  <si>
    <t>Vratka části dotace na zajištění sociálních služeb - domy na půl cesty</t>
  </si>
  <si>
    <t>Vratka části vyrovnávací platby za splnění závazku veřejné služby - domy na půl cesty</t>
  </si>
  <si>
    <t>Vratka části dotace OP potravinové a materiální pomoci do škol</t>
  </si>
  <si>
    <t>Úrazová nemocnice - podpora lékařské pohotovostní služby</t>
  </si>
  <si>
    <t>CED - MÁLO BYLO HAVLA!</t>
  </si>
  <si>
    <t>KJM - Knihovna slaví, přijďte slavit s námi</t>
  </si>
  <si>
    <t>DuMB - Federico Díaz - Plagiát je nutný, patří pokroku</t>
  </si>
  <si>
    <t>MuMB - Brněnská muzejní noc na hradě Špilberku aneb Brno v roce 1866</t>
  </si>
  <si>
    <t>Divadlo Radost - Strakonický dudák</t>
  </si>
  <si>
    <t>Divadlo Radost - Brněnská muzejní noc 2016</t>
  </si>
  <si>
    <t>Zásady poskytování první pomoci u dětí</t>
  </si>
  <si>
    <t>Drom, romské středisko - zajištění sociálních služeb - Nízkoprahové zařízení pro děti a mládež</t>
  </si>
  <si>
    <t>Domov pro seniory Vychodilova - zajištění sociální služby - domovy pro seniory</t>
  </si>
  <si>
    <t>TIC - Turistické tipy na výlety z Brna</t>
  </si>
  <si>
    <t>Vratka dotace na zajištění poskytování služby Azylové domy na území JMK</t>
  </si>
  <si>
    <t>Vratka dotace na zajištění poskytování služby Centra sociálních služeb</t>
  </si>
  <si>
    <t>ZŠ Antonínská 3 - OP potravinové a materiální pomoci</t>
  </si>
  <si>
    <t>ZŠ Hudcova 47 - OP potravinové a materiální pomoci</t>
  </si>
  <si>
    <t>ZŠ a MŠ Křenová 21 - OP potravinové a materiální pomoci</t>
  </si>
  <si>
    <t>ZŠ a MŠ nám. 28. října 22 - OP potravinové a materiální pomoci</t>
  </si>
  <si>
    <t>ZŠ Novoměstská 21 - OP potravinové a materiální pomoci</t>
  </si>
  <si>
    <t>ZŠ Vejrostova 1 - OP potravinové a materiální pomoci</t>
  </si>
  <si>
    <t>Městské divadlo Brno - inscenační projekty 2016 - Radúz a Mahulena</t>
  </si>
  <si>
    <t>Městské divadlo Brno - inscenační projekty 2016 - Frank Pátý</t>
  </si>
  <si>
    <t>NDB - KÁŤA KABANOVÁ NA FESTIVALU JANÁČEK BRNO 2016</t>
  </si>
  <si>
    <t>MuMB - Vysílá studio Brno. Výstava k 55. výročí ČT TS Brno.</t>
  </si>
  <si>
    <t>Dofinancování sociálních služeb</t>
  </si>
  <si>
    <t>ZOO Brno a stanice zájmových činností - vzdělávací expozice - historie a současnost včelařství</t>
  </si>
  <si>
    <t>ZŠ Antonínská 3 -  OP potravinové a materiální pomoci</t>
  </si>
  <si>
    <t>Brno - Bohunice na akci - nákup věcných prostředků</t>
  </si>
  <si>
    <t>Brno - Bystrc - ZŠ Vejrostova 1 - oprava umělé dráhy venkovního běžeckého areálu</t>
  </si>
  <si>
    <t>Brno - Černovice - nákup věcných prostředků PO pro JSDH</t>
  </si>
  <si>
    <t>Brno - Chrlice - vybavení JSDH věcnými prostředky požární ochrany</t>
  </si>
  <si>
    <t xml:space="preserve">Brno - Jehnice - vybavení přístavby Mateřské školy, Blanenská 1 </t>
  </si>
  <si>
    <t>Brno - Královo Pole - nákup věcných prostředků požární ochrany</t>
  </si>
  <si>
    <t>Brno - Maloměřice a Obřany - materiálně technické vybavení JSDH</t>
  </si>
  <si>
    <t>Brno - Medlánky - pomáháme medláneckým orientovat se v právu</t>
  </si>
  <si>
    <t>Brno - Ořešín - požární technika a věcné prostředky ke splnění kritérií kladených IZS na JSDH</t>
  </si>
  <si>
    <t>Brno - sever - řešení mimořádných událostí JSDH - nákup vybavení</t>
  </si>
  <si>
    <t>Brno - Slatina - řešení mimořádných událostí JSDH - zajištění akceschopnosti</t>
  </si>
  <si>
    <t>Brno - Slatina - výměna ZTI a elektroinstalace v ZŠ a MŠ Jihomoravské nám. 2/4</t>
  </si>
  <si>
    <t>Brno - střed - KVS U Tří kohoutů - Čaroděj ze země OZ - inscenace v Divadle Polárka</t>
  </si>
  <si>
    <t>Brno - Vinohrady - Výstava vín 2016</t>
  </si>
  <si>
    <t>Brno - Vinohrady - Hudební festival "Mladé kapely"</t>
  </si>
  <si>
    <t>Brno - Vinohrady - Bavíme se na Vinohradech</t>
  </si>
  <si>
    <t>REGIONÁLNÍ RADA REGIONU SOUDRŽNOSTI JIHOVÝCHOD</t>
  </si>
  <si>
    <t>Areál dopravní výchovy II. etapa</t>
  </si>
  <si>
    <t>Manažer IPRM Brno</t>
  </si>
  <si>
    <t>Dopravní telematika ve městě Brně - 1. část</t>
  </si>
  <si>
    <t>Dopravní telematika ve městě Brně - 3. část</t>
  </si>
  <si>
    <t>Knihovna pro město II. - vzdělávání na míru</t>
  </si>
  <si>
    <t>DPS Foltýnova 21, Brno - odstranění bariér a zvýšení lůžkové kapacity</t>
  </si>
  <si>
    <t>Veřejná zeleň města Brna - Revitalizace městských parků, III. etapa</t>
  </si>
  <si>
    <t>MEZINÁRODNÍ  INSTITUCE</t>
  </si>
  <si>
    <t>Projekt 2MOVE2</t>
  </si>
  <si>
    <t xml:space="preserve">Hodnotící metodika architektury z let 1945 - 1979 </t>
  </si>
  <si>
    <t>Brno - střed - projekt CENTRAL EUROPE Regional Innovation Ecosystems Network</t>
  </si>
  <si>
    <t>TRANSFERY  NEINVESTIČNÍ  CELKEM</t>
  </si>
  <si>
    <t>INVESTIČNÍ TRANSFERY</t>
  </si>
  <si>
    <t>Stavební úpravy ZŠ a MŠ Jana Broskvy, Brno - Chrlice</t>
  </si>
  <si>
    <t>MŠ Kohoutova - zateplení budovy včetně výměny oken</t>
  </si>
  <si>
    <t>Stavební úpravy Domova pro seniory Foltýnova</t>
  </si>
  <si>
    <t>Stavební úpravy MŠ Řezáčova</t>
  </si>
  <si>
    <t>MŠ Šrámkova - zateplení budovy včetně oken</t>
  </si>
  <si>
    <t xml:space="preserve">Rekonstrukce a dostavba kanalizace v Brně </t>
  </si>
  <si>
    <t>Zateplení ZŠ Svážná</t>
  </si>
  <si>
    <t>Stavební úpravy MŠ a ZŠ Jana Broskvy, Brno - Chrlice</t>
  </si>
  <si>
    <t>Zateplení MŠ Řezáčova</t>
  </si>
  <si>
    <t>Zateplení MŠ Kohoutova včetně výměny oken</t>
  </si>
  <si>
    <t>Zateplení logopedického stacionáře MŠ Synkova</t>
  </si>
  <si>
    <t>MŠ Tišnovská - zateplení budovy včetně výměny oken</t>
  </si>
  <si>
    <t>Zateplení ZŠ Blažkova</t>
  </si>
  <si>
    <t>Zateplení ZŠ Labská</t>
  </si>
  <si>
    <t>Brno - Černovice - revitalizace území "Horní zahrada"</t>
  </si>
  <si>
    <t>Brno – Královo Pole - MŠ Dobrovského 66, Brno - zateplení objektu</t>
  </si>
  <si>
    <t>Brno - Líšeň - Živá příroda, MŠ Šimáčkova</t>
  </si>
  <si>
    <t>Brno - Líšeň - Rekonstrukce polikliniky Horníkova 34</t>
  </si>
  <si>
    <t xml:space="preserve">Brno - sever - MŠ Bieblova - rekonstrukce objektu - obnova využití pro MŠ </t>
  </si>
  <si>
    <t>Brno – Vinohrady - snížení energetické náročnosti objektu jídelny na ul. Bzenecká</t>
  </si>
  <si>
    <t>Brno – Vinohrady - snížení energetické náročnosti objektu MŠ Bořetická</t>
  </si>
  <si>
    <t>Brno – Vinohrady - snížení energetické náročnosti objektu MŠ Prušánecká</t>
  </si>
  <si>
    <t>Brno – Vinohrady - snížení energetické náročnosti objektu MŠ Velkopavlovická</t>
  </si>
  <si>
    <t>Brno - Chrlice - výstavba požární zbrojnice JSDH</t>
  </si>
  <si>
    <t>Brno - Žebětín - dotace pro JSDH na dopravní automobil</t>
  </si>
  <si>
    <t>MuMB - čtyřpolicový regálový systém</t>
  </si>
  <si>
    <t>Zateplení SVČ Kosmonautů</t>
  </si>
  <si>
    <t>Zateplení fasády objektu SVČ a KJM Lány 3 v MČ Brno - Bohunice</t>
  </si>
  <si>
    <t>Zateplení ZŠ Řezáčova</t>
  </si>
  <si>
    <t>Brno - Královo Pole - úprava zahrady MŠ Purkyňova</t>
  </si>
  <si>
    <t>Brno - Líšeň - rekonstrukce polikliniky Horníkova 34</t>
  </si>
  <si>
    <t>Řízení uživatelských přístupů ke službám TC města</t>
  </si>
  <si>
    <t>Stavební úpravy a nástavba bytového domu Francouzská 42</t>
  </si>
  <si>
    <t>Brno - Bohunice - regenerace panelového sídliště - Brno - Bohunice, X. etapa</t>
  </si>
  <si>
    <t xml:space="preserve">Brno - Řečkovice a Mokrá Hora - regenerace panelového sídliště </t>
  </si>
  <si>
    <t>Doplnění a rozšíření Přírodovědného digitária</t>
  </si>
  <si>
    <t>Brno - Bohunice -  rekonstrukce sociálních zařízení v objektu hasičské zbrojnice</t>
  </si>
  <si>
    <t>Brno - Černovice - Rekonstrukce sportovního areálu ZŠ Brno, Kneslova 28</t>
  </si>
  <si>
    <t>Brno - Chrlice - výstavba hasičské zbrojnice JSDH</t>
  </si>
  <si>
    <t>Brno - Kohoutovice - zateplení MŠ Adélka, U Velké ceny 8</t>
  </si>
  <si>
    <t>Brno - Komín - přetlak. vzduchové DP vč. příslušenství, náhr. tlakové láhve a vyváděcí kukly</t>
  </si>
  <si>
    <t>Brno - Maloměřice a Obřany - Workoutové hřiště s U rampou</t>
  </si>
  <si>
    <t>Brno - Řečkovice a Mokrá Hora - rekonstrukce elektroinstalace a ZTI ZŠ Brno, Novoměstská 21</t>
  </si>
  <si>
    <t>Brno - sever - úpravy a rekonstrukce hasičské zbrojnice Soběšice</t>
  </si>
  <si>
    <t>Brno - Slatina - rekonstrukce a přístavba požární zbrojnice</t>
  </si>
  <si>
    <t>Brno - Tuřany - nákup nového zásahového vozidla</t>
  </si>
  <si>
    <t>Brno - Vinohrady - změna využití stávajícího strav. pavilonu objektu Bzenecká 23 na kulturní sál</t>
  </si>
  <si>
    <t>Brno - Žabovřesky - modernizace osvětlení - svítidel v objektu ZŠ Brno, Jana Babáka</t>
  </si>
  <si>
    <t>Brno - Žabovřesky - rekult. zeleně a veř. prostor vnitrobl. ulic Korejská-Jindř.-Zborovská-Klím.</t>
  </si>
  <si>
    <t>Brno - Žabovřesky - rekultivace zeleně a veřejných prostor při ulici Královopolská</t>
  </si>
  <si>
    <t>Brno - Žabovřesky - zřízení bezbariérového vstupu do objektu kino Lucerna, Minská 19, Brno</t>
  </si>
  <si>
    <t>Brno - Žabovřesky - kondiční stezka při ulici Královopolská</t>
  </si>
  <si>
    <t>Brno - Žebětín - pořízení nového dopravního automobilu pro JSDH</t>
  </si>
  <si>
    <t>Regenerace a rozšíření Národní kulturní památky Špilberk</t>
  </si>
  <si>
    <t>Zelný trh</t>
  </si>
  <si>
    <t>Regenerace veřejných prostranství pro volnočasové aktivity v MČ Brno - Jundrov</t>
  </si>
  <si>
    <t>Dopravní telematika ve městě Brně - 2. část</t>
  </si>
  <si>
    <t>Regenerace sportovišť v lokalitách Rybářská, Botanic. a transform. sportovišť Vysoká na parkour</t>
  </si>
  <si>
    <t>Rekonstrukce víceúčelového hřiště v areálu ZŠ Arménská 21</t>
  </si>
  <si>
    <t>ZŠ Vranovská 17 - rekonstrukce hřiště</t>
  </si>
  <si>
    <t>Zvýšení atraktivity Brněnské přehrady</t>
  </si>
  <si>
    <t>Regenerace sportovišťv lokalitách Vsetínská, Trýbova, Čechyňská</t>
  </si>
  <si>
    <t>Novostavba tělocvičny v MČ Brno - Tuřany</t>
  </si>
  <si>
    <t>Zelný trh II</t>
  </si>
  <si>
    <t>Sportovně-rekreační plocha Kartouzská, Brno</t>
  </si>
  <si>
    <t>Regenerace veřejných prostranství pro volnočasové aktivity v MŠ Brno - sever</t>
  </si>
  <si>
    <t>Veřejná zeleň města Brna - revitalizace městských parků, III. etapa</t>
  </si>
  <si>
    <t>Revitalizace sportovních ploch v MČ Brno - Židenice</t>
  </si>
  <si>
    <t>Relaxační a pohyb. prostory ZŠ, Bosonožské nám. 44, vč. technického a sociálního zařízení</t>
  </si>
  <si>
    <t>Rekonstrukce sportovišť v MČ Brno-střed</t>
  </si>
  <si>
    <t>Brno - Líšeň - rekonstrukce a  rozšíření sportovně rekreač. ploch v areálu ZŠ Brno, Horníkova 1</t>
  </si>
  <si>
    <t xml:space="preserve">Brno - Nový Lískovec - dobudování sportovně rekreačního areálu Pod Plachtami </t>
  </si>
  <si>
    <t xml:space="preserve">TRANSFERY  INVESTIČNÍ CELKEM </t>
  </si>
  <si>
    <t>REKAPITULACE  PŘIJATÝCH TRANSFERŮ</t>
  </si>
  <si>
    <t xml:space="preserve">TRANSFERY  NEINVESTIČNÍ CELKEM  </t>
  </si>
  <si>
    <t xml:space="preserve">TRANSFERY  INVESTIČNÍ CELKEM  </t>
  </si>
  <si>
    <t>TRANSFERY    CELKEM</t>
  </si>
  <si>
    <t>Datum (město)</t>
  </si>
  <si>
    <t>MINISTERSTVO PRÁCE A SOCIÁLNÍCH VĚCÍ</t>
  </si>
  <si>
    <t xml:space="preserve">MINISTERSTVO  PRŮMYSLU A OBCHODU </t>
  </si>
  <si>
    <t xml:space="preserve">MINISTERSTVO VNITRA </t>
  </si>
  <si>
    <t>MINISTERSTVO VNITRA</t>
  </si>
  <si>
    <t>MINISTERSTVO  KULTURY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</si>
</sst>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_);\(#,##0.00\)"/>
  </numFmts>
  <fonts count="9" x14ac:knownFonts="1">
    <font>
      <sz val="10"/>
      <name val="Arial CE"/>
      <family val="2"/>
      <charset val="238"/>
    </font>
    <font>
      <b/>
      <u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2" fillId="2" borderId="0" xfId="0" applyNumberFormat="1" applyFont="1" applyFill="1"/>
    <xf numFmtId="4" fontId="2" fillId="2" borderId="0" xfId="0" applyNumberFormat="1" applyFont="1" applyFill="1"/>
    <xf numFmtId="4" fontId="1" fillId="2" borderId="0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4" fontId="2" fillId="2" borderId="11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vertical="center"/>
    </xf>
    <xf numFmtId="4" fontId="2" fillId="2" borderId="13" xfId="0" applyNumberFormat="1" applyFont="1" applyFill="1" applyBorder="1"/>
    <xf numFmtId="1" fontId="2" fillId="2" borderId="9" xfId="0" applyNumberFormat="1" applyFont="1" applyFill="1" applyBorder="1"/>
    <xf numFmtId="1" fontId="2" fillId="2" borderId="14" xfId="0" applyNumberFormat="1" applyFont="1" applyFill="1" applyBorder="1" applyAlignment="1">
      <alignment horizontal="right"/>
    </xf>
    <xf numFmtId="4" fontId="5" fillId="2" borderId="12" xfId="0" applyNumberFormat="1" applyFont="1" applyFill="1" applyBorder="1" applyAlignment="1">
      <alignment vertical="center"/>
    </xf>
    <xf numFmtId="4" fontId="5" fillId="2" borderId="13" xfId="0" applyNumberFormat="1" applyFont="1" applyFill="1" applyBorder="1"/>
    <xf numFmtId="1" fontId="2" fillId="2" borderId="13" xfId="0" applyNumberFormat="1" applyFont="1" applyFill="1" applyBorder="1"/>
    <xf numFmtId="4" fontId="2" fillId="2" borderId="9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horizontal="right"/>
    </xf>
    <xf numFmtId="1" fontId="2" fillId="2" borderId="13" xfId="0" applyNumberFormat="1" applyFont="1" applyFill="1" applyBorder="1" applyAlignment="1">
      <alignment horizontal="right"/>
    </xf>
    <xf numFmtId="4" fontId="5" fillId="2" borderId="13" xfId="0" applyNumberFormat="1" applyFont="1" applyFill="1" applyBorder="1" applyAlignment="1">
      <alignment vertical="center"/>
    </xf>
    <xf numFmtId="1" fontId="2" fillId="2" borderId="17" xfId="0" applyNumberFormat="1" applyFont="1" applyFill="1" applyBorder="1"/>
    <xf numFmtId="4" fontId="4" fillId="2" borderId="0" xfId="0" applyNumberFormat="1" applyFont="1" applyFill="1"/>
    <xf numFmtId="4" fontId="2" fillId="2" borderId="19" xfId="0" applyNumberFormat="1" applyFont="1" applyFill="1" applyBorder="1" applyAlignment="1">
      <alignment horizontal="right"/>
    </xf>
    <xf numFmtId="4" fontId="2" fillId="2" borderId="16" xfId="0" applyNumberFormat="1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2" fillId="2" borderId="20" xfId="0" applyNumberFormat="1" applyFont="1" applyFill="1" applyBorder="1"/>
    <xf numFmtId="4" fontId="2" fillId="2" borderId="13" xfId="0" applyNumberFormat="1" applyFont="1" applyFill="1" applyBorder="1" applyAlignment="1">
      <alignment vertical="center"/>
    </xf>
    <xf numFmtId="3" fontId="2" fillId="2" borderId="21" xfId="0" applyNumberFormat="1" applyFont="1" applyFill="1" applyBorder="1"/>
    <xf numFmtId="4" fontId="2" fillId="2" borderId="15" xfId="0" applyNumberFormat="1" applyFont="1" applyFill="1" applyBorder="1" applyAlignment="1" applyProtection="1">
      <alignment horizontal="right"/>
    </xf>
    <xf numFmtId="0" fontId="2" fillId="2" borderId="22" xfId="0" applyFont="1" applyFill="1" applyBorder="1"/>
    <xf numFmtId="0" fontId="2" fillId="2" borderId="15" xfId="0" applyFont="1" applyFill="1" applyBorder="1" applyAlignment="1">
      <alignment horizontal="left"/>
    </xf>
    <xf numFmtId="3" fontId="2" fillId="2" borderId="16" xfId="0" applyNumberFormat="1" applyFont="1" applyFill="1" applyBorder="1"/>
    <xf numFmtId="4" fontId="5" fillId="2" borderId="12" xfId="0" applyNumberFormat="1" applyFont="1" applyFill="1" applyBorder="1"/>
    <xf numFmtId="1" fontId="5" fillId="2" borderId="13" xfId="0" applyNumberFormat="1" applyFont="1" applyFill="1" applyBorder="1"/>
    <xf numFmtId="1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/>
    <xf numFmtId="4" fontId="2" fillId="2" borderId="25" xfId="0" applyNumberFormat="1" applyFont="1" applyFill="1" applyBorder="1"/>
    <xf numFmtId="1" fontId="2" fillId="2" borderId="25" xfId="0" applyNumberFormat="1" applyFont="1" applyFill="1" applyBorder="1"/>
    <xf numFmtId="1" fontId="2" fillId="2" borderId="26" xfId="0" applyNumberFormat="1" applyFont="1" applyFill="1" applyBorder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1" fontId="2" fillId="2" borderId="0" xfId="0" applyNumberFormat="1" applyFont="1" applyFill="1" applyBorder="1"/>
    <xf numFmtId="4" fontId="4" fillId="2" borderId="27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4" fontId="4" fillId="2" borderId="28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14" fontId="2" fillId="2" borderId="13" xfId="0" applyNumberFormat="1" applyFont="1" applyFill="1" applyBorder="1" applyAlignment="1">
      <alignment horizontal="right"/>
    </xf>
    <xf numFmtId="1" fontId="2" fillId="2" borderId="9" xfId="0" applyNumberFormat="1" applyFont="1" applyFill="1" applyBorder="1" applyAlignment="1">
      <alignment horizontal="right"/>
    </xf>
    <xf numFmtId="0" fontId="0" fillId="2" borderId="0" xfId="0" applyFont="1" applyFill="1"/>
    <xf numFmtId="14" fontId="2" fillId="2" borderId="29" xfId="0" applyNumberFormat="1" applyFont="1" applyFill="1" applyBorder="1" applyAlignment="1">
      <alignment horizontal="right"/>
    </xf>
    <xf numFmtId="4" fontId="2" fillId="2" borderId="30" xfId="0" applyNumberFormat="1" applyFont="1" applyFill="1" applyBorder="1"/>
    <xf numFmtId="4" fontId="2" fillId="2" borderId="29" xfId="0" applyNumberFormat="1" applyFont="1" applyFill="1" applyBorder="1"/>
    <xf numFmtId="1" fontId="2" fillId="2" borderId="29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4" fontId="2" fillId="2" borderId="31" xfId="0" applyNumberFormat="1" applyFont="1" applyFill="1" applyBorder="1"/>
    <xf numFmtId="1" fontId="2" fillId="2" borderId="0" xfId="0" applyNumberFormat="1" applyFont="1" applyFill="1" applyBorder="1" applyAlignment="1">
      <alignment horizontal="right"/>
    </xf>
    <xf numFmtId="14" fontId="4" fillId="2" borderId="32" xfId="0" applyNumberFormat="1" applyFont="1" applyFill="1" applyBorder="1" applyAlignment="1">
      <alignment horizontal="right"/>
    </xf>
    <xf numFmtId="4" fontId="4" fillId="2" borderId="33" xfId="0" applyNumberFormat="1" applyFont="1" applyFill="1" applyBorder="1" applyAlignment="1">
      <alignment horizontal="center"/>
    </xf>
    <xf numFmtId="1" fontId="4" fillId="2" borderId="34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4" fontId="4" fillId="2" borderId="32" xfId="0" applyNumberFormat="1" applyFont="1" applyFill="1" applyBorder="1" applyAlignment="1">
      <alignment horizontal="center"/>
    </xf>
    <xf numFmtId="4" fontId="4" fillId="2" borderId="35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14" fontId="2" fillId="2" borderId="32" xfId="0" applyNumberFormat="1" applyFont="1" applyFill="1" applyBorder="1" applyAlignment="1">
      <alignment horizontal="right"/>
    </xf>
    <xf numFmtId="4" fontId="2" fillId="2" borderId="18" xfId="0" applyNumberFormat="1" applyFont="1" applyFill="1" applyBorder="1"/>
    <xf numFmtId="1" fontId="2" fillId="2" borderId="34" xfId="0" applyNumberFormat="1" applyFont="1" applyFill="1" applyBorder="1"/>
    <xf numFmtId="1" fontId="2" fillId="2" borderId="34" xfId="0" applyNumberFormat="1" applyFont="1" applyFill="1" applyBorder="1" applyAlignment="1">
      <alignment horizontal="right"/>
    </xf>
    <xf numFmtId="4" fontId="5" fillId="2" borderId="36" xfId="0" applyNumberFormat="1" applyFont="1" applyFill="1" applyBorder="1"/>
    <xf numFmtId="4" fontId="2" fillId="2" borderId="37" xfId="0" applyNumberFormat="1" applyFont="1" applyFill="1" applyBorder="1"/>
    <xf numFmtId="14" fontId="2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4" fontId="7" fillId="2" borderId="0" xfId="0" applyNumberFormat="1" applyFont="1" applyFill="1" applyBorder="1"/>
    <xf numFmtId="4" fontId="0" fillId="2" borderId="0" xfId="0" applyNumberFormat="1" applyFont="1" applyFill="1"/>
    <xf numFmtId="49" fontId="8" fillId="2" borderId="0" xfId="0" applyNumberFormat="1" applyFont="1" applyFill="1" applyBorder="1" applyProtection="1">
      <protection locked="0"/>
    </xf>
    <xf numFmtId="49" fontId="8" fillId="2" borderId="0" xfId="0" applyNumberFormat="1" applyFont="1" applyFill="1" applyBorder="1" applyAlignment="1" applyProtection="1">
      <alignment horizontal="left"/>
      <protection locked="0"/>
    </xf>
    <xf numFmtId="4" fontId="8" fillId="2" borderId="0" xfId="0" applyNumberFormat="1" applyFont="1" applyFill="1" applyBorder="1" applyAlignment="1" applyProtection="1">
      <alignment horizontal="left"/>
      <protection locked="0"/>
    </xf>
    <xf numFmtId="4" fontId="8" fillId="2" borderId="0" xfId="0" applyNumberFormat="1" applyFont="1" applyFill="1" applyBorder="1" applyAlignment="1" applyProtection="1">
      <alignment horizontal="right"/>
      <protection locked="0"/>
    </xf>
    <xf numFmtId="14" fontId="8" fillId="2" borderId="0" xfId="0" applyNumberFormat="1" applyFont="1" applyFill="1" applyBorder="1" applyProtection="1">
      <protection locked="0"/>
    </xf>
    <xf numFmtId="49" fontId="8" fillId="2" borderId="0" xfId="0" applyNumberFormat="1" applyFont="1" applyFill="1" applyBorder="1" applyAlignment="1" applyProtection="1">
      <alignment horizontal="right"/>
      <protection locked="0"/>
    </xf>
    <xf numFmtId="14" fontId="4" fillId="2" borderId="38" xfId="0" applyNumberFormat="1" applyFont="1" applyFill="1" applyBorder="1" applyAlignment="1">
      <alignment horizontal="center"/>
    </xf>
    <xf numFmtId="4" fontId="5" fillId="2" borderId="39" xfId="0" applyNumberFormat="1" applyFont="1" applyFill="1" applyBorder="1"/>
    <xf numFmtId="4" fontId="5" fillId="2" borderId="40" xfId="0" applyNumberFormat="1" applyFont="1" applyFill="1" applyBorder="1"/>
    <xf numFmtId="4" fontId="5" fillId="2" borderId="41" xfId="0" applyNumberFormat="1" applyFont="1" applyFill="1" applyBorder="1"/>
    <xf numFmtId="1" fontId="4" fillId="2" borderId="42" xfId="0" applyNumberFormat="1" applyFont="1" applyFill="1" applyBorder="1" applyAlignment="1">
      <alignment horizontal="center"/>
    </xf>
    <xf numFmtId="1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vertical="center"/>
    </xf>
    <xf numFmtId="1" fontId="2" fillId="2" borderId="20" xfId="0" applyNumberFormat="1" applyFont="1" applyFill="1" applyBorder="1"/>
    <xf numFmtId="1" fontId="2" fillId="2" borderId="45" xfId="0" applyNumberFormat="1" applyFont="1" applyFill="1" applyBorder="1" applyAlignment="1">
      <alignment horizontal="right"/>
    </xf>
    <xf numFmtId="4" fontId="5" fillId="2" borderId="44" xfId="0" applyNumberFormat="1" applyFont="1" applyFill="1" applyBorder="1" applyAlignment="1">
      <alignment vertical="center"/>
    </xf>
    <xf numFmtId="4" fontId="5" fillId="2" borderId="20" xfId="0" applyNumberFormat="1" applyFont="1" applyFill="1" applyBorder="1"/>
    <xf numFmtId="4" fontId="2" fillId="2" borderId="20" xfId="0" applyNumberFormat="1" applyFont="1" applyFill="1" applyBorder="1" applyAlignment="1">
      <alignment vertical="center"/>
    </xf>
    <xf numFmtId="4" fontId="2" fillId="2" borderId="46" xfId="0" applyNumberFormat="1" applyFont="1" applyFill="1" applyBorder="1" applyAlignment="1">
      <alignment horizontal="right"/>
    </xf>
    <xf numFmtId="1" fontId="2" fillId="2" borderId="20" xfId="0" applyNumberFormat="1" applyFont="1" applyFill="1" applyBorder="1" applyAlignment="1">
      <alignment horizontal="right"/>
    </xf>
    <xf numFmtId="4" fontId="5" fillId="2" borderId="20" xfId="0" applyNumberFormat="1" applyFont="1" applyFill="1" applyBorder="1" applyAlignment="1">
      <alignment vertical="center"/>
    </xf>
    <xf numFmtId="0" fontId="3" fillId="2" borderId="47" xfId="0" applyFont="1" applyFill="1" applyBorder="1" applyAlignment="1"/>
    <xf numFmtId="1" fontId="2" fillId="2" borderId="48" xfId="0" applyNumberFormat="1" applyFont="1" applyFill="1" applyBorder="1"/>
    <xf numFmtId="1" fontId="2" fillId="2" borderId="45" xfId="0" applyNumberFormat="1" applyFont="1" applyFill="1" applyBorder="1"/>
    <xf numFmtId="1" fontId="4" fillId="2" borderId="48" xfId="0" applyNumberFormat="1" applyFont="1" applyFill="1" applyBorder="1" applyAlignment="1">
      <alignment horizontal="right"/>
    </xf>
    <xf numFmtId="1" fontId="4" fillId="2" borderId="45" xfId="0" applyNumberFormat="1" applyFont="1" applyFill="1" applyBorder="1" applyAlignment="1">
      <alignment horizontal="right"/>
    </xf>
    <xf numFmtId="1" fontId="2" fillId="2" borderId="48" xfId="0" applyNumberFormat="1" applyFont="1" applyFill="1" applyBorder="1" applyAlignment="1">
      <alignment horizontal="right" vertical="center"/>
    </xf>
    <xf numFmtId="4" fontId="2" fillId="2" borderId="47" xfId="0" applyNumberFormat="1" applyFont="1" applyFill="1" applyBorder="1" applyAlignment="1">
      <alignment vertical="center"/>
    </xf>
    <xf numFmtId="4" fontId="5" fillId="2" borderId="47" xfId="0" applyNumberFormat="1" applyFont="1" applyFill="1" applyBorder="1"/>
    <xf numFmtId="1" fontId="2" fillId="2" borderId="20" xfId="0" applyNumberFormat="1" applyFont="1" applyFill="1" applyBorder="1" applyAlignment="1">
      <alignment horizontal="right" vertical="center"/>
    </xf>
    <xf numFmtId="3" fontId="2" fillId="2" borderId="46" xfId="0" applyNumberFormat="1" applyFont="1" applyFill="1" applyBorder="1"/>
    <xf numFmtId="4" fontId="2" fillId="2" borderId="20" xfId="0" applyNumberFormat="1" applyFont="1" applyFill="1" applyBorder="1" applyAlignment="1">
      <alignment horizontal="right"/>
    </xf>
    <xf numFmtId="4" fontId="2" fillId="2" borderId="47" xfId="0" applyNumberFormat="1" applyFont="1" applyFill="1" applyBorder="1"/>
    <xf numFmtId="3" fontId="2" fillId="2" borderId="49" xfId="0" applyNumberFormat="1" applyFont="1" applyFill="1" applyBorder="1"/>
    <xf numFmtId="3" fontId="2" fillId="2" borderId="47" xfId="0" applyNumberFormat="1" applyFont="1" applyFill="1" applyBorder="1"/>
    <xf numFmtId="1" fontId="2" fillId="2" borderId="48" xfId="0" applyNumberFormat="1" applyFont="1" applyFill="1" applyBorder="1" applyAlignment="1">
      <alignment horizontal="right"/>
    </xf>
    <xf numFmtId="4" fontId="2" fillId="2" borderId="43" xfId="0" applyNumberFormat="1" applyFont="1" applyFill="1" applyBorder="1"/>
    <xf numFmtId="4" fontId="2" fillId="2" borderId="46" xfId="0" applyNumberFormat="1" applyFont="1" applyFill="1" applyBorder="1" applyAlignment="1" applyProtection="1">
      <alignment horizontal="right"/>
    </xf>
    <xf numFmtId="0" fontId="2" fillId="2" borderId="46" xfId="0" applyFont="1" applyFill="1" applyBorder="1" applyAlignment="1"/>
    <xf numFmtId="1" fontId="2" fillId="2" borderId="20" xfId="0" applyNumberFormat="1" applyFont="1" applyFill="1" applyBorder="1" applyAlignment="1">
      <alignment shrinkToFit="1"/>
    </xf>
    <xf numFmtId="165" fontId="2" fillId="2" borderId="46" xfId="0" applyNumberFormat="1" applyFont="1" applyFill="1" applyBorder="1" applyAlignment="1" applyProtection="1">
      <alignment horizontal="right"/>
    </xf>
    <xf numFmtId="3" fontId="2" fillId="2" borderId="46" xfId="0" applyNumberFormat="1" applyFont="1" applyFill="1" applyBorder="1" applyAlignment="1">
      <alignment horizontal="left"/>
    </xf>
    <xf numFmtId="0" fontId="2" fillId="2" borderId="46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4" fontId="5" fillId="2" borderId="47" xfId="0" applyNumberFormat="1" applyFont="1" applyFill="1" applyBorder="1" applyAlignment="1">
      <alignment vertical="center"/>
    </xf>
    <xf numFmtId="14" fontId="2" fillId="2" borderId="50" xfId="0" applyNumberFormat="1" applyFont="1" applyFill="1" applyBorder="1" applyAlignment="1">
      <alignment horizontal="right"/>
    </xf>
    <xf numFmtId="4" fontId="2" fillId="2" borderId="51" xfId="0" applyNumberFormat="1" applyFont="1" applyFill="1" applyBorder="1"/>
    <xf numFmtId="4" fontId="2" fillId="2" borderId="52" xfId="0" applyNumberFormat="1" applyFont="1" applyFill="1" applyBorder="1" applyAlignment="1">
      <alignment vertical="center"/>
    </xf>
    <xf numFmtId="4" fontId="2" fillId="2" borderId="52" xfId="0" applyNumberFormat="1" applyFont="1" applyFill="1" applyBorder="1"/>
    <xf numFmtId="1" fontId="2" fillId="2" borderId="52" xfId="0" applyNumberFormat="1" applyFont="1" applyFill="1" applyBorder="1"/>
    <xf numFmtId="1" fontId="2" fillId="2" borderId="53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vertical="center"/>
    </xf>
    <xf numFmtId="4" fontId="2" fillId="2" borderId="55" xfId="0" applyNumberFormat="1" applyFont="1" applyFill="1" applyBorder="1"/>
    <xf numFmtId="4" fontId="2" fillId="2" borderId="56" xfId="0" applyNumberFormat="1" applyFont="1" applyFill="1" applyBorder="1" applyAlignment="1">
      <alignment horizontal="right"/>
    </xf>
    <xf numFmtId="4" fontId="6" fillId="2" borderId="57" xfId="0" applyNumberFormat="1" applyFont="1" applyFill="1" applyBorder="1"/>
    <xf numFmtId="4" fontId="2" fillId="2" borderId="58" xfId="0" applyNumberFormat="1" applyFont="1" applyFill="1" applyBorder="1" applyAlignment="1">
      <alignment horizontal="right"/>
    </xf>
    <xf numFmtId="4" fontId="5" fillId="2" borderId="54" xfId="0" applyNumberFormat="1" applyFont="1" applyFill="1" applyBorder="1"/>
    <xf numFmtId="4" fontId="6" fillId="2" borderId="54" xfId="0" applyNumberFormat="1" applyFont="1" applyFill="1" applyBorder="1"/>
    <xf numFmtId="4" fontId="2" fillId="2" borderId="54" xfId="0" applyNumberFormat="1" applyFont="1" applyFill="1" applyBorder="1" applyAlignment="1">
      <alignment vertical="center"/>
    </xf>
    <xf numFmtId="3" fontId="2" fillId="2" borderId="56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wrapText="1"/>
    </xf>
    <xf numFmtId="14" fontId="4" fillId="2" borderId="5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11"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gradientFill degree="90">
          <stop position="0">
            <color theme="6" tint="0.80001220740379042"/>
          </stop>
          <stop position="1">
            <color rgb="FFFCCDC4"/>
          </stop>
        </gradient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3"/>
  <sheetViews>
    <sheetView tabSelected="1" zoomScaleNormal="100" workbookViewId="0">
      <selection activeCell="A3" sqref="A3"/>
    </sheetView>
  </sheetViews>
  <sheetFormatPr defaultColWidth="9.140625" defaultRowHeight="15.75" x14ac:dyDescent="0.25"/>
  <cols>
    <col min="1" max="1" width="11.28515625" style="72" customWidth="1"/>
    <col min="2" max="2" width="86.5703125" style="2" customWidth="1"/>
    <col min="3" max="3" width="19" style="2" customWidth="1"/>
    <col min="4" max="4" width="23" style="2" customWidth="1"/>
    <col min="5" max="5" width="10.140625" style="65" customWidth="1"/>
    <col min="6" max="6" width="8.85546875" style="65" customWidth="1"/>
    <col min="7" max="7" width="12.28515625" style="2" bestFit="1" customWidth="1"/>
    <col min="8" max="16384" width="9.140625" style="2"/>
  </cols>
  <sheetData>
    <row r="1" spans="1:6" ht="22.5" x14ac:dyDescent="0.3">
      <c r="A1" s="137" t="s">
        <v>0</v>
      </c>
      <c r="B1" s="137"/>
      <c r="C1" s="137"/>
      <c r="D1" s="137"/>
      <c r="E1" s="137"/>
      <c r="F1" s="137"/>
    </row>
    <row r="2" spans="1:6" ht="22.5" x14ac:dyDescent="0.3">
      <c r="A2" s="137" t="s">
        <v>1</v>
      </c>
      <c r="B2" s="137"/>
      <c r="C2" s="137"/>
      <c r="D2" s="137"/>
      <c r="E2" s="137"/>
      <c r="F2" s="137"/>
    </row>
    <row r="3" spans="1:6" ht="23.25" thickBot="1" x14ac:dyDescent="0.35">
      <c r="A3" s="3"/>
      <c r="B3" s="3"/>
      <c r="C3" s="3"/>
      <c r="D3" s="3"/>
      <c r="E3" s="3"/>
      <c r="F3" s="1"/>
    </row>
    <row r="4" spans="1:6" x14ac:dyDescent="0.25">
      <c r="A4" s="138" t="s">
        <v>315</v>
      </c>
      <c r="B4" s="4"/>
      <c r="C4" s="4"/>
      <c r="D4" s="5"/>
      <c r="E4" s="6"/>
      <c r="F4" s="6"/>
    </row>
    <row r="5" spans="1:6" ht="16.5" thickBot="1" x14ac:dyDescent="0.3">
      <c r="A5" s="139"/>
      <c r="B5" s="8" t="s">
        <v>2</v>
      </c>
      <c r="C5" s="8" t="s">
        <v>3</v>
      </c>
      <c r="D5" s="9" t="s">
        <v>4</v>
      </c>
      <c r="E5" s="10" t="s">
        <v>5</v>
      </c>
      <c r="F5" s="10" t="s">
        <v>6</v>
      </c>
    </row>
    <row r="6" spans="1:6" x14ac:dyDescent="0.25">
      <c r="A6" s="82"/>
      <c r="B6" s="83" t="s">
        <v>7</v>
      </c>
      <c r="C6" s="84">
        <f>+C7</f>
        <v>12015</v>
      </c>
      <c r="D6" s="85">
        <f>+D7</f>
        <v>12015000</v>
      </c>
      <c r="E6" s="11"/>
      <c r="F6" s="86"/>
    </row>
    <row r="7" spans="1:6" x14ac:dyDescent="0.25">
      <c r="A7" s="87">
        <v>42642</v>
      </c>
      <c r="B7" s="88" t="s">
        <v>8</v>
      </c>
      <c r="C7" s="29">
        <v>12015</v>
      </c>
      <c r="D7" s="29">
        <v>12015000</v>
      </c>
      <c r="E7" s="89">
        <v>98193</v>
      </c>
      <c r="F7" s="90">
        <v>4111</v>
      </c>
    </row>
    <row r="8" spans="1:6" x14ac:dyDescent="0.25">
      <c r="A8" s="87"/>
      <c r="B8" s="91"/>
      <c r="C8" s="92"/>
      <c r="D8" s="92"/>
      <c r="E8" s="89"/>
      <c r="F8" s="90"/>
    </row>
    <row r="9" spans="1:6" x14ac:dyDescent="0.25">
      <c r="A9" s="87"/>
      <c r="B9" s="91" t="s">
        <v>9</v>
      </c>
      <c r="C9" s="92">
        <f>+SUM(C10:C13)</f>
        <v>5611.9480000000003</v>
      </c>
      <c r="D9" s="92">
        <f>+SUM(D10:D13)</f>
        <v>5611948</v>
      </c>
      <c r="E9" s="89"/>
      <c r="F9" s="90"/>
    </row>
    <row r="10" spans="1:6" x14ac:dyDescent="0.25">
      <c r="A10" s="87"/>
      <c r="B10" s="88" t="s">
        <v>10</v>
      </c>
      <c r="C10" s="93">
        <v>111.04</v>
      </c>
      <c r="D10" s="94">
        <f>55520+55520</f>
        <v>111040</v>
      </c>
      <c r="E10" s="95">
        <v>92241</v>
      </c>
      <c r="F10" s="90" t="s">
        <v>11</v>
      </c>
    </row>
    <row r="11" spans="1:6" x14ac:dyDescent="0.25">
      <c r="A11" s="87"/>
      <c r="B11" s="88" t="s">
        <v>12</v>
      </c>
      <c r="C11" s="93">
        <v>1989.6179999999999</v>
      </c>
      <c r="D11" s="94">
        <f>108171+109620+9469+509931+48588+64784+72882+72882+217791+6433+82424+126687+134825+165995+48588+64784+72882+72882</f>
        <v>1989618</v>
      </c>
      <c r="E11" s="95">
        <v>92241</v>
      </c>
      <c r="F11" s="90" t="s">
        <v>11</v>
      </c>
    </row>
    <row r="12" spans="1:6" x14ac:dyDescent="0.25">
      <c r="A12" s="87"/>
      <c r="B12" s="88" t="s">
        <v>13</v>
      </c>
      <c r="C12" s="93">
        <f>1500.873+453.363</f>
        <v>1954.2360000000001</v>
      </c>
      <c r="D12" s="94">
        <f>345411+215860+198024+217934+235429+345411+215860+180307</f>
        <v>1954236</v>
      </c>
      <c r="E12" s="95">
        <v>92241</v>
      </c>
      <c r="F12" s="90" t="s">
        <v>11</v>
      </c>
    </row>
    <row r="13" spans="1:6" x14ac:dyDescent="0.25">
      <c r="A13" s="87"/>
      <c r="B13" s="88" t="s">
        <v>14</v>
      </c>
      <c r="C13" s="93">
        <v>1557.0540000000001</v>
      </c>
      <c r="D13" s="94">
        <f>778527+778527</f>
        <v>1557054</v>
      </c>
      <c r="E13" s="95">
        <v>92241</v>
      </c>
      <c r="F13" s="90" t="s">
        <v>11</v>
      </c>
    </row>
    <row r="14" spans="1:6" x14ac:dyDescent="0.25">
      <c r="A14" s="87"/>
      <c r="B14" s="88"/>
      <c r="C14" s="93"/>
      <c r="D14" s="94"/>
      <c r="E14" s="89"/>
      <c r="F14" s="90"/>
    </row>
    <row r="15" spans="1:6" x14ac:dyDescent="0.25">
      <c r="A15" s="87"/>
      <c r="B15" s="91" t="s">
        <v>15</v>
      </c>
      <c r="C15" s="96">
        <f>+SUM(C16:C18)</f>
        <v>252.32825000000003</v>
      </c>
      <c r="D15" s="96">
        <f>+SUM(D16:D18)</f>
        <v>252328.25</v>
      </c>
      <c r="E15" s="89"/>
      <c r="F15" s="90"/>
    </row>
    <row r="16" spans="1:6" x14ac:dyDescent="0.25">
      <c r="A16" s="87">
        <v>42453</v>
      </c>
      <c r="B16" s="88" t="s">
        <v>16</v>
      </c>
      <c r="C16" s="93">
        <v>5.8362499999999997</v>
      </c>
      <c r="D16" s="94">
        <v>5836.25</v>
      </c>
      <c r="E16" s="95">
        <v>90001</v>
      </c>
      <c r="F16" s="90">
        <v>4113</v>
      </c>
    </row>
    <row r="17" spans="1:6" x14ac:dyDescent="0.25">
      <c r="A17" s="87"/>
      <c r="B17" s="88" t="s">
        <v>17</v>
      </c>
      <c r="C17" s="93">
        <f>69.092+177.4</f>
        <v>246.49200000000002</v>
      </c>
      <c r="D17" s="94">
        <f>69092+177400</f>
        <v>246492</v>
      </c>
      <c r="E17" s="95">
        <v>90104</v>
      </c>
      <c r="F17" s="90">
        <v>4113</v>
      </c>
    </row>
    <row r="18" spans="1:6" x14ac:dyDescent="0.25">
      <c r="A18" s="87"/>
      <c r="B18" s="88"/>
      <c r="C18" s="93"/>
      <c r="D18" s="93"/>
      <c r="E18" s="89"/>
      <c r="F18" s="90"/>
    </row>
    <row r="19" spans="1:6" x14ac:dyDescent="0.25">
      <c r="A19" s="87"/>
      <c r="B19" s="91" t="s">
        <v>18</v>
      </c>
      <c r="C19" s="96">
        <f>+C20+C21</f>
        <v>139.13885999999999</v>
      </c>
      <c r="D19" s="96">
        <f>+D20+D21</f>
        <v>139138.86000000002</v>
      </c>
      <c r="E19" s="89"/>
      <c r="F19" s="90"/>
    </row>
    <row r="20" spans="1:6" x14ac:dyDescent="0.25">
      <c r="A20" s="87"/>
      <c r="B20" s="88" t="s">
        <v>19</v>
      </c>
      <c r="C20" s="93">
        <v>4.8753500000000001</v>
      </c>
      <c r="D20" s="94">
        <v>4875.3500000000004</v>
      </c>
      <c r="E20" s="95">
        <v>89450</v>
      </c>
      <c r="F20" s="90">
        <v>4113</v>
      </c>
    </row>
    <row r="21" spans="1:6" x14ac:dyDescent="0.25">
      <c r="A21" s="87"/>
      <c r="B21" s="88" t="s">
        <v>20</v>
      </c>
      <c r="C21" s="93">
        <f>48.62274+1.14741+59.14535+25.34801</f>
        <v>134.26351</v>
      </c>
      <c r="D21" s="94">
        <f>48622.74+1147.41+59145.35+25348.01</f>
        <v>134263.51</v>
      </c>
      <c r="E21" s="95">
        <v>89023</v>
      </c>
      <c r="F21" s="90">
        <v>4113</v>
      </c>
    </row>
    <row r="22" spans="1:6" x14ac:dyDescent="0.25">
      <c r="A22" s="87"/>
      <c r="B22" s="97"/>
      <c r="C22" s="93"/>
      <c r="D22" s="93"/>
      <c r="E22" s="98"/>
      <c r="F22" s="99"/>
    </row>
    <row r="23" spans="1:6" s="25" customFormat="1" x14ac:dyDescent="0.25">
      <c r="A23" s="87"/>
      <c r="B23" s="91" t="s">
        <v>21</v>
      </c>
      <c r="C23" s="96">
        <f>SUM(C24:C47)</f>
        <v>27570.147000000001</v>
      </c>
      <c r="D23" s="96">
        <f>SUM(D24:D47)</f>
        <v>25067564</v>
      </c>
      <c r="E23" s="100"/>
      <c r="F23" s="101"/>
    </row>
    <row r="24" spans="1:6" x14ac:dyDescent="0.25">
      <c r="A24" s="87">
        <v>42383</v>
      </c>
      <c r="B24" s="88" t="s">
        <v>22</v>
      </c>
      <c r="C24" s="93">
        <v>12</v>
      </c>
      <c r="D24" s="94">
        <v>12000</v>
      </c>
      <c r="E24" s="95">
        <v>13010</v>
      </c>
      <c r="F24" s="90">
        <v>4116</v>
      </c>
    </row>
    <row r="25" spans="1:6" x14ac:dyDescent="0.25">
      <c r="A25" s="87">
        <v>42411</v>
      </c>
      <c r="B25" s="88" t="s">
        <v>22</v>
      </c>
      <c r="C25" s="93">
        <v>3504</v>
      </c>
      <c r="D25" s="94">
        <v>3504000</v>
      </c>
      <c r="E25" s="95">
        <v>13010</v>
      </c>
      <c r="F25" s="90">
        <v>4116</v>
      </c>
    </row>
    <row r="26" spans="1:6" x14ac:dyDescent="0.25">
      <c r="A26" s="87">
        <v>42496</v>
      </c>
      <c r="B26" s="88" t="s">
        <v>22</v>
      </c>
      <c r="C26" s="93">
        <v>8</v>
      </c>
      <c r="D26" s="94">
        <v>8000</v>
      </c>
      <c r="E26" s="95">
        <v>13010</v>
      </c>
      <c r="F26" s="90">
        <v>4116</v>
      </c>
    </row>
    <row r="27" spans="1:6" x14ac:dyDescent="0.25">
      <c r="A27" s="87">
        <v>42500</v>
      </c>
      <c r="B27" s="88" t="s">
        <v>22</v>
      </c>
      <c r="C27" s="93">
        <v>36</v>
      </c>
      <c r="D27" s="94">
        <v>36000</v>
      </c>
      <c r="E27" s="95">
        <v>13010</v>
      </c>
      <c r="F27" s="90">
        <v>4116</v>
      </c>
    </row>
    <row r="28" spans="1:6" x14ac:dyDescent="0.25">
      <c r="A28" s="87">
        <v>42516</v>
      </c>
      <c r="B28" s="88" t="s">
        <v>22</v>
      </c>
      <c r="C28" s="93">
        <v>36</v>
      </c>
      <c r="D28" s="94">
        <v>36000</v>
      </c>
      <c r="E28" s="95">
        <v>13010</v>
      </c>
      <c r="F28" s="90">
        <v>4116</v>
      </c>
    </row>
    <row r="29" spans="1:6" x14ac:dyDescent="0.25">
      <c r="A29" s="87">
        <v>42527</v>
      </c>
      <c r="B29" s="88" t="s">
        <v>23</v>
      </c>
      <c r="C29" s="93">
        <v>-56</v>
      </c>
      <c r="D29" s="94">
        <v>-56000</v>
      </c>
      <c r="E29" s="95">
        <v>13010</v>
      </c>
      <c r="F29" s="90">
        <v>4116</v>
      </c>
    </row>
    <row r="30" spans="1:6" x14ac:dyDescent="0.25">
      <c r="A30" s="87">
        <v>42558</v>
      </c>
      <c r="B30" s="88" t="s">
        <v>23</v>
      </c>
      <c r="C30" s="93">
        <v>-28</v>
      </c>
      <c r="D30" s="94">
        <v>-28000</v>
      </c>
      <c r="E30" s="95">
        <v>13010</v>
      </c>
      <c r="F30" s="90">
        <v>4116</v>
      </c>
    </row>
    <row r="31" spans="1:6" x14ac:dyDescent="0.25">
      <c r="A31" s="87">
        <v>42692</v>
      </c>
      <c r="B31" s="88" t="s">
        <v>24</v>
      </c>
      <c r="C31" s="93">
        <v>15.760999999999999</v>
      </c>
      <c r="D31" s="94">
        <v>15761</v>
      </c>
      <c r="E31" s="95">
        <v>13101</v>
      </c>
      <c r="F31" s="90">
        <v>4116</v>
      </c>
    </row>
    <row r="32" spans="1:6" x14ac:dyDescent="0.25">
      <c r="A32" s="87">
        <v>42719</v>
      </c>
      <c r="B32" s="88" t="s">
        <v>24</v>
      </c>
      <c r="C32" s="93">
        <v>30</v>
      </c>
      <c r="D32" s="26">
        <v>30000</v>
      </c>
      <c r="E32" s="95">
        <v>13101</v>
      </c>
      <c r="F32" s="90">
        <v>4116</v>
      </c>
    </row>
    <row r="33" spans="1:6" x14ac:dyDescent="0.25">
      <c r="A33" s="87"/>
      <c r="B33" s="88" t="s">
        <v>25</v>
      </c>
      <c r="C33" s="93">
        <f>14.1+14</f>
        <v>28.1</v>
      </c>
      <c r="D33" s="93">
        <f>14000+14000</f>
        <v>28000</v>
      </c>
      <c r="E33" s="95">
        <v>13101</v>
      </c>
      <c r="F33" s="90">
        <v>4116</v>
      </c>
    </row>
    <row r="34" spans="1:6" x14ac:dyDescent="0.25">
      <c r="A34" s="87"/>
      <c r="B34" s="88" t="s">
        <v>26</v>
      </c>
      <c r="C34" s="93">
        <v>0</v>
      </c>
      <c r="D34" s="93">
        <v>13548</v>
      </c>
      <c r="E34" s="95">
        <v>13101</v>
      </c>
      <c r="F34" s="90">
        <v>4116</v>
      </c>
    </row>
    <row r="35" spans="1:6" x14ac:dyDescent="0.25">
      <c r="A35" s="87"/>
      <c r="B35" s="88" t="s">
        <v>27</v>
      </c>
      <c r="C35" s="93">
        <v>93</v>
      </c>
      <c r="D35" s="93">
        <f>69737+23264</f>
        <v>93001</v>
      </c>
      <c r="E35" s="95">
        <v>13101</v>
      </c>
      <c r="F35" s="90" t="s">
        <v>28</v>
      </c>
    </row>
    <row r="36" spans="1:6" s="25" customFormat="1" x14ac:dyDescent="0.25">
      <c r="A36" s="87"/>
      <c r="B36" s="88" t="s">
        <v>29</v>
      </c>
      <c r="C36" s="93">
        <v>334</v>
      </c>
      <c r="D36" s="93">
        <f>126000+39997+42000+42000+84000+5871</f>
        <v>339868</v>
      </c>
      <c r="E36" s="95">
        <v>13013</v>
      </c>
      <c r="F36" s="90">
        <v>4116</v>
      </c>
    </row>
    <row r="37" spans="1:6" s="25" customFormat="1" x14ac:dyDescent="0.25">
      <c r="A37" s="87"/>
      <c r="B37" s="88" t="s">
        <v>30</v>
      </c>
      <c r="C37" s="93">
        <v>340</v>
      </c>
      <c r="D37" s="93">
        <f>174232+40533+76458-40533+38006</f>
        <v>288696</v>
      </c>
      <c r="E37" s="95">
        <v>13013</v>
      </c>
      <c r="F37" s="90">
        <v>4116</v>
      </c>
    </row>
    <row r="38" spans="1:6" s="25" customFormat="1" x14ac:dyDescent="0.25">
      <c r="A38" s="87"/>
      <c r="B38" s="88" t="s">
        <v>31</v>
      </c>
      <c r="C38" s="93">
        <f>194.76+24.926+28+27.936+27.938</f>
        <v>303.55999999999995</v>
      </c>
      <c r="D38" s="93">
        <v>303560</v>
      </c>
      <c r="E38" s="95">
        <v>13013</v>
      </c>
      <c r="F38" s="90">
        <v>4116</v>
      </c>
    </row>
    <row r="39" spans="1:6" s="25" customFormat="1" x14ac:dyDescent="0.25">
      <c r="A39" s="87"/>
      <c r="B39" s="88" t="s">
        <v>32</v>
      </c>
      <c r="C39" s="93">
        <v>257.7</v>
      </c>
      <c r="D39" s="93">
        <f>94500+31500+31500+57958+42000</f>
        <v>257458</v>
      </c>
      <c r="E39" s="95">
        <v>13013</v>
      </c>
      <c r="F39" s="90">
        <v>4116</v>
      </c>
    </row>
    <row r="40" spans="1:6" s="25" customFormat="1" x14ac:dyDescent="0.25">
      <c r="A40" s="87"/>
      <c r="B40" s="88" t="s">
        <v>33</v>
      </c>
      <c r="C40" s="93">
        <v>540</v>
      </c>
      <c r="D40" s="93">
        <f>326883+28000+38219</f>
        <v>393102</v>
      </c>
      <c r="E40" s="95">
        <v>13013</v>
      </c>
      <c r="F40" s="90">
        <v>4116</v>
      </c>
    </row>
    <row r="41" spans="1:6" s="25" customFormat="1" x14ac:dyDescent="0.25">
      <c r="A41" s="87"/>
      <c r="B41" s="88" t="s">
        <v>34</v>
      </c>
      <c r="C41" s="93">
        <v>1466</v>
      </c>
      <c r="D41" s="93">
        <f>1005090+86776+52887+56000</f>
        <v>1200753</v>
      </c>
      <c r="E41" s="95">
        <v>13013</v>
      </c>
      <c r="F41" s="90">
        <v>4116</v>
      </c>
    </row>
    <row r="42" spans="1:6" s="25" customFormat="1" x14ac:dyDescent="0.25">
      <c r="A42" s="87"/>
      <c r="B42" s="88" t="s">
        <v>35</v>
      </c>
      <c r="C42" s="93">
        <f>264.46+30.27</f>
        <v>294.72999999999996</v>
      </c>
      <c r="D42" s="93">
        <v>294730</v>
      </c>
      <c r="E42" s="95">
        <v>13013</v>
      </c>
      <c r="F42" s="90">
        <v>4116</v>
      </c>
    </row>
    <row r="43" spans="1:6" s="25" customFormat="1" x14ac:dyDescent="0.25">
      <c r="A43" s="87"/>
      <c r="B43" s="88" t="s">
        <v>36</v>
      </c>
      <c r="C43" s="93">
        <v>6472</v>
      </c>
      <c r="D43" s="93">
        <v>4872687</v>
      </c>
      <c r="E43" s="95">
        <v>13013</v>
      </c>
      <c r="F43" s="90">
        <v>4116</v>
      </c>
    </row>
    <row r="44" spans="1:6" s="25" customFormat="1" x14ac:dyDescent="0.25">
      <c r="A44" s="87"/>
      <c r="B44" s="88" t="s">
        <v>37</v>
      </c>
      <c r="C44" s="93">
        <f>5709+7059</f>
        <v>12768</v>
      </c>
      <c r="D44" s="93">
        <v>12390978</v>
      </c>
      <c r="E44" s="95">
        <v>13013</v>
      </c>
      <c r="F44" s="90">
        <v>4116</v>
      </c>
    </row>
    <row r="45" spans="1:6" x14ac:dyDescent="0.25">
      <c r="A45" s="87"/>
      <c r="B45" s="88" t="s">
        <v>38</v>
      </c>
      <c r="C45" s="93">
        <v>140</v>
      </c>
      <c r="D45" s="93">
        <f>74577+10954+596</f>
        <v>86127</v>
      </c>
      <c r="E45" s="102">
        <v>13013</v>
      </c>
      <c r="F45" s="90">
        <v>4116</v>
      </c>
    </row>
    <row r="46" spans="1:6" x14ac:dyDescent="0.25">
      <c r="A46" s="87"/>
      <c r="B46" s="88" t="s">
        <v>39</v>
      </c>
      <c r="C46" s="93">
        <v>700.02599999999995</v>
      </c>
      <c r="D46" s="93">
        <v>700026</v>
      </c>
      <c r="E46" s="102">
        <v>13013</v>
      </c>
      <c r="F46" s="90">
        <v>4116</v>
      </c>
    </row>
    <row r="47" spans="1:6" x14ac:dyDescent="0.25">
      <c r="A47" s="87"/>
      <c r="B47" s="88" t="s">
        <v>40</v>
      </c>
      <c r="C47" s="93">
        <f>126+126+23.27</f>
        <v>275.27</v>
      </c>
      <c r="D47" s="93">
        <f>163964+28000+26305+1000+28000</f>
        <v>247269</v>
      </c>
      <c r="E47" s="102">
        <v>13013</v>
      </c>
      <c r="F47" s="90">
        <v>4116</v>
      </c>
    </row>
    <row r="48" spans="1:6" x14ac:dyDescent="0.25">
      <c r="A48" s="87"/>
      <c r="B48" s="103"/>
      <c r="C48" s="88"/>
      <c r="D48" s="93"/>
      <c r="E48" s="102"/>
      <c r="F48" s="90"/>
    </row>
    <row r="49" spans="1:6" x14ac:dyDescent="0.25">
      <c r="A49" s="87"/>
      <c r="B49" s="104" t="s">
        <v>41</v>
      </c>
      <c r="C49" s="96">
        <f>+SUM(C50:C89)</f>
        <v>28560</v>
      </c>
      <c r="D49" s="96">
        <f>+SUM(D50:D89)</f>
        <v>28560000</v>
      </c>
      <c r="E49" s="95"/>
      <c r="F49" s="90"/>
    </row>
    <row r="50" spans="1:6" x14ac:dyDescent="0.25">
      <c r="A50" s="87">
        <v>42475</v>
      </c>
      <c r="B50" s="88" t="s">
        <v>42</v>
      </c>
      <c r="C50" s="93">
        <v>1000</v>
      </c>
      <c r="D50" s="93">
        <v>1000000</v>
      </c>
      <c r="E50" s="105">
        <v>34070</v>
      </c>
      <c r="F50" s="90">
        <v>4116</v>
      </c>
    </row>
    <row r="51" spans="1:6" x14ac:dyDescent="0.25">
      <c r="A51" s="87">
        <v>42486</v>
      </c>
      <c r="B51" s="88" t="s">
        <v>43</v>
      </c>
      <c r="C51" s="93">
        <v>20</v>
      </c>
      <c r="D51" s="93">
        <v>20000</v>
      </c>
      <c r="E51" s="95">
        <v>34070</v>
      </c>
      <c r="F51" s="90">
        <v>4116</v>
      </c>
    </row>
    <row r="52" spans="1:6" x14ac:dyDescent="0.25">
      <c r="A52" s="87">
        <v>42487</v>
      </c>
      <c r="B52" s="88" t="s">
        <v>44</v>
      </c>
      <c r="C52" s="93">
        <v>45</v>
      </c>
      <c r="D52" s="93">
        <v>45000</v>
      </c>
      <c r="E52" s="95">
        <v>34053</v>
      </c>
      <c r="F52" s="90">
        <v>4116</v>
      </c>
    </row>
    <row r="53" spans="1:6" x14ac:dyDescent="0.25">
      <c r="A53" s="87">
        <v>42492</v>
      </c>
      <c r="B53" s="88" t="s">
        <v>45</v>
      </c>
      <c r="C53" s="93">
        <v>50</v>
      </c>
      <c r="D53" s="94">
        <v>50000</v>
      </c>
      <c r="E53" s="95">
        <v>34070</v>
      </c>
      <c r="F53" s="90">
        <v>4116</v>
      </c>
    </row>
    <row r="54" spans="1:6" x14ac:dyDescent="0.25">
      <c r="A54" s="87">
        <v>42492</v>
      </c>
      <c r="B54" s="88" t="s">
        <v>46</v>
      </c>
      <c r="C54" s="93">
        <v>15</v>
      </c>
      <c r="D54" s="94">
        <v>15000</v>
      </c>
      <c r="E54" s="95">
        <v>34070</v>
      </c>
      <c r="F54" s="90">
        <v>4116</v>
      </c>
    </row>
    <row r="55" spans="1:6" x14ac:dyDescent="0.25">
      <c r="A55" s="87">
        <v>42492</v>
      </c>
      <c r="B55" s="88" t="s">
        <v>47</v>
      </c>
      <c r="C55" s="93">
        <v>18</v>
      </c>
      <c r="D55" s="94">
        <v>18000</v>
      </c>
      <c r="E55" s="95">
        <v>34070</v>
      </c>
      <c r="F55" s="90">
        <v>4116</v>
      </c>
    </row>
    <row r="56" spans="1:6" x14ac:dyDescent="0.25">
      <c r="A56" s="87">
        <v>42492</v>
      </c>
      <c r="B56" s="88" t="s">
        <v>48</v>
      </c>
      <c r="C56" s="93">
        <v>25</v>
      </c>
      <c r="D56" s="94">
        <v>25000</v>
      </c>
      <c r="E56" s="95">
        <v>34070</v>
      </c>
      <c r="F56" s="90">
        <v>4116</v>
      </c>
    </row>
    <row r="57" spans="1:6" x14ac:dyDescent="0.25">
      <c r="A57" s="87">
        <v>42492</v>
      </c>
      <c r="B57" s="88" t="s">
        <v>49</v>
      </c>
      <c r="C57" s="93">
        <v>180</v>
      </c>
      <c r="D57" s="94">
        <v>180000</v>
      </c>
      <c r="E57" s="95">
        <v>34070</v>
      </c>
      <c r="F57" s="90">
        <v>4116</v>
      </c>
    </row>
    <row r="58" spans="1:6" x14ac:dyDescent="0.25">
      <c r="A58" s="87">
        <v>42492</v>
      </c>
      <c r="B58" s="88" t="s">
        <v>50</v>
      </c>
      <c r="C58" s="93">
        <v>600</v>
      </c>
      <c r="D58" s="94">
        <v>600000</v>
      </c>
      <c r="E58" s="95">
        <v>34070</v>
      </c>
      <c r="F58" s="90">
        <v>4116</v>
      </c>
    </row>
    <row r="59" spans="1:6" x14ac:dyDescent="0.25">
      <c r="A59" s="87">
        <v>42492</v>
      </c>
      <c r="B59" s="88" t="s">
        <v>51</v>
      </c>
      <c r="C59" s="93">
        <v>700</v>
      </c>
      <c r="D59" s="94">
        <v>700000</v>
      </c>
      <c r="E59" s="95">
        <v>34070</v>
      </c>
      <c r="F59" s="90">
        <v>4116</v>
      </c>
    </row>
    <row r="60" spans="1:6" x14ac:dyDescent="0.25">
      <c r="A60" s="87">
        <v>42492</v>
      </c>
      <c r="B60" s="88" t="s">
        <v>52</v>
      </c>
      <c r="C60" s="93">
        <v>90</v>
      </c>
      <c r="D60" s="94">
        <v>90000</v>
      </c>
      <c r="E60" s="95">
        <v>34070</v>
      </c>
      <c r="F60" s="90">
        <v>4116</v>
      </c>
    </row>
    <row r="61" spans="1:6" x14ac:dyDescent="0.25">
      <c r="A61" s="87">
        <v>42492</v>
      </c>
      <c r="B61" s="88" t="s">
        <v>53</v>
      </c>
      <c r="C61" s="93">
        <v>1000</v>
      </c>
      <c r="D61" s="94">
        <v>1000000</v>
      </c>
      <c r="E61" s="95">
        <v>34016</v>
      </c>
      <c r="F61" s="90">
        <v>4116</v>
      </c>
    </row>
    <row r="62" spans="1:6" x14ac:dyDescent="0.25">
      <c r="A62" s="87">
        <v>42496</v>
      </c>
      <c r="B62" s="106" t="s">
        <v>54</v>
      </c>
      <c r="C62" s="93">
        <v>20</v>
      </c>
      <c r="D62" s="94">
        <v>20000</v>
      </c>
      <c r="E62" s="95">
        <v>34070</v>
      </c>
      <c r="F62" s="90">
        <v>4116</v>
      </c>
    </row>
    <row r="63" spans="1:6" x14ac:dyDescent="0.25">
      <c r="A63" s="87">
        <v>42496</v>
      </c>
      <c r="B63" s="106" t="s">
        <v>55</v>
      </c>
      <c r="C63" s="93">
        <v>120</v>
      </c>
      <c r="D63" s="94">
        <v>120000</v>
      </c>
      <c r="E63" s="95">
        <v>34070</v>
      </c>
      <c r="F63" s="90">
        <v>4116</v>
      </c>
    </row>
    <row r="64" spans="1:6" x14ac:dyDescent="0.25">
      <c r="A64" s="87">
        <v>42496</v>
      </c>
      <c r="B64" s="106" t="s">
        <v>56</v>
      </c>
      <c r="C64" s="93">
        <v>120</v>
      </c>
      <c r="D64" s="94">
        <v>120000</v>
      </c>
      <c r="E64" s="95">
        <v>34070</v>
      </c>
      <c r="F64" s="90">
        <v>4116</v>
      </c>
    </row>
    <row r="65" spans="1:6" x14ac:dyDescent="0.25">
      <c r="A65" s="87">
        <v>42500</v>
      </c>
      <c r="B65" s="88" t="s">
        <v>57</v>
      </c>
      <c r="C65" s="93">
        <v>25</v>
      </c>
      <c r="D65" s="94">
        <v>25000</v>
      </c>
      <c r="E65" s="95">
        <v>34070</v>
      </c>
      <c r="F65" s="90">
        <v>4116</v>
      </c>
    </row>
    <row r="66" spans="1:6" x14ac:dyDescent="0.25">
      <c r="A66" s="87">
        <v>42515</v>
      </c>
      <c r="B66" s="88" t="s">
        <v>58</v>
      </c>
      <c r="C66" s="93">
        <v>50</v>
      </c>
      <c r="D66" s="94">
        <v>50000</v>
      </c>
      <c r="E66" s="95">
        <v>34273</v>
      </c>
      <c r="F66" s="90">
        <v>4116</v>
      </c>
    </row>
    <row r="67" spans="1:6" x14ac:dyDescent="0.25">
      <c r="A67" s="87">
        <v>42517</v>
      </c>
      <c r="B67" s="88" t="s">
        <v>59</v>
      </c>
      <c r="C67" s="93">
        <v>64</v>
      </c>
      <c r="D67" s="94">
        <v>64000</v>
      </c>
      <c r="E67" s="95">
        <v>34053</v>
      </c>
      <c r="F67" s="90">
        <v>4116</v>
      </c>
    </row>
    <row r="68" spans="1:6" x14ac:dyDescent="0.25">
      <c r="A68" s="87">
        <v>42517</v>
      </c>
      <c r="B68" s="88" t="s">
        <v>60</v>
      </c>
      <c r="C68" s="93">
        <v>207</v>
      </c>
      <c r="D68" s="94">
        <v>207000</v>
      </c>
      <c r="E68" s="95">
        <v>34001</v>
      </c>
      <c r="F68" s="90">
        <v>4116</v>
      </c>
    </row>
    <row r="69" spans="1:6" x14ac:dyDescent="0.25">
      <c r="A69" s="87">
        <v>42521</v>
      </c>
      <c r="B69" s="88" t="s">
        <v>61</v>
      </c>
      <c r="C69" s="93">
        <v>1440</v>
      </c>
      <c r="D69" s="94">
        <v>1440000</v>
      </c>
      <c r="E69" s="95">
        <v>34352</v>
      </c>
      <c r="F69" s="90">
        <v>4116</v>
      </c>
    </row>
    <row r="70" spans="1:6" x14ac:dyDescent="0.25">
      <c r="A70" s="87">
        <v>42521</v>
      </c>
      <c r="B70" s="88" t="s">
        <v>62</v>
      </c>
      <c r="C70" s="93">
        <v>100</v>
      </c>
      <c r="D70" s="94">
        <v>100000</v>
      </c>
      <c r="E70" s="95">
        <v>34070</v>
      </c>
      <c r="F70" s="90">
        <v>4116</v>
      </c>
    </row>
    <row r="71" spans="1:6" x14ac:dyDescent="0.25">
      <c r="A71" s="87">
        <v>42521</v>
      </c>
      <c r="B71" s="88" t="s">
        <v>63</v>
      </c>
      <c r="C71" s="93">
        <v>70</v>
      </c>
      <c r="D71" s="94">
        <v>70000</v>
      </c>
      <c r="E71" s="95">
        <v>34194</v>
      </c>
      <c r="F71" s="90">
        <v>4116</v>
      </c>
    </row>
    <row r="72" spans="1:6" x14ac:dyDescent="0.25">
      <c r="A72" s="87">
        <v>42529</v>
      </c>
      <c r="B72" s="88" t="s">
        <v>64</v>
      </c>
      <c r="C72" s="93">
        <v>100</v>
      </c>
      <c r="D72" s="94">
        <v>100000</v>
      </c>
      <c r="E72" s="95">
        <v>34019</v>
      </c>
      <c r="F72" s="90">
        <v>4116</v>
      </c>
    </row>
    <row r="73" spans="1:6" x14ac:dyDescent="0.25">
      <c r="A73" s="87">
        <v>42537</v>
      </c>
      <c r="B73" s="88" t="s">
        <v>65</v>
      </c>
      <c r="C73" s="93">
        <v>760</v>
      </c>
      <c r="D73" s="94">
        <v>760000</v>
      </c>
      <c r="E73" s="95">
        <v>34352</v>
      </c>
      <c r="F73" s="90">
        <v>4116</v>
      </c>
    </row>
    <row r="74" spans="1:6" x14ac:dyDescent="0.25">
      <c r="A74" s="87">
        <v>42537</v>
      </c>
      <c r="B74" s="88" t="s">
        <v>66</v>
      </c>
      <c r="C74" s="93">
        <v>2700</v>
      </c>
      <c r="D74" s="94">
        <v>2700000</v>
      </c>
      <c r="E74" s="95">
        <v>34352</v>
      </c>
      <c r="F74" s="90">
        <v>4116</v>
      </c>
    </row>
    <row r="75" spans="1:6" x14ac:dyDescent="0.25">
      <c r="A75" s="87">
        <v>42537</v>
      </c>
      <c r="B75" s="88" t="s">
        <v>67</v>
      </c>
      <c r="C75" s="93">
        <v>2700</v>
      </c>
      <c r="D75" s="94">
        <v>2700000</v>
      </c>
      <c r="E75" s="95">
        <v>34352</v>
      </c>
      <c r="F75" s="90">
        <v>4116</v>
      </c>
    </row>
    <row r="76" spans="1:6" x14ac:dyDescent="0.25">
      <c r="A76" s="87">
        <v>42538</v>
      </c>
      <c r="B76" s="88" t="s">
        <v>68</v>
      </c>
      <c r="C76" s="93">
        <v>2000</v>
      </c>
      <c r="D76" s="94">
        <v>2000000</v>
      </c>
      <c r="E76" s="95">
        <v>34016</v>
      </c>
      <c r="F76" s="90">
        <v>4116</v>
      </c>
    </row>
    <row r="77" spans="1:6" x14ac:dyDescent="0.25">
      <c r="A77" s="87">
        <v>42545</v>
      </c>
      <c r="B77" s="88" t="s">
        <v>69</v>
      </c>
      <c r="C77" s="93">
        <v>180</v>
      </c>
      <c r="D77" s="94">
        <v>180000</v>
      </c>
      <c r="E77" s="95">
        <v>34070</v>
      </c>
      <c r="F77" s="90">
        <v>4116</v>
      </c>
    </row>
    <row r="78" spans="1:6" x14ac:dyDescent="0.25">
      <c r="A78" s="87">
        <v>42555</v>
      </c>
      <c r="B78" s="88" t="s">
        <v>70</v>
      </c>
      <c r="C78" s="93">
        <v>7600</v>
      </c>
      <c r="D78" s="94">
        <v>7600000</v>
      </c>
      <c r="E78" s="95">
        <v>34352</v>
      </c>
      <c r="F78" s="90">
        <v>4116</v>
      </c>
    </row>
    <row r="79" spans="1:6" x14ac:dyDescent="0.25">
      <c r="A79" s="87">
        <v>42569</v>
      </c>
      <c r="B79" s="88" t="s">
        <v>71</v>
      </c>
      <c r="C79" s="93">
        <v>240</v>
      </c>
      <c r="D79" s="94">
        <v>240000</v>
      </c>
      <c r="E79" s="95">
        <v>34070</v>
      </c>
      <c r="F79" s="90">
        <v>4116</v>
      </c>
    </row>
    <row r="80" spans="1:6" x14ac:dyDescent="0.25">
      <c r="A80" s="87">
        <v>42569</v>
      </c>
      <c r="B80" s="88" t="s">
        <v>72</v>
      </c>
      <c r="C80" s="93">
        <v>1500</v>
      </c>
      <c r="D80" s="94">
        <v>1500000</v>
      </c>
      <c r="E80" s="95">
        <v>34070</v>
      </c>
      <c r="F80" s="90">
        <v>4116</v>
      </c>
    </row>
    <row r="81" spans="1:6" x14ac:dyDescent="0.25">
      <c r="A81" s="87">
        <v>42569</v>
      </c>
      <c r="B81" s="88" t="s">
        <v>73</v>
      </c>
      <c r="C81" s="93">
        <v>500</v>
      </c>
      <c r="D81" s="94">
        <v>500000</v>
      </c>
      <c r="E81" s="95">
        <v>34070</v>
      </c>
      <c r="F81" s="90">
        <v>4116</v>
      </c>
    </row>
    <row r="82" spans="1:6" x14ac:dyDescent="0.25">
      <c r="A82" s="87">
        <v>42577</v>
      </c>
      <c r="B82" s="88" t="s">
        <v>74</v>
      </c>
      <c r="C82" s="93">
        <v>200</v>
      </c>
      <c r="D82" s="94">
        <v>200000</v>
      </c>
      <c r="E82" s="95">
        <v>34070</v>
      </c>
      <c r="F82" s="90">
        <v>4116</v>
      </c>
    </row>
    <row r="83" spans="1:6" x14ac:dyDescent="0.25">
      <c r="A83" s="87">
        <v>42578</v>
      </c>
      <c r="B83" s="88" t="s">
        <v>58</v>
      </c>
      <c r="C83" s="93">
        <v>50</v>
      </c>
      <c r="D83" s="94">
        <v>50000</v>
      </c>
      <c r="E83" s="95">
        <v>34273</v>
      </c>
      <c r="F83" s="90">
        <v>4116</v>
      </c>
    </row>
    <row r="84" spans="1:6" x14ac:dyDescent="0.25">
      <c r="A84" s="87">
        <v>42612</v>
      </c>
      <c r="B84" s="88" t="s">
        <v>75</v>
      </c>
      <c r="C84" s="93">
        <v>300</v>
      </c>
      <c r="D84" s="94">
        <v>300000</v>
      </c>
      <c r="E84" s="95">
        <v>34070</v>
      </c>
      <c r="F84" s="90">
        <v>4116</v>
      </c>
    </row>
    <row r="85" spans="1:6" x14ac:dyDescent="0.25">
      <c r="A85" s="87">
        <v>42632</v>
      </c>
      <c r="B85" s="88" t="s">
        <v>76</v>
      </c>
      <c r="C85" s="93">
        <v>20</v>
      </c>
      <c r="D85" s="94">
        <v>20000</v>
      </c>
      <c r="E85" s="95">
        <v>34070</v>
      </c>
      <c r="F85" s="90">
        <v>4116</v>
      </c>
    </row>
    <row r="86" spans="1:6" x14ac:dyDescent="0.25">
      <c r="A86" s="87">
        <v>42675</v>
      </c>
      <c r="B86" s="106" t="s">
        <v>77</v>
      </c>
      <c r="C86" s="93">
        <v>100</v>
      </c>
      <c r="D86" s="94">
        <v>100000</v>
      </c>
      <c r="E86" s="95">
        <v>34070</v>
      </c>
      <c r="F86" s="90">
        <v>4116</v>
      </c>
    </row>
    <row r="87" spans="1:6" x14ac:dyDescent="0.25">
      <c r="A87" s="87">
        <v>42685</v>
      </c>
      <c r="B87" s="88" t="s">
        <v>78</v>
      </c>
      <c r="C87" s="93">
        <v>1975</v>
      </c>
      <c r="D87" s="94">
        <v>1975000</v>
      </c>
      <c r="E87" s="95">
        <v>34054</v>
      </c>
      <c r="F87" s="90">
        <v>4116</v>
      </c>
    </row>
    <row r="88" spans="1:6" x14ac:dyDescent="0.25">
      <c r="A88" s="87">
        <v>42713</v>
      </c>
      <c r="B88" s="88" t="s">
        <v>79</v>
      </c>
      <c r="C88" s="93">
        <v>1676</v>
      </c>
      <c r="D88" s="94">
        <v>1676000</v>
      </c>
      <c r="E88" s="95">
        <v>34002</v>
      </c>
      <c r="F88" s="90">
        <v>4116</v>
      </c>
    </row>
    <row r="89" spans="1:6" x14ac:dyDescent="0.25">
      <c r="A89" s="87"/>
      <c r="B89" s="106"/>
      <c r="C89" s="93"/>
      <c r="D89" s="107"/>
      <c r="E89" s="95"/>
      <c r="F89" s="90"/>
    </row>
    <row r="90" spans="1:6" x14ac:dyDescent="0.25">
      <c r="A90" s="87"/>
      <c r="B90" s="104" t="s">
        <v>80</v>
      </c>
      <c r="C90" s="96">
        <f>SUM(C91:C99)</f>
        <v>25107.795600000001</v>
      </c>
      <c r="D90" s="96">
        <f>SUM(D91:D99)</f>
        <v>25107795.600000001</v>
      </c>
      <c r="E90" s="95"/>
      <c r="F90" s="90"/>
    </row>
    <row r="91" spans="1:6" x14ac:dyDescent="0.25">
      <c r="A91" s="87">
        <v>42481</v>
      </c>
      <c r="B91" s="88" t="s">
        <v>81</v>
      </c>
      <c r="C91" s="93">
        <v>816.75</v>
      </c>
      <c r="D91" s="94">
        <f>122512.5+694237.5</f>
        <v>816750</v>
      </c>
      <c r="E91" s="95">
        <v>33037</v>
      </c>
      <c r="F91" s="90">
        <v>4116</v>
      </c>
    </row>
    <row r="92" spans="1:6" x14ac:dyDescent="0.25">
      <c r="A92" s="87">
        <v>42486</v>
      </c>
      <c r="B92" s="108" t="s">
        <v>82</v>
      </c>
      <c r="C92" s="29">
        <v>200</v>
      </c>
      <c r="D92" s="94">
        <v>200000</v>
      </c>
      <c r="E92" s="89">
        <v>33339</v>
      </c>
      <c r="F92" s="90">
        <v>4116</v>
      </c>
    </row>
    <row r="93" spans="1:6" x14ac:dyDescent="0.25">
      <c r="A93" s="87">
        <v>42615</v>
      </c>
      <c r="B93" s="108" t="s">
        <v>83</v>
      </c>
      <c r="C93" s="29">
        <v>1491.4277999999999</v>
      </c>
      <c r="D93" s="29">
        <v>1491427.8</v>
      </c>
      <c r="E93" s="89">
        <v>33063</v>
      </c>
      <c r="F93" s="90">
        <v>4116</v>
      </c>
    </row>
    <row r="94" spans="1:6" x14ac:dyDescent="0.25">
      <c r="A94" s="87">
        <v>42711</v>
      </c>
      <c r="B94" s="108" t="s">
        <v>84</v>
      </c>
      <c r="C94" s="93">
        <v>19784.547999999999</v>
      </c>
      <c r="D94" s="29">
        <v>19784548</v>
      </c>
      <c r="E94" s="89">
        <v>33063</v>
      </c>
      <c r="F94" s="90">
        <v>4116</v>
      </c>
    </row>
    <row r="95" spans="1:6" x14ac:dyDescent="0.25">
      <c r="A95" s="87">
        <v>42719</v>
      </c>
      <c r="B95" s="108" t="s">
        <v>85</v>
      </c>
      <c r="C95" s="93">
        <v>957.78719999999998</v>
      </c>
      <c r="D95" s="29">
        <v>957787.2</v>
      </c>
      <c r="E95" s="89">
        <v>33063</v>
      </c>
      <c r="F95" s="90">
        <v>4116</v>
      </c>
    </row>
    <row r="96" spans="1:6" x14ac:dyDescent="0.25">
      <c r="A96" s="87">
        <v>42719</v>
      </c>
      <c r="B96" s="108" t="s">
        <v>86</v>
      </c>
      <c r="C96" s="93">
        <v>1057.8936000000001</v>
      </c>
      <c r="D96" s="29">
        <v>1057893.6000000001</v>
      </c>
      <c r="E96" s="89">
        <v>33063</v>
      </c>
      <c r="F96" s="90">
        <v>4116</v>
      </c>
    </row>
    <row r="97" spans="1:6" x14ac:dyDescent="0.25">
      <c r="A97" s="87">
        <v>42719</v>
      </c>
      <c r="B97" s="108" t="s">
        <v>87</v>
      </c>
      <c r="C97" s="93">
        <v>601.27859999999998</v>
      </c>
      <c r="D97" s="29">
        <v>601278.6</v>
      </c>
      <c r="E97" s="89">
        <v>33063</v>
      </c>
      <c r="F97" s="90">
        <v>4116</v>
      </c>
    </row>
    <row r="98" spans="1:6" x14ac:dyDescent="0.25">
      <c r="A98" s="87">
        <v>42719</v>
      </c>
      <c r="B98" s="108" t="s">
        <v>88</v>
      </c>
      <c r="C98" s="93">
        <v>198.1104</v>
      </c>
      <c r="D98" s="29">
        <v>198110.4</v>
      </c>
      <c r="E98" s="89">
        <v>33063</v>
      </c>
      <c r="F98" s="90">
        <v>4116</v>
      </c>
    </row>
    <row r="99" spans="1:6" x14ac:dyDescent="0.25">
      <c r="A99" s="87"/>
      <c r="B99" s="108"/>
      <c r="C99" s="93"/>
      <c r="D99" s="29"/>
      <c r="E99" s="89"/>
      <c r="F99" s="90"/>
    </row>
    <row r="100" spans="1:6" x14ac:dyDescent="0.25">
      <c r="A100" s="87"/>
      <c r="B100" s="96" t="s">
        <v>316</v>
      </c>
      <c r="C100" s="96">
        <f>+SUM(C101:C110)</f>
        <v>74007.125179999988</v>
      </c>
      <c r="D100" s="96">
        <f>+SUM(D101:D110)</f>
        <v>74007125.179999992</v>
      </c>
      <c r="E100" s="89"/>
      <c r="F100" s="90"/>
    </row>
    <row r="101" spans="1:6" x14ac:dyDescent="0.25">
      <c r="A101" s="87">
        <v>42473</v>
      </c>
      <c r="B101" s="88" t="s">
        <v>89</v>
      </c>
      <c r="C101" s="93">
        <v>1053.615</v>
      </c>
      <c r="D101" s="94">
        <f>158042+895573</f>
        <v>1053615</v>
      </c>
      <c r="E101" s="95">
        <v>13003</v>
      </c>
      <c r="F101" s="90">
        <v>4116</v>
      </c>
    </row>
    <row r="102" spans="1:6" x14ac:dyDescent="0.25">
      <c r="A102" s="87">
        <v>42487</v>
      </c>
      <c r="B102" s="88" t="s">
        <v>90</v>
      </c>
      <c r="C102" s="93">
        <v>25712.905999999999</v>
      </c>
      <c r="D102" s="29">
        <v>25712906</v>
      </c>
      <c r="E102" s="89">
        <v>13011</v>
      </c>
      <c r="F102" s="90">
        <v>4116</v>
      </c>
    </row>
    <row r="103" spans="1:6" x14ac:dyDescent="0.25">
      <c r="A103" s="87">
        <v>42524</v>
      </c>
      <c r="B103" s="109" t="s">
        <v>91</v>
      </c>
      <c r="C103" s="93">
        <v>387.41759999999999</v>
      </c>
      <c r="D103" s="29">
        <f>346636.8+40780.8</f>
        <v>387417.59999999998</v>
      </c>
      <c r="E103" s="89">
        <v>13013</v>
      </c>
      <c r="F103" s="90">
        <v>4116</v>
      </c>
    </row>
    <row r="104" spans="1:6" x14ac:dyDescent="0.25">
      <c r="A104" s="87">
        <v>42536</v>
      </c>
      <c r="B104" s="110" t="s">
        <v>92</v>
      </c>
      <c r="C104" s="93">
        <v>17147.5</v>
      </c>
      <c r="D104" s="29">
        <v>17147500</v>
      </c>
      <c r="E104" s="89">
        <v>13015</v>
      </c>
      <c r="F104" s="90">
        <v>4116</v>
      </c>
    </row>
    <row r="105" spans="1:6" x14ac:dyDescent="0.25">
      <c r="A105" s="87">
        <v>42541</v>
      </c>
      <c r="B105" s="88" t="s">
        <v>90</v>
      </c>
      <c r="C105" s="93">
        <v>25712.904999999999</v>
      </c>
      <c r="D105" s="29">
        <v>25712905</v>
      </c>
      <c r="E105" s="89">
        <v>13011</v>
      </c>
      <c r="F105" s="90">
        <v>4116</v>
      </c>
    </row>
    <row r="106" spans="1:6" x14ac:dyDescent="0.25">
      <c r="A106" s="87">
        <v>42564</v>
      </c>
      <c r="B106" s="88" t="s">
        <v>93</v>
      </c>
      <c r="C106" s="88">
        <v>2705.79</v>
      </c>
      <c r="D106" s="29">
        <f>2587959.96+117830.04</f>
        <v>2705790</v>
      </c>
      <c r="E106" s="89">
        <v>13013</v>
      </c>
      <c r="F106" s="90">
        <v>4116</v>
      </c>
    </row>
    <row r="107" spans="1:6" x14ac:dyDescent="0.25">
      <c r="A107" s="87">
        <v>42597</v>
      </c>
      <c r="B107" s="88" t="s">
        <v>94</v>
      </c>
      <c r="C107" s="88">
        <v>1306.5971099999999</v>
      </c>
      <c r="D107" s="29">
        <f>1169060.57+137536.54</f>
        <v>1306597.1100000001</v>
      </c>
      <c r="E107" s="111">
        <v>13013</v>
      </c>
      <c r="F107" s="90">
        <v>4116</v>
      </c>
    </row>
    <row r="108" spans="1:6" x14ac:dyDescent="0.25">
      <c r="A108" s="87">
        <v>42695</v>
      </c>
      <c r="B108" s="88" t="s">
        <v>93</v>
      </c>
      <c r="C108" s="88">
        <f>25.27465+555.11982</f>
        <v>580.39446999999996</v>
      </c>
      <c r="D108" s="29">
        <v>580394.47</v>
      </c>
      <c r="E108" s="111">
        <v>13013</v>
      </c>
      <c r="F108" s="90">
        <v>4116</v>
      </c>
    </row>
    <row r="109" spans="1:6" x14ac:dyDescent="0.25">
      <c r="A109" s="87">
        <v>42702</v>
      </c>
      <c r="B109" s="103" t="s">
        <v>95</v>
      </c>
      <c r="C109" s="88">
        <v>-600</v>
      </c>
      <c r="D109" s="112">
        <v>-600000</v>
      </c>
      <c r="E109" s="111">
        <v>13011</v>
      </c>
      <c r="F109" s="90">
        <v>4116</v>
      </c>
    </row>
    <row r="110" spans="1:6" x14ac:dyDescent="0.25">
      <c r="A110" s="87"/>
      <c r="B110" s="110"/>
      <c r="C110" s="88"/>
      <c r="D110" s="29"/>
      <c r="E110" s="89"/>
      <c r="F110" s="90"/>
    </row>
    <row r="111" spans="1:6" x14ac:dyDescent="0.25">
      <c r="A111" s="87"/>
      <c r="B111" s="104" t="s">
        <v>96</v>
      </c>
      <c r="C111" s="91">
        <f>+C112+C113</f>
        <v>1138.8759399999999</v>
      </c>
      <c r="D111" s="91">
        <f>+D112+D113</f>
        <v>1138875.94</v>
      </c>
      <c r="E111" s="89"/>
      <c r="F111" s="90"/>
    </row>
    <row r="112" spans="1:6" x14ac:dyDescent="0.25">
      <c r="A112" s="87">
        <v>42709</v>
      </c>
      <c r="B112" s="103" t="s">
        <v>97</v>
      </c>
      <c r="C112" s="88">
        <v>170.8314</v>
      </c>
      <c r="D112" s="29">
        <v>170831.4</v>
      </c>
      <c r="E112" s="89">
        <v>17017</v>
      </c>
      <c r="F112" s="90">
        <v>4116</v>
      </c>
    </row>
    <row r="113" spans="1:6" x14ac:dyDescent="0.25">
      <c r="A113" s="87">
        <v>42709</v>
      </c>
      <c r="B113" s="103" t="s">
        <v>97</v>
      </c>
      <c r="C113" s="88">
        <v>968.04453999999998</v>
      </c>
      <c r="D113" s="29">
        <v>968044.54</v>
      </c>
      <c r="E113" s="89">
        <v>17018</v>
      </c>
      <c r="F113" s="90">
        <v>4116</v>
      </c>
    </row>
    <row r="114" spans="1:6" x14ac:dyDescent="0.25">
      <c r="A114" s="87"/>
      <c r="B114" s="110"/>
      <c r="C114" s="88"/>
      <c r="D114" s="29"/>
      <c r="E114" s="89"/>
      <c r="F114" s="90"/>
    </row>
    <row r="115" spans="1:6" x14ac:dyDescent="0.25">
      <c r="A115" s="87"/>
      <c r="B115" s="91" t="s">
        <v>317</v>
      </c>
      <c r="C115" s="96">
        <f>+C116</f>
        <v>600</v>
      </c>
      <c r="D115" s="96">
        <f>+D116</f>
        <v>600000</v>
      </c>
      <c r="E115" s="89"/>
      <c r="F115" s="90"/>
    </row>
    <row r="116" spans="1:6" x14ac:dyDescent="0.25">
      <c r="A116" s="87">
        <v>42405</v>
      </c>
      <c r="B116" s="88" t="s">
        <v>98</v>
      </c>
      <c r="C116" s="93">
        <v>600</v>
      </c>
      <c r="D116" s="93">
        <v>600000</v>
      </c>
      <c r="E116" s="89">
        <v>22005</v>
      </c>
      <c r="F116" s="90" t="s">
        <v>28</v>
      </c>
    </row>
    <row r="117" spans="1:6" x14ac:dyDescent="0.25">
      <c r="A117" s="87"/>
      <c r="B117" s="88"/>
      <c r="C117" s="93"/>
      <c r="D117" s="29"/>
      <c r="E117" s="89"/>
      <c r="F117" s="90"/>
    </row>
    <row r="118" spans="1:6" x14ac:dyDescent="0.25">
      <c r="A118" s="87"/>
      <c r="B118" s="91" t="s">
        <v>318</v>
      </c>
      <c r="C118" s="96">
        <f>SUM(C119:C140)</f>
        <v>1058.4469099999999</v>
      </c>
      <c r="D118" s="96">
        <f>SUM(D119:D140)</f>
        <v>1058450.9099999999</v>
      </c>
      <c r="E118" s="89"/>
      <c r="F118" s="90"/>
    </row>
    <row r="119" spans="1:6" x14ac:dyDescent="0.25">
      <c r="A119" s="87">
        <v>42425</v>
      </c>
      <c r="B119" s="108" t="s">
        <v>99</v>
      </c>
      <c r="C119" s="93">
        <v>84</v>
      </c>
      <c r="D119" s="93">
        <v>84000</v>
      </c>
      <c r="E119" s="89">
        <v>14336</v>
      </c>
      <c r="F119" s="90">
        <v>4116</v>
      </c>
    </row>
    <row r="120" spans="1:6" x14ac:dyDescent="0.25">
      <c r="A120" s="87">
        <v>42471</v>
      </c>
      <c r="B120" s="109" t="s">
        <v>100</v>
      </c>
      <c r="C120" s="93">
        <v>32.980899999999998</v>
      </c>
      <c r="D120" s="113">
        <v>32980.9</v>
      </c>
      <c r="E120" s="89">
        <v>14013</v>
      </c>
      <c r="F120" s="90">
        <v>4116</v>
      </c>
    </row>
    <row r="121" spans="1:6" x14ac:dyDescent="0.25">
      <c r="A121" s="87">
        <v>42471</v>
      </c>
      <c r="B121" s="109" t="s">
        <v>101</v>
      </c>
      <c r="C121" s="93">
        <v>67.079560000000001</v>
      </c>
      <c r="D121" s="113">
        <v>67079.56</v>
      </c>
      <c r="E121" s="89">
        <v>14013</v>
      </c>
      <c r="F121" s="90">
        <v>4116</v>
      </c>
    </row>
    <row r="122" spans="1:6" x14ac:dyDescent="0.25">
      <c r="A122" s="87">
        <v>42471</v>
      </c>
      <c r="B122" s="109" t="s">
        <v>102</v>
      </c>
      <c r="C122" s="93">
        <v>97.441450000000003</v>
      </c>
      <c r="D122" s="113">
        <v>97441.45</v>
      </c>
      <c r="E122" s="89">
        <v>14013</v>
      </c>
      <c r="F122" s="90">
        <v>4116</v>
      </c>
    </row>
    <row r="123" spans="1:6" x14ac:dyDescent="0.25">
      <c r="A123" s="87">
        <v>42487</v>
      </c>
      <c r="B123" s="109" t="s">
        <v>103</v>
      </c>
      <c r="C123" s="93">
        <v>72</v>
      </c>
      <c r="D123" s="103">
        <v>72000</v>
      </c>
      <c r="E123" s="89">
        <v>14336</v>
      </c>
      <c r="F123" s="90">
        <v>4116</v>
      </c>
    </row>
    <row r="124" spans="1:6" x14ac:dyDescent="0.25">
      <c r="A124" s="87">
        <v>42502</v>
      </c>
      <c r="B124" s="109" t="s">
        <v>104</v>
      </c>
      <c r="C124" s="93">
        <v>72</v>
      </c>
      <c r="D124" s="103">
        <v>72000</v>
      </c>
      <c r="E124" s="89">
        <v>14336</v>
      </c>
      <c r="F124" s="90">
        <v>4116</v>
      </c>
    </row>
    <row r="125" spans="1:6" x14ac:dyDescent="0.25">
      <c r="A125" s="87">
        <v>42521</v>
      </c>
      <c r="B125" s="109" t="s">
        <v>105</v>
      </c>
      <c r="C125" s="93">
        <v>72</v>
      </c>
      <c r="D125" s="103">
        <v>72000</v>
      </c>
      <c r="E125" s="89">
        <v>14336</v>
      </c>
      <c r="F125" s="90">
        <v>4116</v>
      </c>
    </row>
    <row r="126" spans="1:6" x14ac:dyDescent="0.25">
      <c r="A126" s="87">
        <v>42536</v>
      </c>
      <c r="B126" s="109" t="s">
        <v>106</v>
      </c>
      <c r="C126" s="93">
        <v>192</v>
      </c>
      <c r="D126" s="103">
        <v>192000</v>
      </c>
      <c r="E126" s="89">
        <v>14018</v>
      </c>
      <c r="F126" s="90">
        <v>4116</v>
      </c>
    </row>
    <row r="127" spans="1:6" x14ac:dyDescent="0.25">
      <c r="A127" s="87">
        <v>42536</v>
      </c>
      <c r="B127" s="109" t="s">
        <v>107</v>
      </c>
      <c r="C127" s="93">
        <v>79</v>
      </c>
      <c r="D127" s="103">
        <v>79000</v>
      </c>
      <c r="E127" s="89">
        <v>14018</v>
      </c>
      <c r="F127" s="90">
        <v>4116</v>
      </c>
    </row>
    <row r="128" spans="1:6" x14ac:dyDescent="0.25">
      <c r="A128" s="87">
        <v>42536</v>
      </c>
      <c r="B128" s="109" t="s">
        <v>108</v>
      </c>
      <c r="C128" s="93">
        <v>50</v>
      </c>
      <c r="D128" s="103">
        <v>50000</v>
      </c>
      <c r="E128" s="89">
        <v>14018</v>
      </c>
      <c r="F128" s="90">
        <v>4116</v>
      </c>
    </row>
    <row r="129" spans="1:6" x14ac:dyDescent="0.25">
      <c r="A129" s="87">
        <v>42536</v>
      </c>
      <c r="B129" s="109" t="s">
        <v>109</v>
      </c>
      <c r="C129" s="93">
        <v>68</v>
      </c>
      <c r="D129" s="103">
        <v>68000</v>
      </c>
      <c r="E129" s="89">
        <v>14018</v>
      </c>
      <c r="F129" s="90">
        <v>4116</v>
      </c>
    </row>
    <row r="130" spans="1:6" x14ac:dyDescent="0.25">
      <c r="A130" s="87">
        <v>42705</v>
      </c>
      <c r="B130" s="109" t="s">
        <v>110</v>
      </c>
      <c r="C130" s="93">
        <v>-0.42299999999999999</v>
      </c>
      <c r="D130" s="103">
        <v>-423</v>
      </c>
      <c r="E130" s="89">
        <v>14018</v>
      </c>
      <c r="F130" s="90">
        <v>4116</v>
      </c>
    </row>
    <row r="131" spans="1:6" x14ac:dyDescent="0.25">
      <c r="A131" s="87"/>
      <c r="B131" s="109" t="s">
        <v>111</v>
      </c>
      <c r="C131" s="93">
        <v>11.461</v>
      </c>
      <c r="D131" s="103">
        <v>11461</v>
      </c>
      <c r="E131" s="89">
        <v>14004</v>
      </c>
      <c r="F131" s="90">
        <v>4116</v>
      </c>
    </row>
    <row r="132" spans="1:6" x14ac:dyDescent="0.25">
      <c r="A132" s="87"/>
      <c r="B132" s="109" t="s">
        <v>112</v>
      </c>
      <c r="C132" s="93">
        <v>7.2</v>
      </c>
      <c r="D132" s="103">
        <v>7200</v>
      </c>
      <c r="E132" s="89">
        <v>14004</v>
      </c>
      <c r="F132" s="90">
        <v>4116</v>
      </c>
    </row>
    <row r="133" spans="1:6" x14ac:dyDescent="0.25">
      <c r="A133" s="87"/>
      <c r="B133" s="109" t="s">
        <v>113</v>
      </c>
      <c r="C133" s="93">
        <v>6.4</v>
      </c>
      <c r="D133" s="103">
        <v>6400</v>
      </c>
      <c r="E133" s="89">
        <v>14004</v>
      </c>
      <c r="F133" s="90">
        <v>4116</v>
      </c>
    </row>
    <row r="134" spans="1:6" x14ac:dyDescent="0.25">
      <c r="A134" s="87"/>
      <c r="B134" s="109" t="s">
        <v>114</v>
      </c>
      <c r="C134" s="93">
        <v>4.6500000000000004</v>
      </c>
      <c r="D134" s="103">
        <v>4652</v>
      </c>
      <c r="E134" s="89">
        <v>14004</v>
      </c>
      <c r="F134" s="90">
        <v>4116</v>
      </c>
    </row>
    <row r="135" spans="1:6" x14ac:dyDescent="0.25">
      <c r="A135" s="87"/>
      <c r="B135" s="109" t="s">
        <v>115</v>
      </c>
      <c r="C135" s="93">
        <v>34.340000000000003</v>
      </c>
      <c r="D135" s="103">
        <v>34340</v>
      </c>
      <c r="E135" s="89">
        <v>14004</v>
      </c>
      <c r="F135" s="90">
        <v>4116</v>
      </c>
    </row>
    <row r="136" spans="1:6" x14ac:dyDescent="0.25">
      <c r="A136" s="87"/>
      <c r="B136" s="109" t="s">
        <v>116</v>
      </c>
      <c r="C136" s="93">
        <v>9.6</v>
      </c>
      <c r="D136" s="103">
        <v>9600</v>
      </c>
      <c r="E136" s="89">
        <v>14004</v>
      </c>
      <c r="F136" s="90">
        <v>4116</v>
      </c>
    </row>
    <row r="137" spans="1:6" x14ac:dyDescent="0.25">
      <c r="A137" s="87"/>
      <c r="B137" s="109" t="s">
        <v>117</v>
      </c>
      <c r="C137" s="93">
        <v>3.2</v>
      </c>
      <c r="D137" s="103">
        <v>3200</v>
      </c>
      <c r="E137" s="89">
        <v>14004</v>
      </c>
      <c r="F137" s="90">
        <v>4116</v>
      </c>
    </row>
    <row r="138" spans="1:6" x14ac:dyDescent="0.25">
      <c r="A138" s="87"/>
      <c r="B138" s="109" t="s">
        <v>118</v>
      </c>
      <c r="C138" s="93">
        <v>61.27</v>
      </c>
      <c r="D138" s="103">
        <v>61271</v>
      </c>
      <c r="E138" s="89">
        <v>14004</v>
      </c>
      <c r="F138" s="90">
        <v>4116</v>
      </c>
    </row>
    <row r="139" spans="1:6" x14ac:dyDescent="0.25">
      <c r="A139" s="87"/>
      <c r="B139" s="109" t="s">
        <v>119</v>
      </c>
      <c r="C139" s="93">
        <v>5.6</v>
      </c>
      <c r="D139" s="103">
        <v>5600</v>
      </c>
      <c r="E139" s="89">
        <v>14004</v>
      </c>
      <c r="F139" s="90">
        <v>4116</v>
      </c>
    </row>
    <row r="140" spans="1:6" x14ac:dyDescent="0.25">
      <c r="A140" s="87"/>
      <c r="B140" s="109" t="s">
        <v>120</v>
      </c>
      <c r="C140" s="93">
        <f>8.448+8.5+3.15+8.55-0.001</f>
        <v>28.646999999999998</v>
      </c>
      <c r="D140" s="93">
        <f>8448+8500+3150+8550</f>
        <v>28648</v>
      </c>
      <c r="E140" s="89">
        <v>14137</v>
      </c>
      <c r="F140" s="90">
        <v>4116</v>
      </c>
    </row>
    <row r="141" spans="1:6" x14ac:dyDescent="0.25">
      <c r="A141" s="87"/>
      <c r="B141" s="88"/>
      <c r="C141" s="93"/>
      <c r="D141" s="93"/>
      <c r="E141" s="89"/>
      <c r="F141" s="90"/>
    </row>
    <row r="142" spans="1:6" x14ac:dyDescent="0.25">
      <c r="A142" s="87"/>
      <c r="B142" s="91" t="s">
        <v>121</v>
      </c>
      <c r="C142" s="96">
        <f>+SUM(C143:C164)</f>
        <v>1034.5229999999999</v>
      </c>
      <c r="D142" s="96">
        <f>+SUM(D143:D164)</f>
        <v>1034523</v>
      </c>
      <c r="E142" s="89"/>
      <c r="F142" s="90"/>
    </row>
    <row r="143" spans="1:6" x14ac:dyDescent="0.25">
      <c r="A143" s="87">
        <v>42481</v>
      </c>
      <c r="B143" s="88" t="s">
        <v>122</v>
      </c>
      <c r="C143" s="93">
        <v>140</v>
      </c>
      <c r="D143" s="94">
        <v>140000</v>
      </c>
      <c r="E143" s="95">
        <v>35015</v>
      </c>
      <c r="F143" s="90">
        <v>4116</v>
      </c>
    </row>
    <row r="144" spans="1:6" x14ac:dyDescent="0.25">
      <c r="A144" s="87">
        <v>42495</v>
      </c>
      <c r="B144" s="88" t="s">
        <v>123</v>
      </c>
      <c r="C144" s="93">
        <v>15.5</v>
      </c>
      <c r="D144" s="94">
        <v>15500</v>
      </c>
      <c r="E144" s="95">
        <v>35019</v>
      </c>
      <c r="F144" s="90">
        <v>4116</v>
      </c>
    </row>
    <row r="145" spans="1:6" x14ac:dyDescent="0.25">
      <c r="A145" s="87">
        <v>42495</v>
      </c>
      <c r="B145" s="88" t="s">
        <v>124</v>
      </c>
      <c r="C145" s="93">
        <v>33.929000000000002</v>
      </c>
      <c r="D145" s="94">
        <v>33929</v>
      </c>
      <c r="E145" s="95">
        <v>35019</v>
      </c>
      <c r="F145" s="90">
        <v>4116</v>
      </c>
    </row>
    <row r="146" spans="1:6" x14ac:dyDescent="0.25">
      <c r="A146" s="87">
        <v>42495</v>
      </c>
      <c r="B146" s="88" t="s">
        <v>125</v>
      </c>
      <c r="C146" s="93">
        <v>54</v>
      </c>
      <c r="D146" s="94">
        <v>54000</v>
      </c>
      <c r="E146" s="95">
        <v>35015</v>
      </c>
      <c r="F146" s="90">
        <v>4116</v>
      </c>
    </row>
    <row r="147" spans="1:6" x14ac:dyDescent="0.25">
      <c r="A147" s="87">
        <v>42499</v>
      </c>
      <c r="B147" s="88" t="s">
        <v>126</v>
      </c>
      <c r="C147" s="93">
        <v>16.685500000000001</v>
      </c>
      <c r="D147" s="94">
        <v>16685.5</v>
      </c>
      <c r="E147" s="95">
        <v>35019</v>
      </c>
      <c r="F147" s="90">
        <v>4116</v>
      </c>
    </row>
    <row r="148" spans="1:6" x14ac:dyDescent="0.25">
      <c r="A148" s="87">
        <v>42499</v>
      </c>
      <c r="B148" s="88" t="s">
        <v>127</v>
      </c>
      <c r="C148" s="93">
        <v>19.285</v>
      </c>
      <c r="D148" s="94">
        <v>19285</v>
      </c>
      <c r="E148" s="95">
        <v>35019</v>
      </c>
      <c r="F148" s="90">
        <v>4116</v>
      </c>
    </row>
    <row r="149" spans="1:6" x14ac:dyDescent="0.25">
      <c r="A149" s="87">
        <v>42499</v>
      </c>
      <c r="B149" s="88" t="s">
        <v>128</v>
      </c>
      <c r="C149" s="93">
        <v>20</v>
      </c>
      <c r="D149" s="94">
        <v>20000</v>
      </c>
      <c r="E149" s="95">
        <v>35015</v>
      </c>
      <c r="F149" s="90">
        <v>4116</v>
      </c>
    </row>
    <row r="150" spans="1:6" x14ac:dyDescent="0.25">
      <c r="A150" s="87">
        <v>42499</v>
      </c>
      <c r="B150" s="88" t="s">
        <v>123</v>
      </c>
      <c r="C150" s="93">
        <v>25.713999999999999</v>
      </c>
      <c r="D150" s="94">
        <v>25714</v>
      </c>
      <c r="E150" s="95">
        <v>35019</v>
      </c>
      <c r="F150" s="90">
        <v>4116</v>
      </c>
    </row>
    <row r="151" spans="1:6" x14ac:dyDescent="0.25">
      <c r="A151" s="87">
        <v>42499</v>
      </c>
      <c r="B151" s="88" t="s">
        <v>129</v>
      </c>
      <c r="C151" s="93">
        <v>120</v>
      </c>
      <c r="D151" s="94">
        <v>120000</v>
      </c>
      <c r="E151" s="95">
        <v>35015</v>
      </c>
      <c r="F151" s="90">
        <v>4116</v>
      </c>
    </row>
    <row r="152" spans="1:6" x14ac:dyDescent="0.25">
      <c r="A152" s="87">
        <v>42499</v>
      </c>
      <c r="B152" s="88" t="s">
        <v>130</v>
      </c>
      <c r="C152" s="93">
        <v>240</v>
      </c>
      <c r="D152" s="94">
        <v>240000</v>
      </c>
      <c r="E152" s="95">
        <v>35015</v>
      </c>
      <c r="F152" s="90">
        <v>4116</v>
      </c>
    </row>
    <row r="153" spans="1:6" x14ac:dyDescent="0.25">
      <c r="A153" s="87">
        <v>42580</v>
      </c>
      <c r="B153" s="88" t="s">
        <v>125</v>
      </c>
      <c r="C153" s="93">
        <v>54</v>
      </c>
      <c r="D153" s="94">
        <v>54000</v>
      </c>
      <c r="E153" s="95">
        <v>35015</v>
      </c>
      <c r="F153" s="90">
        <v>4116</v>
      </c>
    </row>
    <row r="154" spans="1:6" x14ac:dyDescent="0.25">
      <c r="A154" s="87">
        <v>42600</v>
      </c>
      <c r="B154" s="88" t="s">
        <v>122</v>
      </c>
      <c r="C154" s="93">
        <v>140</v>
      </c>
      <c r="D154" s="94">
        <v>140000</v>
      </c>
      <c r="E154" s="95">
        <v>35015</v>
      </c>
      <c r="F154" s="90">
        <v>4116</v>
      </c>
    </row>
    <row r="155" spans="1:6" x14ac:dyDescent="0.25">
      <c r="A155" s="87">
        <v>42613</v>
      </c>
      <c r="B155" s="88" t="s">
        <v>126</v>
      </c>
      <c r="C155" s="93">
        <v>16.685500000000001</v>
      </c>
      <c r="D155" s="94">
        <v>16685.5</v>
      </c>
      <c r="E155" s="95">
        <v>35019</v>
      </c>
      <c r="F155" s="90">
        <v>4116</v>
      </c>
    </row>
    <row r="156" spans="1:6" x14ac:dyDescent="0.25">
      <c r="A156" s="87">
        <v>42613</v>
      </c>
      <c r="B156" s="88" t="s">
        <v>127</v>
      </c>
      <c r="C156" s="93">
        <v>19.285</v>
      </c>
      <c r="D156" s="94">
        <v>19285</v>
      </c>
      <c r="E156" s="95">
        <v>35019</v>
      </c>
      <c r="F156" s="90">
        <v>4116</v>
      </c>
    </row>
    <row r="157" spans="1:6" x14ac:dyDescent="0.25">
      <c r="A157" s="87">
        <v>42613</v>
      </c>
      <c r="B157" s="88" t="s">
        <v>123</v>
      </c>
      <c r="C157" s="93">
        <v>25.713999999999999</v>
      </c>
      <c r="D157" s="94">
        <v>25714</v>
      </c>
      <c r="E157" s="95">
        <v>35019</v>
      </c>
      <c r="F157" s="90">
        <v>4116</v>
      </c>
    </row>
    <row r="158" spans="1:6" x14ac:dyDescent="0.25">
      <c r="A158" s="87">
        <v>42632</v>
      </c>
      <c r="B158" s="88" t="s">
        <v>123</v>
      </c>
      <c r="C158" s="93">
        <v>15.5</v>
      </c>
      <c r="D158" s="94">
        <v>15500</v>
      </c>
      <c r="E158" s="95">
        <v>35019</v>
      </c>
      <c r="F158" s="90">
        <v>4116</v>
      </c>
    </row>
    <row r="159" spans="1:6" x14ac:dyDescent="0.25">
      <c r="A159" s="87">
        <v>42632</v>
      </c>
      <c r="B159" s="88" t="s">
        <v>124</v>
      </c>
      <c r="C159" s="93">
        <v>33.929000000000002</v>
      </c>
      <c r="D159" s="94">
        <v>33929</v>
      </c>
      <c r="E159" s="95">
        <v>35019</v>
      </c>
      <c r="F159" s="90">
        <v>4116</v>
      </c>
    </row>
    <row r="160" spans="1:6" x14ac:dyDescent="0.25">
      <c r="A160" s="87">
        <v>42723</v>
      </c>
      <c r="B160" s="88" t="s">
        <v>126</v>
      </c>
      <c r="C160" s="93">
        <v>1.012</v>
      </c>
      <c r="D160" s="94">
        <v>1012</v>
      </c>
      <c r="E160" s="95">
        <v>35019</v>
      </c>
      <c r="F160" s="90">
        <v>4116</v>
      </c>
    </row>
    <row r="161" spans="1:6" x14ac:dyDescent="0.25">
      <c r="A161" s="87">
        <v>42723</v>
      </c>
      <c r="B161" s="88" t="s">
        <v>125</v>
      </c>
      <c r="C161" s="93">
        <v>1.2849999999999999</v>
      </c>
      <c r="D161" s="94">
        <v>1285</v>
      </c>
      <c r="E161" s="95">
        <v>35019</v>
      </c>
      <c r="F161" s="90">
        <v>4116</v>
      </c>
    </row>
    <row r="162" spans="1:6" x14ac:dyDescent="0.25">
      <c r="A162" s="87">
        <v>42723</v>
      </c>
      <c r="B162" s="88" t="s">
        <v>124</v>
      </c>
      <c r="C162" s="93">
        <v>1.714</v>
      </c>
      <c r="D162" s="94">
        <v>1714</v>
      </c>
      <c r="E162" s="95">
        <v>35019</v>
      </c>
      <c r="F162" s="90">
        <v>4116</v>
      </c>
    </row>
    <row r="163" spans="1:6" x14ac:dyDescent="0.25">
      <c r="A163" s="87">
        <v>42725</v>
      </c>
      <c r="B163" s="88" t="s">
        <v>127</v>
      </c>
      <c r="C163" s="93">
        <v>1.2849999999999999</v>
      </c>
      <c r="D163" s="94">
        <v>1285</v>
      </c>
      <c r="E163" s="95">
        <v>35019</v>
      </c>
      <c r="F163" s="90">
        <v>4116</v>
      </c>
    </row>
    <row r="164" spans="1:6" x14ac:dyDescent="0.25">
      <c r="A164" s="87">
        <v>42725</v>
      </c>
      <c r="B164" s="88" t="s">
        <v>130</v>
      </c>
      <c r="C164" s="93">
        <v>39</v>
      </c>
      <c r="D164" s="94">
        <v>39000</v>
      </c>
      <c r="E164" s="95">
        <v>35015</v>
      </c>
      <c r="F164" s="90">
        <v>4116</v>
      </c>
    </row>
    <row r="165" spans="1:6" x14ac:dyDescent="0.25">
      <c r="A165" s="87"/>
      <c r="B165" s="108"/>
      <c r="C165" s="93"/>
      <c r="D165" s="93"/>
      <c r="E165" s="89"/>
      <c r="F165" s="90"/>
    </row>
    <row r="166" spans="1:6" x14ac:dyDescent="0.25">
      <c r="A166" s="87"/>
      <c r="B166" s="91" t="s">
        <v>131</v>
      </c>
      <c r="C166" s="96">
        <f>+SUM(C167:C173)</f>
        <v>364.67599999999993</v>
      </c>
      <c r="D166" s="96">
        <f>+SUM(D167:D173)</f>
        <v>364676</v>
      </c>
      <c r="E166" s="89"/>
      <c r="F166" s="90"/>
    </row>
    <row r="167" spans="1:6" x14ac:dyDescent="0.25">
      <c r="A167" s="87">
        <v>42500</v>
      </c>
      <c r="B167" s="108" t="s">
        <v>132</v>
      </c>
      <c r="C167" s="93">
        <v>82.831999999999994</v>
      </c>
      <c r="D167" s="93">
        <v>82832</v>
      </c>
      <c r="E167" s="89">
        <v>29008</v>
      </c>
      <c r="F167" s="90">
        <v>4116</v>
      </c>
    </row>
    <row r="168" spans="1:6" x14ac:dyDescent="0.25">
      <c r="A168" s="87">
        <v>42510</v>
      </c>
      <c r="B168" s="108" t="s">
        <v>133</v>
      </c>
      <c r="C168" s="93">
        <v>1.25</v>
      </c>
      <c r="D168" s="93">
        <v>1250</v>
      </c>
      <c r="E168" s="89">
        <v>29004</v>
      </c>
      <c r="F168" s="90">
        <v>4116</v>
      </c>
    </row>
    <row r="169" spans="1:6" x14ac:dyDescent="0.25">
      <c r="A169" s="87">
        <v>42537</v>
      </c>
      <c r="B169" s="108" t="s">
        <v>132</v>
      </c>
      <c r="C169" s="93">
        <v>81.930999999999997</v>
      </c>
      <c r="D169" s="93">
        <v>81931</v>
      </c>
      <c r="E169" s="89">
        <v>29008</v>
      </c>
      <c r="F169" s="90">
        <v>4116</v>
      </c>
    </row>
    <row r="170" spans="1:6" x14ac:dyDescent="0.25">
      <c r="A170" s="87">
        <v>42664</v>
      </c>
      <c r="B170" s="108" t="s">
        <v>132</v>
      </c>
      <c r="C170" s="93">
        <v>81.930999999999997</v>
      </c>
      <c r="D170" s="93">
        <v>81931</v>
      </c>
      <c r="E170" s="89">
        <v>29008</v>
      </c>
      <c r="F170" s="90">
        <v>4116</v>
      </c>
    </row>
    <row r="171" spans="1:6" x14ac:dyDescent="0.25">
      <c r="A171" s="87">
        <v>42716</v>
      </c>
      <c r="B171" s="108" t="s">
        <v>133</v>
      </c>
      <c r="C171" s="93">
        <v>33.9</v>
      </c>
      <c r="D171" s="93">
        <v>33900</v>
      </c>
      <c r="E171" s="89">
        <v>29004</v>
      </c>
      <c r="F171" s="90">
        <v>4116</v>
      </c>
    </row>
    <row r="172" spans="1:6" x14ac:dyDescent="0.25">
      <c r="A172" s="87">
        <v>42716</v>
      </c>
      <c r="B172" s="108" t="s">
        <v>132</v>
      </c>
      <c r="C172" s="93">
        <v>82.831999999999994</v>
      </c>
      <c r="D172" s="93">
        <v>82832</v>
      </c>
      <c r="E172" s="89">
        <v>29008</v>
      </c>
      <c r="F172" s="90">
        <v>4116</v>
      </c>
    </row>
    <row r="173" spans="1:6" x14ac:dyDescent="0.25">
      <c r="A173" s="87"/>
      <c r="B173" s="108"/>
      <c r="C173" s="93"/>
      <c r="D173" s="93"/>
      <c r="E173" s="89"/>
      <c r="F173" s="90"/>
    </row>
    <row r="174" spans="1:6" x14ac:dyDescent="0.25">
      <c r="A174" s="87"/>
      <c r="B174" s="91" t="s">
        <v>134</v>
      </c>
      <c r="C174" s="96">
        <f>+SUM(C175:C178)</f>
        <v>2111.9986600000002</v>
      </c>
      <c r="D174" s="96">
        <f>+SUM(D175:D178)</f>
        <v>2111998.66</v>
      </c>
      <c r="E174" s="89"/>
      <c r="F174" s="90"/>
    </row>
    <row r="175" spans="1:6" x14ac:dyDescent="0.25">
      <c r="A175" s="87">
        <v>42453</v>
      </c>
      <c r="B175" s="88" t="s">
        <v>16</v>
      </c>
      <c r="C175" s="93">
        <v>105.05249999999999</v>
      </c>
      <c r="D175" s="94">
        <v>105052.5</v>
      </c>
      <c r="E175" s="95">
        <v>15319</v>
      </c>
      <c r="F175" s="90">
        <v>4116</v>
      </c>
    </row>
    <row r="176" spans="1:6" x14ac:dyDescent="0.25">
      <c r="A176" s="87">
        <v>42629</v>
      </c>
      <c r="B176" s="114" t="s">
        <v>135</v>
      </c>
      <c r="C176" s="93">
        <v>788.61</v>
      </c>
      <c r="D176" s="93">
        <v>788610</v>
      </c>
      <c r="E176" s="89">
        <v>15065</v>
      </c>
      <c r="F176" s="90">
        <v>4116</v>
      </c>
    </row>
    <row r="177" spans="1:6" x14ac:dyDescent="0.25">
      <c r="A177" s="87"/>
      <c r="B177" s="88" t="s">
        <v>136</v>
      </c>
      <c r="C177" s="93">
        <v>67.685339999999997</v>
      </c>
      <c r="D177" s="94">
        <v>67685.34</v>
      </c>
      <c r="E177" s="95">
        <v>15320</v>
      </c>
      <c r="F177" s="90">
        <v>4116</v>
      </c>
    </row>
    <row r="178" spans="1:6" x14ac:dyDescent="0.25">
      <c r="A178" s="87"/>
      <c r="B178" s="88" t="s">
        <v>136</v>
      </c>
      <c r="C178" s="93">
        <v>1150.6508200000001</v>
      </c>
      <c r="D178" s="94">
        <v>1150650.82</v>
      </c>
      <c r="E178" s="95">
        <v>15321</v>
      </c>
      <c r="F178" s="90">
        <v>4116</v>
      </c>
    </row>
    <row r="179" spans="1:6" x14ac:dyDescent="0.25">
      <c r="A179" s="87"/>
      <c r="B179" s="114"/>
      <c r="C179" s="93"/>
      <c r="D179" s="93"/>
      <c r="E179" s="89"/>
      <c r="F179" s="90"/>
    </row>
    <row r="180" spans="1:6" x14ac:dyDescent="0.25">
      <c r="A180" s="87"/>
      <c r="B180" s="91" t="s">
        <v>137</v>
      </c>
      <c r="C180" s="92">
        <f>SUM(C181:C295)</f>
        <v>160970.60952</v>
      </c>
      <c r="D180" s="92">
        <f>SUM(D181:D295)</f>
        <v>160969849.51999995</v>
      </c>
      <c r="E180" s="89"/>
      <c r="F180" s="99"/>
    </row>
    <row r="181" spans="1:6" x14ac:dyDescent="0.25">
      <c r="A181" s="87">
        <v>42425</v>
      </c>
      <c r="B181" s="108" t="s">
        <v>138</v>
      </c>
      <c r="C181" s="29">
        <v>62.029800000000002</v>
      </c>
      <c r="D181" s="29">
        <v>62029.8</v>
      </c>
      <c r="E181" s="89">
        <v>13014</v>
      </c>
      <c r="F181" s="90">
        <v>4122</v>
      </c>
    </row>
    <row r="182" spans="1:6" x14ac:dyDescent="0.25">
      <c r="A182" s="87">
        <v>42425</v>
      </c>
      <c r="B182" s="108" t="s">
        <v>139</v>
      </c>
      <c r="C182" s="29">
        <v>24.607800000000001</v>
      </c>
      <c r="D182" s="29">
        <v>24607.8</v>
      </c>
      <c r="E182" s="89">
        <v>13014</v>
      </c>
      <c r="F182" s="90">
        <v>4122</v>
      </c>
    </row>
    <row r="183" spans="1:6" x14ac:dyDescent="0.25">
      <c r="A183" s="87">
        <v>42425</v>
      </c>
      <c r="B183" s="108" t="s">
        <v>140</v>
      </c>
      <c r="C183" s="29">
        <v>53.865000000000002</v>
      </c>
      <c r="D183" s="29">
        <v>53865</v>
      </c>
      <c r="E183" s="89">
        <v>13014</v>
      </c>
      <c r="F183" s="90">
        <v>4122</v>
      </c>
    </row>
    <row r="184" spans="1:6" x14ac:dyDescent="0.25">
      <c r="A184" s="87">
        <v>42425</v>
      </c>
      <c r="B184" s="108" t="s">
        <v>141</v>
      </c>
      <c r="C184" s="29">
        <v>19.277999999999999</v>
      </c>
      <c r="D184" s="29">
        <v>19278</v>
      </c>
      <c r="E184" s="89">
        <v>13014</v>
      </c>
      <c r="F184" s="90">
        <v>4122</v>
      </c>
    </row>
    <row r="185" spans="1:6" x14ac:dyDescent="0.25">
      <c r="A185" s="87">
        <v>42425</v>
      </c>
      <c r="B185" s="108" t="s">
        <v>142</v>
      </c>
      <c r="C185" s="29">
        <v>41.227600000000002</v>
      </c>
      <c r="D185" s="29">
        <v>41227.599999999999</v>
      </c>
      <c r="E185" s="89">
        <v>13014</v>
      </c>
      <c r="F185" s="90">
        <v>4122</v>
      </c>
    </row>
    <row r="186" spans="1:6" x14ac:dyDescent="0.25">
      <c r="A186" s="87">
        <v>42425</v>
      </c>
      <c r="B186" s="108" t="s">
        <v>143</v>
      </c>
      <c r="C186" s="29">
        <v>18.0306</v>
      </c>
      <c r="D186" s="29">
        <v>18030.599999999999</v>
      </c>
      <c r="E186" s="89">
        <v>13014</v>
      </c>
      <c r="F186" s="90" t="s">
        <v>144</v>
      </c>
    </row>
    <row r="187" spans="1:6" x14ac:dyDescent="0.25">
      <c r="A187" s="87">
        <v>42425</v>
      </c>
      <c r="B187" s="108" t="s">
        <v>145</v>
      </c>
      <c r="C187" s="29">
        <v>82.215000000000003</v>
      </c>
      <c r="D187" s="29">
        <v>82215</v>
      </c>
      <c r="E187" s="89">
        <v>13014</v>
      </c>
      <c r="F187" s="90">
        <v>4122</v>
      </c>
    </row>
    <row r="188" spans="1:6" x14ac:dyDescent="0.25">
      <c r="A188" s="87">
        <v>42426</v>
      </c>
      <c r="B188" s="108" t="s">
        <v>146</v>
      </c>
      <c r="C188" s="29">
        <v>486.95839999999998</v>
      </c>
      <c r="D188" s="29">
        <f>413914.64+73043.76</f>
        <v>486958.4</v>
      </c>
      <c r="E188" s="89">
        <v>13014</v>
      </c>
      <c r="F188" s="90">
        <v>4122</v>
      </c>
    </row>
    <row r="189" spans="1:6" x14ac:dyDescent="0.25">
      <c r="A189" s="87">
        <v>42431</v>
      </c>
      <c r="B189" s="108" t="s">
        <v>147</v>
      </c>
      <c r="C189" s="29">
        <v>386.79</v>
      </c>
      <c r="D189" s="29">
        <v>386790</v>
      </c>
      <c r="E189" s="89">
        <v>431</v>
      </c>
      <c r="F189" s="90">
        <v>4122</v>
      </c>
    </row>
    <row r="190" spans="1:6" x14ac:dyDescent="0.25">
      <c r="A190" s="87">
        <v>42431</v>
      </c>
      <c r="B190" s="108" t="s">
        <v>147</v>
      </c>
      <c r="C190" s="29">
        <v>18090.420999999998</v>
      </c>
      <c r="D190" s="29">
        <v>18090421</v>
      </c>
      <c r="E190" s="89">
        <v>435</v>
      </c>
      <c r="F190" s="90">
        <v>4122</v>
      </c>
    </row>
    <row r="191" spans="1:6" x14ac:dyDescent="0.25">
      <c r="A191" s="87">
        <v>42431</v>
      </c>
      <c r="B191" s="108" t="s">
        <v>147</v>
      </c>
      <c r="C191" s="29">
        <v>935.73</v>
      </c>
      <c r="D191" s="29">
        <v>935730</v>
      </c>
      <c r="E191" s="89">
        <v>437</v>
      </c>
      <c r="F191" s="90">
        <v>4122</v>
      </c>
    </row>
    <row r="192" spans="1:6" x14ac:dyDescent="0.25">
      <c r="A192" s="87">
        <v>42431</v>
      </c>
      <c r="B192" s="108" t="s">
        <v>148</v>
      </c>
      <c r="C192" s="29">
        <v>3232.1640000000002</v>
      </c>
      <c r="D192" s="29">
        <f>23000+267451+44100+61473+551457+20444+75508+114468+124478+521618+104659+408425+497153+318000+99930</f>
        <v>3232164</v>
      </c>
      <c r="E192" s="89">
        <v>435</v>
      </c>
      <c r="F192" s="90">
        <v>4122</v>
      </c>
    </row>
    <row r="193" spans="1:6" x14ac:dyDescent="0.25">
      <c r="A193" s="87">
        <v>42431</v>
      </c>
      <c r="B193" s="108" t="s">
        <v>149</v>
      </c>
      <c r="C193" s="29">
        <v>217.22200000000001</v>
      </c>
      <c r="D193" s="29">
        <f>47392+85410+37228+47192</f>
        <v>217222</v>
      </c>
      <c r="E193" s="89">
        <v>437</v>
      </c>
      <c r="F193" s="90">
        <v>4122</v>
      </c>
    </row>
    <row r="194" spans="1:6" x14ac:dyDescent="0.25">
      <c r="A194" s="87">
        <v>42431</v>
      </c>
      <c r="B194" s="108" t="s">
        <v>142</v>
      </c>
      <c r="C194" s="29">
        <v>0.05</v>
      </c>
      <c r="D194" s="29">
        <v>50</v>
      </c>
      <c r="E194" s="89">
        <v>13014</v>
      </c>
      <c r="F194" s="90">
        <v>4122</v>
      </c>
    </row>
    <row r="195" spans="1:6" x14ac:dyDescent="0.25">
      <c r="A195" s="87">
        <v>42450</v>
      </c>
      <c r="B195" s="108" t="s">
        <v>150</v>
      </c>
      <c r="C195" s="29">
        <v>89.642700000000005</v>
      </c>
      <c r="D195" s="29">
        <v>89642.7</v>
      </c>
      <c r="E195" s="89">
        <v>13014</v>
      </c>
      <c r="F195" s="90">
        <v>4122</v>
      </c>
    </row>
    <row r="196" spans="1:6" x14ac:dyDescent="0.25">
      <c r="A196" s="87">
        <v>42452</v>
      </c>
      <c r="B196" s="108" t="s">
        <v>151</v>
      </c>
      <c r="C196" s="29">
        <v>28.576799999999999</v>
      </c>
      <c r="D196" s="29">
        <v>28576.799999999999</v>
      </c>
      <c r="E196" s="89">
        <v>13014</v>
      </c>
      <c r="F196" s="90">
        <v>4122</v>
      </c>
    </row>
    <row r="197" spans="1:6" x14ac:dyDescent="0.25">
      <c r="A197" s="87">
        <v>42453</v>
      </c>
      <c r="B197" s="108" t="s">
        <v>152</v>
      </c>
      <c r="C197" s="29">
        <v>630.6</v>
      </c>
      <c r="D197" s="29">
        <v>630600</v>
      </c>
      <c r="E197" s="89">
        <v>13305</v>
      </c>
      <c r="F197" s="90">
        <v>4122</v>
      </c>
    </row>
    <row r="198" spans="1:6" x14ac:dyDescent="0.25">
      <c r="A198" s="87">
        <v>42466</v>
      </c>
      <c r="B198" s="109" t="s">
        <v>153</v>
      </c>
      <c r="C198" s="29">
        <f>17.83215+3.14685</f>
        <v>20.978999999999999</v>
      </c>
      <c r="D198" s="29">
        <v>20979</v>
      </c>
      <c r="E198" s="89">
        <v>13014</v>
      </c>
      <c r="F198" s="90">
        <v>4122</v>
      </c>
    </row>
    <row r="199" spans="1:6" x14ac:dyDescent="0.25">
      <c r="A199" s="87">
        <v>42472</v>
      </c>
      <c r="B199" s="109" t="s">
        <v>154</v>
      </c>
      <c r="C199" s="29">
        <v>34.186500000000002</v>
      </c>
      <c r="D199" s="29">
        <v>34186.5</v>
      </c>
      <c r="E199" s="89">
        <v>14029</v>
      </c>
      <c r="F199" s="90">
        <v>4122</v>
      </c>
    </row>
    <row r="200" spans="1:6" x14ac:dyDescent="0.25">
      <c r="A200" s="87">
        <v>42472</v>
      </c>
      <c r="B200" s="109" t="s">
        <v>154</v>
      </c>
      <c r="C200" s="29">
        <v>3.7985000000000002</v>
      </c>
      <c r="D200" s="29">
        <v>3798.5</v>
      </c>
      <c r="E200" s="115">
        <v>121100000</v>
      </c>
      <c r="F200" s="90">
        <v>4122</v>
      </c>
    </row>
    <row r="201" spans="1:6" x14ac:dyDescent="0.25">
      <c r="A201" s="87">
        <v>42502</v>
      </c>
      <c r="B201" s="109" t="s">
        <v>155</v>
      </c>
      <c r="C201" s="29">
        <v>9097.74</v>
      </c>
      <c r="D201" s="29">
        <v>9097740</v>
      </c>
      <c r="E201" s="89">
        <v>13305</v>
      </c>
      <c r="F201" s="90">
        <v>4122</v>
      </c>
    </row>
    <row r="202" spans="1:6" x14ac:dyDescent="0.25">
      <c r="A202" s="87">
        <v>42503</v>
      </c>
      <c r="B202" s="109" t="s">
        <v>155</v>
      </c>
      <c r="C202" s="29">
        <v>59121.84</v>
      </c>
      <c r="D202" s="29">
        <v>59121840</v>
      </c>
      <c r="E202" s="89">
        <v>13305</v>
      </c>
      <c r="F202" s="90">
        <v>4122</v>
      </c>
    </row>
    <row r="203" spans="1:6" x14ac:dyDescent="0.25">
      <c r="A203" s="87">
        <v>42516</v>
      </c>
      <c r="B203" s="109" t="s">
        <v>156</v>
      </c>
      <c r="C203" s="29">
        <v>91</v>
      </c>
      <c r="D203" s="29">
        <v>91000</v>
      </c>
      <c r="E203" s="89">
        <v>539</v>
      </c>
      <c r="F203" s="90">
        <v>4122</v>
      </c>
    </row>
    <row r="204" spans="1:6" x14ac:dyDescent="0.25">
      <c r="A204" s="87">
        <v>42516</v>
      </c>
      <c r="B204" s="109" t="s">
        <v>157</v>
      </c>
      <c r="C204" s="29">
        <v>100</v>
      </c>
      <c r="D204" s="29">
        <v>100000</v>
      </c>
      <c r="E204" s="89">
        <v>539</v>
      </c>
      <c r="F204" s="90">
        <v>4122</v>
      </c>
    </row>
    <row r="205" spans="1:6" x14ac:dyDescent="0.25">
      <c r="A205" s="87">
        <v>42516</v>
      </c>
      <c r="B205" s="109" t="s">
        <v>158</v>
      </c>
      <c r="C205" s="29">
        <v>200</v>
      </c>
      <c r="D205" s="29">
        <v>200000</v>
      </c>
      <c r="E205" s="89">
        <v>331</v>
      </c>
      <c r="F205" s="90">
        <v>4122</v>
      </c>
    </row>
    <row r="206" spans="1:6" x14ac:dyDescent="0.25">
      <c r="A206" s="87">
        <v>42516</v>
      </c>
      <c r="B206" s="109" t="s">
        <v>159</v>
      </c>
      <c r="C206" s="29">
        <v>400</v>
      </c>
      <c r="D206" s="29">
        <v>400000</v>
      </c>
      <c r="E206" s="89">
        <v>331</v>
      </c>
      <c r="F206" s="90">
        <v>4122</v>
      </c>
    </row>
    <row r="207" spans="1:6" x14ac:dyDescent="0.25">
      <c r="A207" s="87">
        <v>42516</v>
      </c>
      <c r="B207" s="109" t="s">
        <v>160</v>
      </c>
      <c r="C207" s="29">
        <v>400</v>
      </c>
      <c r="D207" s="29">
        <v>400000</v>
      </c>
      <c r="E207" s="89">
        <v>331</v>
      </c>
      <c r="F207" s="90">
        <v>4122</v>
      </c>
    </row>
    <row r="208" spans="1:6" x14ac:dyDescent="0.25">
      <c r="A208" s="87">
        <v>42516</v>
      </c>
      <c r="B208" s="109" t="s">
        <v>161</v>
      </c>
      <c r="C208" s="29">
        <v>500</v>
      </c>
      <c r="D208" s="29">
        <v>500000</v>
      </c>
      <c r="E208" s="89">
        <v>331</v>
      </c>
      <c r="F208" s="90">
        <v>4122</v>
      </c>
    </row>
    <row r="209" spans="1:6" x14ac:dyDescent="0.25">
      <c r="A209" s="87">
        <v>42516</v>
      </c>
      <c r="B209" s="109" t="s">
        <v>162</v>
      </c>
      <c r="C209" s="29">
        <v>500</v>
      </c>
      <c r="D209" s="29">
        <v>500000</v>
      </c>
      <c r="E209" s="89">
        <v>331</v>
      </c>
      <c r="F209" s="90">
        <v>4122</v>
      </c>
    </row>
    <row r="210" spans="1:6" x14ac:dyDescent="0.25">
      <c r="A210" s="87">
        <v>42516</v>
      </c>
      <c r="B210" s="109" t="s">
        <v>163</v>
      </c>
      <c r="C210" s="29">
        <v>700</v>
      </c>
      <c r="D210" s="29">
        <v>700000</v>
      </c>
      <c r="E210" s="89">
        <v>331</v>
      </c>
      <c r="F210" s="90">
        <v>4122</v>
      </c>
    </row>
    <row r="211" spans="1:6" x14ac:dyDescent="0.25">
      <c r="A211" s="87">
        <v>42516</v>
      </c>
      <c r="B211" s="109" t="s">
        <v>164</v>
      </c>
      <c r="C211" s="29">
        <v>800</v>
      </c>
      <c r="D211" s="29">
        <v>800000</v>
      </c>
      <c r="E211" s="89">
        <v>331</v>
      </c>
      <c r="F211" s="90">
        <v>4122</v>
      </c>
    </row>
    <row r="212" spans="1:6" x14ac:dyDescent="0.25">
      <c r="A212" s="87">
        <v>42516</v>
      </c>
      <c r="B212" s="109" t="s">
        <v>165</v>
      </c>
      <c r="C212" s="29">
        <v>1000</v>
      </c>
      <c r="D212" s="29">
        <v>1000000</v>
      </c>
      <c r="E212" s="89">
        <v>331</v>
      </c>
      <c r="F212" s="90">
        <v>4122</v>
      </c>
    </row>
    <row r="213" spans="1:6" x14ac:dyDescent="0.25">
      <c r="A213" s="87">
        <v>42531</v>
      </c>
      <c r="B213" s="109" t="s">
        <v>152</v>
      </c>
      <c r="C213" s="29">
        <v>420.4</v>
      </c>
      <c r="D213" s="29">
        <v>420400</v>
      </c>
      <c r="E213" s="89">
        <v>13305</v>
      </c>
      <c r="F213" s="90">
        <v>4122</v>
      </c>
    </row>
    <row r="214" spans="1:6" x14ac:dyDescent="0.25">
      <c r="A214" s="87">
        <v>42535</v>
      </c>
      <c r="B214" s="109" t="s">
        <v>166</v>
      </c>
      <c r="C214" s="29">
        <v>25</v>
      </c>
      <c r="D214" s="29">
        <v>25000</v>
      </c>
      <c r="E214" s="89">
        <v>331</v>
      </c>
      <c r="F214" s="90">
        <v>4122</v>
      </c>
    </row>
    <row r="215" spans="1:6" x14ac:dyDescent="0.25">
      <c r="A215" s="87">
        <v>42535</v>
      </c>
      <c r="B215" s="109" t="s">
        <v>167</v>
      </c>
      <c r="C215" s="29">
        <v>25</v>
      </c>
      <c r="D215" s="29">
        <v>25000</v>
      </c>
      <c r="E215" s="89">
        <v>331</v>
      </c>
      <c r="F215" s="90">
        <v>4122</v>
      </c>
    </row>
    <row r="216" spans="1:6" x14ac:dyDescent="0.25">
      <c r="A216" s="87">
        <v>42535</v>
      </c>
      <c r="B216" s="109" t="s">
        <v>168</v>
      </c>
      <c r="C216" s="29">
        <v>150</v>
      </c>
      <c r="D216" s="29">
        <v>150000</v>
      </c>
      <c r="E216" s="89">
        <v>331</v>
      </c>
      <c r="F216" s="90">
        <v>4122</v>
      </c>
    </row>
    <row r="217" spans="1:6" x14ac:dyDescent="0.25">
      <c r="A217" s="87">
        <v>42537</v>
      </c>
      <c r="B217" s="109" t="s">
        <v>169</v>
      </c>
      <c r="C217" s="29">
        <v>100</v>
      </c>
      <c r="D217" s="29">
        <v>100000</v>
      </c>
      <c r="E217" s="89">
        <v>539</v>
      </c>
      <c r="F217" s="90">
        <v>4122</v>
      </c>
    </row>
    <row r="218" spans="1:6" x14ac:dyDescent="0.25">
      <c r="A218" s="87">
        <v>42542</v>
      </c>
      <c r="B218" s="109" t="s">
        <v>155</v>
      </c>
      <c r="C218" s="29">
        <v>6065.16</v>
      </c>
      <c r="D218" s="29">
        <v>6065160</v>
      </c>
      <c r="E218" s="89">
        <v>13305</v>
      </c>
      <c r="F218" s="90">
        <v>4122</v>
      </c>
    </row>
    <row r="219" spans="1:6" x14ac:dyDescent="0.25">
      <c r="A219" s="87">
        <v>42543</v>
      </c>
      <c r="B219" s="109" t="s">
        <v>155</v>
      </c>
      <c r="C219" s="29">
        <v>39414.559999999998</v>
      </c>
      <c r="D219" s="29">
        <v>39414560</v>
      </c>
      <c r="E219" s="89">
        <v>13305</v>
      </c>
      <c r="F219" s="90">
        <v>4122</v>
      </c>
    </row>
    <row r="220" spans="1:6" x14ac:dyDescent="0.25">
      <c r="A220" s="87">
        <v>42544</v>
      </c>
      <c r="B220" s="109" t="s">
        <v>170</v>
      </c>
      <c r="C220" s="29">
        <v>120</v>
      </c>
      <c r="D220" s="29">
        <v>120000</v>
      </c>
      <c r="E220" s="89">
        <v>311</v>
      </c>
      <c r="F220" s="90">
        <v>4122</v>
      </c>
    </row>
    <row r="221" spans="1:6" x14ac:dyDescent="0.25">
      <c r="A221" s="87">
        <v>42544</v>
      </c>
      <c r="B221" s="109" t="s">
        <v>171</v>
      </c>
      <c r="C221" s="29">
        <v>41</v>
      </c>
      <c r="D221" s="29">
        <v>41000</v>
      </c>
      <c r="E221" s="89">
        <v>311</v>
      </c>
      <c r="F221" s="90">
        <v>4122</v>
      </c>
    </row>
    <row r="222" spans="1:6" x14ac:dyDescent="0.25">
      <c r="A222" s="87">
        <v>42544</v>
      </c>
      <c r="B222" s="109" t="s">
        <v>172</v>
      </c>
      <c r="C222" s="29">
        <v>41</v>
      </c>
      <c r="D222" s="29">
        <v>41000</v>
      </c>
      <c r="E222" s="89">
        <v>311</v>
      </c>
      <c r="F222" s="90">
        <v>4122</v>
      </c>
    </row>
    <row r="223" spans="1:6" x14ac:dyDescent="0.25">
      <c r="A223" s="87">
        <v>42544</v>
      </c>
      <c r="B223" s="109" t="s">
        <v>173</v>
      </c>
      <c r="C223" s="29">
        <v>41</v>
      </c>
      <c r="D223" s="29">
        <v>41000</v>
      </c>
      <c r="E223" s="89">
        <v>311</v>
      </c>
      <c r="F223" s="90">
        <v>4122</v>
      </c>
    </row>
    <row r="224" spans="1:6" x14ac:dyDescent="0.25">
      <c r="A224" s="87">
        <v>42545</v>
      </c>
      <c r="B224" s="109" t="s">
        <v>174</v>
      </c>
      <c r="C224" s="29">
        <v>31</v>
      </c>
      <c r="D224" s="29">
        <v>31000</v>
      </c>
      <c r="E224" s="89">
        <v>311</v>
      </c>
      <c r="F224" s="90">
        <v>4122</v>
      </c>
    </row>
    <row r="225" spans="1:6" x14ac:dyDescent="0.25">
      <c r="A225" s="87">
        <v>42551</v>
      </c>
      <c r="B225" s="33" t="s">
        <v>175</v>
      </c>
      <c r="C225" s="29">
        <v>40</v>
      </c>
      <c r="D225" s="29">
        <v>40000</v>
      </c>
      <c r="E225" s="89">
        <v>539</v>
      </c>
      <c r="F225" s="90">
        <v>4122</v>
      </c>
    </row>
    <row r="226" spans="1:6" x14ac:dyDescent="0.25">
      <c r="A226" s="87">
        <v>42551</v>
      </c>
      <c r="B226" s="33" t="s">
        <v>176</v>
      </c>
      <c r="C226" s="29">
        <v>40</v>
      </c>
      <c r="D226" s="29">
        <v>40000</v>
      </c>
      <c r="E226" s="89">
        <v>539</v>
      </c>
      <c r="F226" s="90">
        <v>4122</v>
      </c>
    </row>
    <row r="227" spans="1:6" x14ac:dyDescent="0.25">
      <c r="A227" s="87">
        <v>42551</v>
      </c>
      <c r="B227" s="33" t="s">
        <v>177</v>
      </c>
      <c r="C227" s="29">
        <v>155</v>
      </c>
      <c r="D227" s="29">
        <v>155000</v>
      </c>
      <c r="E227" s="89">
        <v>539</v>
      </c>
      <c r="F227" s="90">
        <v>4122</v>
      </c>
    </row>
    <row r="228" spans="1:6" x14ac:dyDescent="0.25">
      <c r="A228" s="87">
        <v>42555</v>
      </c>
      <c r="B228" s="33" t="s">
        <v>178</v>
      </c>
      <c r="C228" s="29">
        <v>80</v>
      </c>
      <c r="D228" s="29">
        <v>80000</v>
      </c>
      <c r="E228" s="89">
        <v>311</v>
      </c>
      <c r="F228" s="90">
        <v>4122</v>
      </c>
    </row>
    <row r="229" spans="1:6" x14ac:dyDescent="0.25">
      <c r="A229" s="87">
        <v>42564</v>
      </c>
      <c r="B229" s="106" t="s">
        <v>179</v>
      </c>
      <c r="C229" s="29">
        <v>-244.5</v>
      </c>
      <c r="D229" s="29">
        <v>-244500</v>
      </c>
      <c r="E229" s="89">
        <v>13305</v>
      </c>
      <c r="F229" s="90">
        <v>4122</v>
      </c>
    </row>
    <row r="230" spans="1:6" x14ac:dyDescent="0.25">
      <c r="A230" s="87">
        <v>42564</v>
      </c>
      <c r="B230" s="106" t="s">
        <v>180</v>
      </c>
      <c r="C230" s="29">
        <v>-23.596</v>
      </c>
      <c r="D230" s="29">
        <v>-23596</v>
      </c>
      <c r="E230" s="89">
        <v>437</v>
      </c>
      <c r="F230" s="90">
        <v>4122</v>
      </c>
    </row>
    <row r="231" spans="1:6" x14ac:dyDescent="0.25">
      <c r="A231" s="87">
        <v>42583</v>
      </c>
      <c r="B231" s="106" t="s">
        <v>181</v>
      </c>
      <c r="C231" s="29">
        <v>-520.48805000000004</v>
      </c>
      <c r="D231" s="29">
        <v>-520488.05</v>
      </c>
      <c r="E231" s="89">
        <v>13014</v>
      </c>
      <c r="F231" s="90">
        <v>4122</v>
      </c>
    </row>
    <row r="232" spans="1:6" x14ac:dyDescent="0.25">
      <c r="A232" s="87">
        <v>42584</v>
      </c>
      <c r="B232" s="106" t="s">
        <v>182</v>
      </c>
      <c r="C232" s="29">
        <v>1000</v>
      </c>
      <c r="D232" s="29">
        <v>1000000</v>
      </c>
      <c r="E232" s="89">
        <v>359</v>
      </c>
      <c r="F232" s="90">
        <v>4122</v>
      </c>
    </row>
    <row r="233" spans="1:6" x14ac:dyDescent="0.25">
      <c r="A233" s="87">
        <v>42584</v>
      </c>
      <c r="B233" s="106" t="s">
        <v>183</v>
      </c>
      <c r="C233" s="29">
        <v>105</v>
      </c>
      <c r="D233" s="29">
        <v>105000</v>
      </c>
      <c r="E233" s="89">
        <v>331</v>
      </c>
      <c r="F233" s="90">
        <v>4122</v>
      </c>
    </row>
    <row r="234" spans="1:6" x14ac:dyDescent="0.25">
      <c r="A234" s="87">
        <v>42584</v>
      </c>
      <c r="B234" s="106" t="s">
        <v>184</v>
      </c>
      <c r="C234" s="29">
        <v>27</v>
      </c>
      <c r="D234" s="29">
        <v>27000</v>
      </c>
      <c r="E234" s="89">
        <v>331</v>
      </c>
      <c r="F234" s="90">
        <v>4122</v>
      </c>
    </row>
    <row r="235" spans="1:6" x14ac:dyDescent="0.25">
      <c r="A235" s="87">
        <v>42584</v>
      </c>
      <c r="B235" s="106" t="s">
        <v>185</v>
      </c>
      <c r="C235" s="29">
        <v>71</v>
      </c>
      <c r="D235" s="29">
        <v>71000</v>
      </c>
      <c r="E235" s="89">
        <v>331</v>
      </c>
      <c r="F235" s="90">
        <v>4122</v>
      </c>
    </row>
    <row r="236" spans="1:6" x14ac:dyDescent="0.25">
      <c r="A236" s="87">
        <v>42584</v>
      </c>
      <c r="B236" s="106" t="s">
        <v>186</v>
      </c>
      <c r="C236" s="29">
        <v>55</v>
      </c>
      <c r="D236" s="29">
        <v>55000</v>
      </c>
      <c r="E236" s="89">
        <v>331</v>
      </c>
      <c r="F236" s="90">
        <v>4122</v>
      </c>
    </row>
    <row r="237" spans="1:6" x14ac:dyDescent="0.25">
      <c r="A237" s="87">
        <v>42584</v>
      </c>
      <c r="B237" s="106" t="s">
        <v>187</v>
      </c>
      <c r="C237" s="29">
        <v>112</v>
      </c>
      <c r="D237" s="29">
        <v>112000</v>
      </c>
      <c r="E237" s="89">
        <v>331</v>
      </c>
      <c r="F237" s="90">
        <v>4122</v>
      </c>
    </row>
    <row r="238" spans="1:6" x14ac:dyDescent="0.25">
      <c r="A238" s="87">
        <v>42584</v>
      </c>
      <c r="B238" s="106" t="s">
        <v>188</v>
      </c>
      <c r="C238" s="29">
        <v>21</v>
      </c>
      <c r="D238" s="29">
        <v>21000</v>
      </c>
      <c r="E238" s="89">
        <v>331</v>
      </c>
      <c r="F238" s="90">
        <v>4122</v>
      </c>
    </row>
    <row r="239" spans="1:6" x14ac:dyDescent="0.25">
      <c r="A239" s="87">
        <v>42605</v>
      </c>
      <c r="B239" s="109" t="s">
        <v>152</v>
      </c>
      <c r="C239" s="29">
        <v>188.8</v>
      </c>
      <c r="D239" s="29">
        <v>188800</v>
      </c>
      <c r="E239" s="89">
        <v>13305</v>
      </c>
      <c r="F239" s="90">
        <v>4122</v>
      </c>
    </row>
    <row r="240" spans="1:6" x14ac:dyDescent="0.25">
      <c r="A240" s="87">
        <v>42606</v>
      </c>
      <c r="B240" s="109" t="s">
        <v>154</v>
      </c>
      <c r="C240" s="29">
        <v>96.781499999999994</v>
      </c>
      <c r="D240" s="29">
        <f>80651.25+16130.25</f>
        <v>96781.5</v>
      </c>
      <c r="E240" s="89">
        <v>14029</v>
      </c>
      <c r="F240" s="90">
        <v>4122</v>
      </c>
    </row>
    <row r="241" spans="1:6" x14ac:dyDescent="0.25">
      <c r="A241" s="87">
        <v>42606</v>
      </c>
      <c r="B241" s="109" t="s">
        <v>154</v>
      </c>
      <c r="C241" s="29">
        <v>10.753500000000001</v>
      </c>
      <c r="D241" s="29">
        <v>10753.5</v>
      </c>
      <c r="E241" s="115">
        <v>121100000</v>
      </c>
      <c r="F241" s="90">
        <v>4122</v>
      </c>
    </row>
    <row r="242" spans="1:6" x14ac:dyDescent="0.25">
      <c r="A242" s="87">
        <v>42607</v>
      </c>
      <c r="B242" s="109" t="s">
        <v>189</v>
      </c>
      <c r="C242" s="29">
        <v>13.2</v>
      </c>
      <c r="D242" s="29">
        <v>13200</v>
      </c>
      <c r="E242" s="89">
        <v>359</v>
      </c>
      <c r="F242" s="90">
        <v>4122</v>
      </c>
    </row>
    <row r="243" spans="1:6" x14ac:dyDescent="0.25">
      <c r="A243" s="87">
        <v>42621</v>
      </c>
      <c r="B243" s="109" t="s">
        <v>190</v>
      </c>
      <c r="C243" s="29">
        <v>903.3</v>
      </c>
      <c r="D243" s="113">
        <v>903300</v>
      </c>
      <c r="E243" s="89">
        <v>13305</v>
      </c>
      <c r="F243" s="90">
        <v>4122</v>
      </c>
    </row>
    <row r="244" spans="1:6" x14ac:dyDescent="0.25">
      <c r="A244" s="87">
        <v>42621</v>
      </c>
      <c r="B244" s="109" t="s">
        <v>155</v>
      </c>
      <c r="C244" s="29">
        <v>1308.55</v>
      </c>
      <c r="D244" s="113">
        <v>1308550</v>
      </c>
      <c r="E244" s="89">
        <v>13305</v>
      </c>
      <c r="F244" s="90">
        <v>4122</v>
      </c>
    </row>
    <row r="245" spans="1:6" x14ac:dyDescent="0.25">
      <c r="A245" s="87">
        <v>42621</v>
      </c>
      <c r="B245" s="109" t="s">
        <v>191</v>
      </c>
      <c r="C245" s="29">
        <v>143.1</v>
      </c>
      <c r="D245" s="113">
        <v>143100</v>
      </c>
      <c r="E245" s="89">
        <v>13305</v>
      </c>
      <c r="F245" s="90">
        <v>4122</v>
      </c>
    </row>
    <row r="246" spans="1:6" x14ac:dyDescent="0.25">
      <c r="A246" s="87">
        <v>42626</v>
      </c>
      <c r="B246" s="109" t="s">
        <v>192</v>
      </c>
      <c r="C246" s="29">
        <v>60</v>
      </c>
      <c r="D246" s="113">
        <v>60000</v>
      </c>
      <c r="E246" s="89">
        <v>214</v>
      </c>
      <c r="F246" s="90">
        <v>4122</v>
      </c>
    </row>
    <row r="247" spans="1:6" x14ac:dyDescent="0.25">
      <c r="A247" s="87">
        <v>42632</v>
      </c>
      <c r="B247" s="109" t="s">
        <v>193</v>
      </c>
      <c r="C247" s="29">
        <v>-327.66665999999998</v>
      </c>
      <c r="D247" s="113">
        <f xml:space="preserve"> -210733.33-116933.33</f>
        <v>-327666.65999999997</v>
      </c>
      <c r="E247" s="89">
        <v>13305</v>
      </c>
      <c r="F247" s="90">
        <v>4122</v>
      </c>
    </row>
    <row r="248" spans="1:6" x14ac:dyDescent="0.25">
      <c r="A248" s="87">
        <v>42632</v>
      </c>
      <c r="B248" s="109" t="s">
        <v>193</v>
      </c>
      <c r="C248" s="29">
        <v>-44.267330000000001</v>
      </c>
      <c r="D248" s="113">
        <f>-28470-15797.33</f>
        <v>-44267.33</v>
      </c>
      <c r="E248" s="89">
        <v>437</v>
      </c>
      <c r="F248" s="90">
        <v>4122</v>
      </c>
    </row>
    <row r="249" spans="1:6" x14ac:dyDescent="0.25">
      <c r="A249" s="87">
        <v>42632</v>
      </c>
      <c r="B249" s="109" t="s">
        <v>194</v>
      </c>
      <c r="C249" s="29">
        <v>-852.6</v>
      </c>
      <c r="D249" s="113">
        <f>-268433-348300-235867</f>
        <v>-852600</v>
      </c>
      <c r="E249" s="89">
        <v>13305</v>
      </c>
      <c r="F249" s="90">
        <v>4122</v>
      </c>
    </row>
    <row r="250" spans="1:6" x14ac:dyDescent="0.25">
      <c r="A250" s="87">
        <v>42632</v>
      </c>
      <c r="B250" s="109" t="s">
        <v>194</v>
      </c>
      <c r="C250" s="29">
        <v>-127.31</v>
      </c>
      <c r="D250" s="113">
        <f>-51287-42848-33175</f>
        <v>-127310</v>
      </c>
      <c r="E250" s="89">
        <v>437</v>
      </c>
      <c r="F250" s="90">
        <v>4122</v>
      </c>
    </row>
    <row r="251" spans="1:6" x14ac:dyDescent="0.25">
      <c r="A251" s="87">
        <v>42642</v>
      </c>
      <c r="B251" s="109" t="s">
        <v>193</v>
      </c>
      <c r="C251" s="29">
        <v>-233.66667000000001</v>
      </c>
      <c r="D251" s="113">
        <v>-233666.67</v>
      </c>
      <c r="E251" s="89">
        <v>13305</v>
      </c>
      <c r="F251" s="90">
        <v>4122</v>
      </c>
    </row>
    <row r="252" spans="1:6" x14ac:dyDescent="0.25">
      <c r="A252" s="87">
        <v>42642</v>
      </c>
      <c r="B252" s="109" t="s">
        <v>193</v>
      </c>
      <c r="C252" s="29">
        <v>-98.8</v>
      </c>
      <c r="D252" s="113">
        <v>-98800</v>
      </c>
      <c r="E252" s="89">
        <v>13305</v>
      </c>
      <c r="F252" s="90">
        <v>4122</v>
      </c>
    </row>
    <row r="253" spans="1:6" x14ac:dyDescent="0.25">
      <c r="A253" s="87">
        <v>42655</v>
      </c>
      <c r="B253" s="114" t="s">
        <v>195</v>
      </c>
      <c r="C253" s="29">
        <v>36.240749999999998</v>
      </c>
      <c r="D253" s="113">
        <f>30804.63+5436.12</f>
        <v>36240.75</v>
      </c>
      <c r="E253" s="89">
        <v>13014</v>
      </c>
      <c r="F253" s="90">
        <v>4122</v>
      </c>
    </row>
    <row r="254" spans="1:6" x14ac:dyDescent="0.25">
      <c r="A254" s="87">
        <v>42655</v>
      </c>
      <c r="B254" s="114" t="s">
        <v>140</v>
      </c>
      <c r="C254" s="29">
        <v>67.050899999999999</v>
      </c>
      <c r="D254" s="113">
        <f>56993.26+10057.64</f>
        <v>67050.899999999994</v>
      </c>
      <c r="E254" s="89">
        <v>13014</v>
      </c>
      <c r="F254" s="90">
        <v>4122</v>
      </c>
    </row>
    <row r="255" spans="1:6" x14ac:dyDescent="0.25">
      <c r="A255" s="87">
        <v>42655</v>
      </c>
      <c r="B255" s="114" t="s">
        <v>196</v>
      </c>
      <c r="C255" s="29">
        <v>28.967400000000001</v>
      </c>
      <c r="D255" s="113">
        <f>24622.29+4345.11</f>
        <v>28967.4</v>
      </c>
      <c r="E255" s="89">
        <v>13014</v>
      </c>
      <c r="F255" s="90">
        <v>4122</v>
      </c>
    </row>
    <row r="256" spans="1:6" x14ac:dyDescent="0.25">
      <c r="A256" s="87">
        <v>42655</v>
      </c>
      <c r="B256" s="114" t="s">
        <v>141</v>
      </c>
      <c r="C256" s="29">
        <v>58.558500000000002</v>
      </c>
      <c r="D256" s="113">
        <f>49774.72+8783.78</f>
        <v>58558.5</v>
      </c>
      <c r="E256" s="89">
        <v>13014</v>
      </c>
      <c r="F256" s="90">
        <v>4122</v>
      </c>
    </row>
    <row r="257" spans="1:6" x14ac:dyDescent="0.25">
      <c r="A257" s="87">
        <v>42655</v>
      </c>
      <c r="B257" s="114" t="s">
        <v>197</v>
      </c>
      <c r="C257" s="29">
        <v>137.63399999999999</v>
      </c>
      <c r="D257" s="113">
        <f>116988.9+20645.1</f>
        <v>137634</v>
      </c>
      <c r="E257" s="89">
        <v>13014</v>
      </c>
      <c r="F257" s="90">
        <v>4122</v>
      </c>
    </row>
    <row r="258" spans="1:6" x14ac:dyDescent="0.25">
      <c r="A258" s="87">
        <v>42655</v>
      </c>
      <c r="B258" s="114" t="s">
        <v>142</v>
      </c>
      <c r="C258" s="29">
        <v>84.152249999999995</v>
      </c>
      <c r="D258" s="113">
        <f>71529.41+12622.84</f>
        <v>84152.25</v>
      </c>
      <c r="E258" s="89">
        <v>13014</v>
      </c>
      <c r="F258" s="90">
        <v>4122</v>
      </c>
    </row>
    <row r="259" spans="1:6" x14ac:dyDescent="0.25">
      <c r="A259" s="87">
        <v>42655</v>
      </c>
      <c r="B259" s="114" t="s">
        <v>146</v>
      </c>
      <c r="C259" s="29">
        <v>1187.9511</v>
      </c>
      <c r="D259" s="113">
        <f>1009758.43+178192.67</f>
        <v>1187951.1000000001</v>
      </c>
      <c r="E259" s="89">
        <v>13014</v>
      </c>
      <c r="F259" s="90">
        <v>4122</v>
      </c>
    </row>
    <row r="260" spans="1:6" x14ac:dyDescent="0.25">
      <c r="A260" s="87">
        <v>42655</v>
      </c>
      <c r="B260" s="114" t="s">
        <v>198</v>
      </c>
      <c r="C260" s="29">
        <v>551.85479999999995</v>
      </c>
      <c r="D260" s="113">
        <f>469076.58+82778.22</f>
        <v>551854.80000000005</v>
      </c>
      <c r="E260" s="89">
        <v>13014</v>
      </c>
      <c r="F260" s="90">
        <v>4122</v>
      </c>
    </row>
    <row r="261" spans="1:6" x14ac:dyDescent="0.25">
      <c r="A261" s="87">
        <v>42655</v>
      </c>
      <c r="B261" s="114" t="s">
        <v>145</v>
      </c>
      <c r="C261" s="29">
        <v>50.573250000000002</v>
      </c>
      <c r="D261" s="113">
        <f>42987.26+7585.99</f>
        <v>50573.25</v>
      </c>
      <c r="E261" s="89">
        <v>13014</v>
      </c>
      <c r="F261" s="90">
        <v>4122</v>
      </c>
    </row>
    <row r="262" spans="1:6" x14ac:dyDescent="0.25">
      <c r="A262" s="87">
        <v>42655</v>
      </c>
      <c r="B262" s="114" t="s">
        <v>199</v>
      </c>
      <c r="C262" s="29">
        <v>40.335749999999997</v>
      </c>
      <c r="D262" s="113">
        <f>34285.38+6050.37</f>
        <v>40335.75</v>
      </c>
      <c r="E262" s="89">
        <v>13014</v>
      </c>
      <c r="F262" s="90">
        <v>4122</v>
      </c>
    </row>
    <row r="263" spans="1:6" x14ac:dyDescent="0.25">
      <c r="A263" s="87">
        <v>42655</v>
      </c>
      <c r="B263" s="114" t="s">
        <v>200</v>
      </c>
      <c r="C263" s="29">
        <v>52.006500000000003</v>
      </c>
      <c r="D263" s="113">
        <f>44205.52+7800.98</f>
        <v>52006.5</v>
      </c>
      <c r="E263" s="89">
        <v>13014</v>
      </c>
      <c r="F263" s="90">
        <v>4122</v>
      </c>
    </row>
    <row r="264" spans="1:6" x14ac:dyDescent="0.25">
      <c r="A264" s="87">
        <v>42657</v>
      </c>
      <c r="B264" s="109" t="s">
        <v>154</v>
      </c>
      <c r="C264" s="29">
        <v>39.366459999999996</v>
      </c>
      <c r="D264" s="113">
        <f>32805.39+6561.07</f>
        <v>39366.46</v>
      </c>
      <c r="E264" s="89">
        <v>14029</v>
      </c>
      <c r="F264" s="90">
        <v>4122</v>
      </c>
    </row>
    <row r="265" spans="1:6" x14ac:dyDescent="0.25">
      <c r="A265" s="87">
        <v>42657</v>
      </c>
      <c r="B265" s="109" t="s">
        <v>154</v>
      </c>
      <c r="C265" s="29">
        <v>4.3740699999999997</v>
      </c>
      <c r="D265" s="113">
        <v>4374.07</v>
      </c>
      <c r="E265" s="115">
        <v>121100000</v>
      </c>
      <c r="F265" s="90">
        <v>4122</v>
      </c>
    </row>
    <row r="266" spans="1:6" x14ac:dyDescent="0.25">
      <c r="A266" s="87">
        <v>42660</v>
      </c>
      <c r="B266" s="109" t="s">
        <v>201</v>
      </c>
      <c r="C266" s="29">
        <v>800</v>
      </c>
      <c r="D266" s="113">
        <v>800000</v>
      </c>
      <c r="E266" s="89">
        <v>331</v>
      </c>
      <c r="F266" s="90">
        <v>4122</v>
      </c>
    </row>
    <row r="267" spans="1:6" x14ac:dyDescent="0.25">
      <c r="A267" s="87">
        <v>42660</v>
      </c>
      <c r="B267" s="109" t="s">
        <v>202</v>
      </c>
      <c r="C267" s="29">
        <v>400</v>
      </c>
      <c r="D267" s="113">
        <v>400000</v>
      </c>
      <c r="E267" s="89">
        <v>331</v>
      </c>
      <c r="F267" s="90">
        <v>4122</v>
      </c>
    </row>
    <row r="268" spans="1:6" x14ac:dyDescent="0.25">
      <c r="A268" s="87">
        <v>42660</v>
      </c>
      <c r="B268" s="109" t="s">
        <v>203</v>
      </c>
      <c r="C268" s="29">
        <v>2000</v>
      </c>
      <c r="D268" s="113">
        <v>2000000</v>
      </c>
      <c r="E268" s="89">
        <v>331</v>
      </c>
      <c r="F268" s="90">
        <v>4122</v>
      </c>
    </row>
    <row r="269" spans="1:6" x14ac:dyDescent="0.25">
      <c r="A269" s="87">
        <v>42684</v>
      </c>
      <c r="B269" s="109" t="s">
        <v>204</v>
      </c>
      <c r="C269" s="29">
        <v>200</v>
      </c>
      <c r="D269" s="113">
        <v>200000</v>
      </c>
      <c r="E269" s="89">
        <v>331</v>
      </c>
      <c r="F269" s="90">
        <v>4122</v>
      </c>
    </row>
    <row r="270" spans="1:6" x14ac:dyDescent="0.25">
      <c r="A270" s="87">
        <v>42710</v>
      </c>
      <c r="B270" s="109" t="s">
        <v>205</v>
      </c>
      <c r="C270" s="29">
        <v>5132</v>
      </c>
      <c r="D270" s="113">
        <f>356000+453000+169000+256000+287000+146000+304000+1406000+720000+1035000</f>
        <v>5132000</v>
      </c>
      <c r="E270" s="89">
        <v>13305</v>
      </c>
      <c r="F270" s="90">
        <v>4122</v>
      </c>
    </row>
    <row r="271" spans="1:6" x14ac:dyDescent="0.25">
      <c r="A271" s="87">
        <v>42720</v>
      </c>
      <c r="B271" s="109" t="s">
        <v>206</v>
      </c>
      <c r="C271" s="29">
        <v>200</v>
      </c>
      <c r="D271" s="113">
        <v>200000</v>
      </c>
      <c r="E271" s="89">
        <v>342</v>
      </c>
      <c r="F271" s="90">
        <v>4122</v>
      </c>
    </row>
    <row r="272" spans="1:6" x14ac:dyDescent="0.25">
      <c r="A272" s="87">
        <v>42725</v>
      </c>
      <c r="B272" s="109" t="s">
        <v>199</v>
      </c>
      <c r="C272" s="29">
        <v>5.5219500000000004</v>
      </c>
      <c r="D272" s="116">
        <f>4693.65+828.3</f>
        <v>5521.95</v>
      </c>
      <c r="E272" s="89">
        <v>13014</v>
      </c>
      <c r="F272" s="90">
        <v>4122</v>
      </c>
    </row>
    <row r="273" spans="1:6" x14ac:dyDescent="0.25">
      <c r="A273" s="87">
        <v>42725</v>
      </c>
      <c r="B273" s="109" t="s">
        <v>141</v>
      </c>
      <c r="C273" s="29">
        <v>7.7742000000000004</v>
      </c>
      <c r="D273" s="116">
        <f>6608.07+1166.13</f>
        <v>7774.2</v>
      </c>
      <c r="E273" s="89">
        <v>13014</v>
      </c>
      <c r="F273" s="90">
        <v>4122</v>
      </c>
    </row>
    <row r="274" spans="1:6" x14ac:dyDescent="0.25">
      <c r="A274" s="87">
        <v>42725</v>
      </c>
      <c r="B274" s="109" t="s">
        <v>200</v>
      </c>
      <c r="C274" s="29">
        <v>13.4001</v>
      </c>
      <c r="D274" s="116">
        <f>11390.08+2010.02</f>
        <v>13400.1</v>
      </c>
      <c r="E274" s="89">
        <v>13014</v>
      </c>
      <c r="F274" s="90">
        <v>4122</v>
      </c>
    </row>
    <row r="275" spans="1:6" x14ac:dyDescent="0.25">
      <c r="A275" s="87">
        <v>42725</v>
      </c>
      <c r="B275" s="109" t="s">
        <v>197</v>
      </c>
      <c r="C275" s="29">
        <v>232.9572</v>
      </c>
      <c r="D275" s="116">
        <f>198013.62+34943.58</f>
        <v>232957.2</v>
      </c>
      <c r="E275" s="89">
        <v>13014</v>
      </c>
      <c r="F275" s="90">
        <v>4122</v>
      </c>
    </row>
    <row r="276" spans="1:6" x14ac:dyDescent="0.25">
      <c r="A276" s="87">
        <v>42725</v>
      </c>
      <c r="B276" s="109" t="s">
        <v>207</v>
      </c>
      <c r="C276" s="29">
        <v>54.195749999999997</v>
      </c>
      <c r="D276" s="116">
        <f>46066.38+8129.37</f>
        <v>54195.75</v>
      </c>
      <c r="E276" s="89">
        <v>13014</v>
      </c>
      <c r="F276" s="90">
        <v>4122</v>
      </c>
    </row>
    <row r="277" spans="1:6" x14ac:dyDescent="0.25">
      <c r="A277" s="87">
        <v>42725</v>
      </c>
      <c r="B277" s="109" t="s">
        <v>146</v>
      </c>
      <c r="C277" s="29">
        <v>51.651600000000002</v>
      </c>
      <c r="D277" s="116">
        <f>43903.86+7747.74</f>
        <v>51651.6</v>
      </c>
      <c r="E277" s="89">
        <v>13014</v>
      </c>
      <c r="F277" s="90">
        <v>4122</v>
      </c>
    </row>
    <row r="278" spans="1:6" x14ac:dyDescent="0.25">
      <c r="A278" s="87">
        <v>42725</v>
      </c>
      <c r="B278" s="109" t="s">
        <v>142</v>
      </c>
      <c r="C278" s="29">
        <v>16.38</v>
      </c>
      <c r="D278" s="116">
        <f>13923+2457</f>
        <v>16380</v>
      </c>
      <c r="E278" s="89">
        <v>13014</v>
      </c>
      <c r="F278" s="90">
        <v>4122</v>
      </c>
    </row>
    <row r="279" spans="1:6" x14ac:dyDescent="0.25">
      <c r="A279" s="87"/>
      <c r="B279" s="109" t="s">
        <v>208</v>
      </c>
      <c r="C279" s="29">
        <v>60</v>
      </c>
      <c r="D279" s="113">
        <v>60000</v>
      </c>
      <c r="E279" s="89">
        <v>551</v>
      </c>
      <c r="F279" s="90">
        <v>4122</v>
      </c>
    </row>
    <row r="280" spans="1:6" x14ac:dyDescent="0.25">
      <c r="A280" s="87"/>
      <c r="B280" s="109" t="s">
        <v>209</v>
      </c>
      <c r="C280" s="29">
        <v>1000</v>
      </c>
      <c r="D280" s="113">
        <f>1000000-760</f>
        <v>999240</v>
      </c>
      <c r="E280" s="89">
        <v>341</v>
      </c>
      <c r="F280" s="90">
        <v>4122</v>
      </c>
    </row>
    <row r="281" spans="1:6" x14ac:dyDescent="0.25">
      <c r="A281" s="87"/>
      <c r="B281" s="109" t="s">
        <v>210</v>
      </c>
      <c r="C281" s="29">
        <v>85</v>
      </c>
      <c r="D281" s="113">
        <v>85000</v>
      </c>
      <c r="E281" s="89">
        <v>551</v>
      </c>
      <c r="F281" s="90">
        <v>4122</v>
      </c>
    </row>
    <row r="282" spans="1:6" x14ac:dyDescent="0.25">
      <c r="A282" s="87"/>
      <c r="B282" s="109" t="s">
        <v>211</v>
      </c>
      <c r="C282" s="29">
        <v>60</v>
      </c>
      <c r="D282" s="113">
        <v>60000</v>
      </c>
      <c r="E282" s="89">
        <v>551</v>
      </c>
      <c r="F282" s="90">
        <v>4122</v>
      </c>
    </row>
    <row r="283" spans="1:6" x14ac:dyDescent="0.25">
      <c r="A283" s="87"/>
      <c r="B283" s="109" t="s">
        <v>212</v>
      </c>
      <c r="C283" s="29">
        <v>500</v>
      </c>
      <c r="D283" s="113">
        <v>500000</v>
      </c>
      <c r="E283" s="89">
        <v>311</v>
      </c>
      <c r="F283" s="90">
        <v>4122</v>
      </c>
    </row>
    <row r="284" spans="1:6" x14ac:dyDescent="0.25">
      <c r="A284" s="87"/>
      <c r="B284" s="117" t="s">
        <v>213</v>
      </c>
      <c r="C284" s="29">
        <v>40</v>
      </c>
      <c r="D284" s="113">
        <v>40000</v>
      </c>
      <c r="E284" s="89">
        <v>551</v>
      </c>
      <c r="F284" s="90">
        <v>4122</v>
      </c>
    </row>
    <row r="285" spans="1:6" x14ac:dyDescent="0.25">
      <c r="A285" s="87"/>
      <c r="B285" s="117" t="s">
        <v>214</v>
      </c>
      <c r="C285" s="29">
        <v>45</v>
      </c>
      <c r="D285" s="113">
        <v>45000</v>
      </c>
      <c r="E285" s="89">
        <v>551</v>
      </c>
      <c r="F285" s="90">
        <v>4122</v>
      </c>
    </row>
    <row r="286" spans="1:6" x14ac:dyDescent="0.25">
      <c r="A286" s="87"/>
      <c r="B286" s="117" t="s">
        <v>215</v>
      </c>
      <c r="C286" s="29">
        <v>20</v>
      </c>
      <c r="D286" s="113">
        <v>20000</v>
      </c>
      <c r="E286" s="89">
        <v>433</v>
      </c>
      <c r="F286" s="90">
        <v>4122</v>
      </c>
    </row>
    <row r="287" spans="1:6" x14ac:dyDescent="0.25">
      <c r="A287" s="87"/>
      <c r="B287" s="117" t="s">
        <v>216</v>
      </c>
      <c r="C287" s="29">
        <v>80</v>
      </c>
      <c r="D287" s="113">
        <v>80000</v>
      </c>
      <c r="E287" s="89">
        <v>551</v>
      </c>
      <c r="F287" s="90">
        <v>4122</v>
      </c>
    </row>
    <row r="288" spans="1:6" x14ac:dyDescent="0.25">
      <c r="A288" s="87"/>
      <c r="B288" s="109" t="s">
        <v>217</v>
      </c>
      <c r="C288" s="29">
        <v>90</v>
      </c>
      <c r="D288" s="113">
        <v>90000</v>
      </c>
      <c r="E288" s="89">
        <v>551</v>
      </c>
      <c r="F288" s="90">
        <v>4122</v>
      </c>
    </row>
    <row r="289" spans="1:6" x14ac:dyDescent="0.25">
      <c r="A289" s="87"/>
      <c r="B289" s="109" t="s">
        <v>218</v>
      </c>
      <c r="C289" s="29">
        <v>90</v>
      </c>
      <c r="D289" s="113">
        <v>90000</v>
      </c>
      <c r="E289" s="89">
        <v>551</v>
      </c>
      <c r="F289" s="90">
        <v>4122</v>
      </c>
    </row>
    <row r="290" spans="1:6" x14ac:dyDescent="0.25">
      <c r="A290" s="87"/>
      <c r="B290" s="106" t="s">
        <v>219</v>
      </c>
      <c r="C290" s="29">
        <v>1400</v>
      </c>
      <c r="D290" s="113">
        <v>1400000</v>
      </c>
      <c r="E290" s="89">
        <v>311</v>
      </c>
      <c r="F290" s="90">
        <v>4122</v>
      </c>
    </row>
    <row r="291" spans="1:6" x14ac:dyDescent="0.25">
      <c r="A291" s="87"/>
      <c r="B291" s="106" t="s">
        <v>220</v>
      </c>
      <c r="C291" s="29">
        <v>72</v>
      </c>
      <c r="D291" s="113">
        <v>72000</v>
      </c>
      <c r="E291" s="89">
        <v>331</v>
      </c>
      <c r="F291" s="90">
        <v>4122</v>
      </c>
    </row>
    <row r="292" spans="1:6" x14ac:dyDescent="0.25">
      <c r="A292" s="87"/>
      <c r="B292" s="109" t="s">
        <v>221</v>
      </c>
      <c r="C292" s="29">
        <v>80</v>
      </c>
      <c r="D292" s="113">
        <v>80000</v>
      </c>
      <c r="E292" s="89">
        <v>101</v>
      </c>
      <c r="F292" s="90">
        <v>4122</v>
      </c>
    </row>
    <row r="293" spans="1:6" x14ac:dyDescent="0.25">
      <c r="A293" s="87"/>
      <c r="B293" s="109" t="s">
        <v>222</v>
      </c>
      <c r="C293" s="29">
        <v>25</v>
      </c>
      <c r="D293" s="113">
        <v>25000</v>
      </c>
      <c r="E293" s="89">
        <v>331</v>
      </c>
      <c r="F293" s="90">
        <v>4122</v>
      </c>
    </row>
    <row r="294" spans="1:6" x14ac:dyDescent="0.25">
      <c r="A294" s="87"/>
      <c r="B294" s="109" t="s">
        <v>223</v>
      </c>
      <c r="C294" s="29">
        <v>70</v>
      </c>
      <c r="D294" s="29">
        <v>70000</v>
      </c>
      <c r="E294" s="89">
        <v>331</v>
      </c>
      <c r="F294" s="90">
        <v>4122</v>
      </c>
    </row>
    <row r="295" spans="1:6" x14ac:dyDescent="0.25">
      <c r="A295" s="87"/>
      <c r="B295" s="108"/>
      <c r="C295" s="29"/>
      <c r="D295" s="29"/>
      <c r="E295" s="89"/>
      <c r="F295" s="90"/>
    </row>
    <row r="296" spans="1:6" x14ac:dyDescent="0.25">
      <c r="A296" s="87"/>
      <c r="B296" s="96" t="s">
        <v>224</v>
      </c>
      <c r="C296" s="92">
        <f>SUM(C297:C304)</f>
        <v>7568.9058299999997</v>
      </c>
      <c r="D296" s="92">
        <f>SUM(D297:D304)</f>
        <v>7568905.8300000001</v>
      </c>
      <c r="E296" s="89"/>
      <c r="F296" s="90"/>
    </row>
    <row r="297" spans="1:6" x14ac:dyDescent="0.25">
      <c r="A297" s="87">
        <v>42412</v>
      </c>
      <c r="B297" s="108" t="s">
        <v>225</v>
      </c>
      <c r="C297" s="29">
        <v>1256.5098499999999</v>
      </c>
      <c r="D297" s="29">
        <v>1256509.8500000001</v>
      </c>
      <c r="E297" s="89">
        <v>86005</v>
      </c>
      <c r="F297" s="90">
        <v>4123</v>
      </c>
    </row>
    <row r="298" spans="1:6" x14ac:dyDescent="0.25">
      <c r="A298" s="87">
        <v>42416</v>
      </c>
      <c r="B298" s="108" t="s">
        <v>226</v>
      </c>
      <c r="C298" s="29">
        <v>2007.4280000000001</v>
      </c>
      <c r="D298" s="29">
        <v>2007428</v>
      </c>
      <c r="E298" s="89">
        <v>86005</v>
      </c>
      <c r="F298" s="90">
        <v>4123</v>
      </c>
    </row>
    <row r="299" spans="1:6" x14ac:dyDescent="0.25">
      <c r="A299" s="87">
        <v>42416</v>
      </c>
      <c r="B299" s="108" t="s">
        <v>226</v>
      </c>
      <c r="C299" s="29">
        <v>177.126</v>
      </c>
      <c r="D299" s="29">
        <v>177126</v>
      </c>
      <c r="E299" s="89">
        <v>86001</v>
      </c>
      <c r="F299" s="90">
        <v>4123</v>
      </c>
    </row>
    <row r="300" spans="1:6" x14ac:dyDescent="0.25">
      <c r="A300" s="87">
        <v>42451</v>
      </c>
      <c r="B300" s="118" t="s">
        <v>227</v>
      </c>
      <c r="C300" s="29">
        <v>37.531419999999997</v>
      </c>
      <c r="D300" s="29">
        <v>37531.42</v>
      </c>
      <c r="E300" s="89">
        <v>86005</v>
      </c>
      <c r="F300" s="90">
        <v>4123</v>
      </c>
    </row>
    <row r="301" spans="1:6" x14ac:dyDescent="0.25">
      <c r="A301" s="87">
        <v>42451</v>
      </c>
      <c r="B301" s="118" t="s">
        <v>228</v>
      </c>
      <c r="C301" s="29">
        <v>9.4511699999999994</v>
      </c>
      <c r="D301" s="29">
        <v>9451.17</v>
      </c>
      <c r="E301" s="89">
        <v>86005</v>
      </c>
      <c r="F301" s="90">
        <v>4123</v>
      </c>
    </row>
    <row r="302" spans="1:6" x14ac:dyDescent="0.25">
      <c r="A302" s="87">
        <v>42503</v>
      </c>
      <c r="B302" s="118" t="s">
        <v>229</v>
      </c>
      <c r="C302" s="29">
        <v>3412.33295</v>
      </c>
      <c r="D302" s="29">
        <v>3412332.95</v>
      </c>
      <c r="E302" s="89">
        <v>86005</v>
      </c>
      <c r="F302" s="90">
        <v>4123</v>
      </c>
    </row>
    <row r="303" spans="1:6" x14ac:dyDescent="0.25">
      <c r="A303" s="87">
        <v>42520</v>
      </c>
      <c r="B303" s="119" t="s">
        <v>230</v>
      </c>
      <c r="C303" s="29">
        <v>617.52643999999998</v>
      </c>
      <c r="D303" s="29">
        <v>617526.43999999994</v>
      </c>
      <c r="E303" s="89">
        <v>86005</v>
      </c>
      <c r="F303" s="90">
        <v>4123</v>
      </c>
    </row>
    <row r="304" spans="1:6" x14ac:dyDescent="0.25">
      <c r="A304" s="87">
        <v>42531</v>
      </c>
      <c r="B304" s="109" t="s">
        <v>231</v>
      </c>
      <c r="C304" s="29">
        <v>51</v>
      </c>
      <c r="D304" s="29">
        <v>51000</v>
      </c>
      <c r="E304" s="89">
        <v>86005</v>
      </c>
      <c r="F304" s="90">
        <v>4123</v>
      </c>
    </row>
    <row r="305" spans="1:6" x14ac:dyDescent="0.25">
      <c r="A305" s="87"/>
      <c r="B305" s="110"/>
      <c r="C305" s="29"/>
      <c r="D305" s="29"/>
      <c r="E305" s="89"/>
      <c r="F305" s="90"/>
    </row>
    <row r="306" spans="1:6" x14ac:dyDescent="0.25">
      <c r="A306" s="87"/>
      <c r="B306" s="120" t="s">
        <v>232</v>
      </c>
      <c r="C306" s="96">
        <f>+SUM(C307:C308)</f>
        <v>2099</v>
      </c>
      <c r="D306" s="96">
        <f>+SUM(D307:D309)</f>
        <v>2116180.2800000003</v>
      </c>
      <c r="E306" s="89"/>
      <c r="F306" s="90"/>
    </row>
    <row r="307" spans="1:6" x14ac:dyDescent="0.25">
      <c r="A307" s="87">
        <v>42403</v>
      </c>
      <c r="B307" s="108" t="s">
        <v>233</v>
      </c>
      <c r="C307" s="29">
        <v>1897</v>
      </c>
      <c r="D307" s="29">
        <v>1896740.71</v>
      </c>
      <c r="E307" s="89"/>
      <c r="F307" s="90">
        <v>4152</v>
      </c>
    </row>
    <row r="308" spans="1:6" x14ac:dyDescent="0.25">
      <c r="A308" s="87">
        <v>42487</v>
      </c>
      <c r="B308" s="88" t="s">
        <v>234</v>
      </c>
      <c r="C308" s="93">
        <v>202</v>
      </c>
      <c r="D308" s="94">
        <v>201417.12</v>
      </c>
      <c r="E308" s="95"/>
      <c r="F308" s="90">
        <v>4152</v>
      </c>
    </row>
    <row r="309" spans="1:6" x14ac:dyDescent="0.25">
      <c r="A309" s="87"/>
      <c r="B309" s="88" t="s">
        <v>235</v>
      </c>
      <c r="C309" s="93"/>
      <c r="D309" s="29">
        <v>18022.45</v>
      </c>
      <c r="E309" s="95"/>
      <c r="F309" s="90">
        <v>4152</v>
      </c>
    </row>
    <row r="310" spans="1:6" x14ac:dyDescent="0.25">
      <c r="A310" s="121"/>
      <c r="B310" s="122"/>
      <c r="C310" s="123"/>
      <c r="D310" s="124"/>
      <c r="E310" s="125"/>
      <c r="F310" s="126"/>
    </row>
    <row r="311" spans="1:6" x14ac:dyDescent="0.25">
      <c r="A311" s="12"/>
      <c r="B311" s="36" t="s">
        <v>236</v>
      </c>
      <c r="C311" s="18">
        <f>+C9+C15+C19+C23+C49+C90+C100+C115+C118+C142+C166+C174+C180+C296+C306+C6+C111</f>
        <v>350210.51874999999</v>
      </c>
      <c r="D311" s="18">
        <f>+D9+D15+D19+D23+D49+D90+D100+D115+D118+D142+D166+D174+D180+D296+D306+D6+D111</f>
        <v>347724360.02999985</v>
      </c>
      <c r="E311" s="37"/>
      <c r="F311" s="24"/>
    </row>
    <row r="312" spans="1:6" ht="16.5" thickBot="1" x14ac:dyDescent="0.3">
      <c r="A312" s="38"/>
      <c r="B312" s="39"/>
      <c r="C312" s="40"/>
      <c r="D312" s="40"/>
      <c r="E312" s="41"/>
      <c r="F312" s="42"/>
    </row>
    <row r="313" spans="1:6" x14ac:dyDescent="0.25">
      <c r="A313" s="43"/>
      <c r="B313" s="7"/>
      <c r="C313" s="7"/>
      <c r="D313" s="7"/>
      <c r="E313" s="44"/>
      <c r="F313" s="44"/>
    </row>
    <row r="314" spans="1:6" ht="16.5" thickBot="1" x14ac:dyDescent="0.3">
      <c r="A314" s="43"/>
      <c r="B314" s="7"/>
      <c r="C314" s="7"/>
      <c r="D314" s="7"/>
      <c r="E314" s="44"/>
      <c r="F314" s="44"/>
    </row>
    <row r="315" spans="1:6" x14ac:dyDescent="0.25">
      <c r="A315" s="138" t="s">
        <v>315</v>
      </c>
      <c r="B315" s="45"/>
      <c r="C315" s="45"/>
      <c r="D315" s="45"/>
      <c r="E315" s="46"/>
      <c r="F315" s="46"/>
    </row>
    <row r="316" spans="1:6" ht="16.5" thickBot="1" x14ac:dyDescent="0.3">
      <c r="A316" s="139"/>
      <c r="B316" s="47" t="s">
        <v>237</v>
      </c>
      <c r="C316" s="47" t="s">
        <v>3</v>
      </c>
      <c r="D316" s="47" t="s">
        <v>4</v>
      </c>
      <c r="E316" s="48" t="s">
        <v>5</v>
      </c>
      <c r="F316" s="48" t="s">
        <v>6</v>
      </c>
    </row>
    <row r="317" spans="1:6" x14ac:dyDescent="0.25">
      <c r="A317" s="49"/>
      <c r="B317" s="17" t="s">
        <v>15</v>
      </c>
      <c r="C317" s="28">
        <f>+SUM(C318:C342)</f>
        <v>2261.7325899999996</v>
      </c>
      <c r="D317" s="28">
        <f>+SUM(D318:D342)</f>
        <v>2261732.5900000008</v>
      </c>
      <c r="E317" s="50"/>
      <c r="F317" s="50"/>
    </row>
    <row r="318" spans="1:6" x14ac:dyDescent="0.25">
      <c r="A318" s="12">
        <v>42482</v>
      </c>
      <c r="B318" s="13" t="s">
        <v>238</v>
      </c>
      <c r="C318" s="20">
        <v>73.717429999999993</v>
      </c>
      <c r="D318" s="21">
        <v>73717.429999999993</v>
      </c>
      <c r="E318" s="22">
        <v>90877</v>
      </c>
      <c r="F318" s="16">
        <v>4213</v>
      </c>
    </row>
    <row r="319" spans="1:6" x14ac:dyDescent="0.25">
      <c r="A319" s="12">
        <v>42485</v>
      </c>
      <c r="B319" s="13" t="s">
        <v>239</v>
      </c>
      <c r="C319" s="30">
        <v>20.137560000000001</v>
      </c>
      <c r="D319" s="130">
        <v>20137.560000000001</v>
      </c>
      <c r="E319" s="22">
        <v>90877</v>
      </c>
      <c r="F319" s="16">
        <v>4213</v>
      </c>
    </row>
    <row r="320" spans="1:6" x14ac:dyDescent="0.25">
      <c r="A320" s="12">
        <v>42485</v>
      </c>
      <c r="B320" s="13" t="s">
        <v>240</v>
      </c>
      <c r="C320" s="30">
        <v>46.006399999999999</v>
      </c>
      <c r="D320" s="130">
        <v>46006.400000000001</v>
      </c>
      <c r="E320" s="22">
        <v>90877</v>
      </c>
      <c r="F320" s="16">
        <v>4213</v>
      </c>
    </row>
    <row r="321" spans="1:6" x14ac:dyDescent="0.25">
      <c r="A321" s="12">
        <v>42485</v>
      </c>
      <c r="B321" s="13" t="s">
        <v>241</v>
      </c>
      <c r="C321" s="30">
        <v>105.58069999999999</v>
      </c>
      <c r="D321" s="130">
        <v>105580.7</v>
      </c>
      <c r="E321" s="22">
        <v>90877</v>
      </c>
      <c r="F321" s="16">
        <v>4213</v>
      </c>
    </row>
    <row r="322" spans="1:6" x14ac:dyDescent="0.25">
      <c r="A322" s="12">
        <v>42488</v>
      </c>
      <c r="B322" s="13" t="s">
        <v>242</v>
      </c>
      <c r="C322" s="30">
        <v>137.48746</v>
      </c>
      <c r="D322" s="130">
        <v>137487.46</v>
      </c>
      <c r="E322" s="22">
        <v>90877</v>
      </c>
      <c r="F322" s="16">
        <v>4213</v>
      </c>
    </row>
    <row r="323" spans="1:6" x14ac:dyDescent="0.25">
      <c r="A323" s="12">
        <v>42524</v>
      </c>
      <c r="B323" s="13" t="s">
        <v>243</v>
      </c>
      <c r="C323" s="30">
        <v>817.73598000000004</v>
      </c>
      <c r="D323" s="130">
        <v>817735.98</v>
      </c>
      <c r="E323" s="22">
        <v>90877</v>
      </c>
      <c r="F323" s="16">
        <v>4213</v>
      </c>
    </row>
    <row r="324" spans="1:6" x14ac:dyDescent="0.25">
      <c r="A324" s="12">
        <v>42524</v>
      </c>
      <c r="B324" s="13" t="s">
        <v>244</v>
      </c>
      <c r="C324" s="30">
        <v>10.282360000000001</v>
      </c>
      <c r="D324" s="130">
        <v>10282.36</v>
      </c>
      <c r="E324" s="22">
        <v>90877</v>
      </c>
      <c r="F324" s="16">
        <v>4213</v>
      </c>
    </row>
    <row r="325" spans="1:6" x14ac:dyDescent="0.25">
      <c r="A325" s="12">
        <v>42530</v>
      </c>
      <c r="B325" s="13" t="s">
        <v>245</v>
      </c>
      <c r="C325" s="30">
        <v>4.7794999999999996</v>
      </c>
      <c r="D325" s="130">
        <v>4779.5</v>
      </c>
      <c r="E325" s="22">
        <v>90877</v>
      </c>
      <c r="F325" s="16">
        <v>4213</v>
      </c>
    </row>
    <row r="326" spans="1:6" x14ac:dyDescent="0.25">
      <c r="A326" s="12">
        <v>42530</v>
      </c>
      <c r="B326" s="13" t="s">
        <v>246</v>
      </c>
      <c r="C326" s="30">
        <v>2.5409999999999999</v>
      </c>
      <c r="D326" s="130">
        <v>2541</v>
      </c>
      <c r="E326" s="22">
        <v>90877</v>
      </c>
      <c r="F326" s="16">
        <v>4213</v>
      </c>
    </row>
    <row r="327" spans="1:6" x14ac:dyDescent="0.25">
      <c r="A327" s="12">
        <v>42530</v>
      </c>
      <c r="B327" s="13" t="s">
        <v>247</v>
      </c>
      <c r="C327" s="30">
        <v>3.1548500000000002</v>
      </c>
      <c r="D327" s="130">
        <v>3154.85</v>
      </c>
      <c r="E327" s="22">
        <v>90877</v>
      </c>
      <c r="F327" s="16">
        <v>4213</v>
      </c>
    </row>
    <row r="328" spans="1:6" x14ac:dyDescent="0.25">
      <c r="A328" s="12">
        <v>42531</v>
      </c>
      <c r="B328" s="13" t="s">
        <v>248</v>
      </c>
      <c r="C328" s="30">
        <v>9.5361999999999991</v>
      </c>
      <c r="D328" s="130">
        <v>9536.2000000000007</v>
      </c>
      <c r="E328" s="22">
        <v>90877</v>
      </c>
      <c r="F328" s="16">
        <v>4213</v>
      </c>
    </row>
    <row r="329" spans="1:6" x14ac:dyDescent="0.25">
      <c r="A329" s="12">
        <v>42531</v>
      </c>
      <c r="B329" s="13" t="s">
        <v>249</v>
      </c>
      <c r="C329" s="30">
        <v>185.94049000000001</v>
      </c>
      <c r="D329" s="130">
        <v>185940.49</v>
      </c>
      <c r="E329" s="22">
        <v>90877</v>
      </c>
      <c r="F329" s="16">
        <v>4213</v>
      </c>
    </row>
    <row r="330" spans="1:6" x14ac:dyDescent="0.25">
      <c r="A330" s="12">
        <v>42531</v>
      </c>
      <c r="B330" s="13" t="s">
        <v>242</v>
      </c>
      <c r="C330" s="30">
        <v>3.3166000000000002</v>
      </c>
      <c r="D330" s="130">
        <v>3316.6</v>
      </c>
      <c r="E330" s="22">
        <v>90877</v>
      </c>
      <c r="F330" s="16">
        <v>4213</v>
      </c>
    </row>
    <row r="331" spans="1:6" x14ac:dyDescent="0.25">
      <c r="A331" s="12">
        <v>42534</v>
      </c>
      <c r="B331" s="13" t="s">
        <v>250</v>
      </c>
      <c r="C331" s="30">
        <v>124.42518</v>
      </c>
      <c r="D331" s="130">
        <v>124425.18</v>
      </c>
      <c r="E331" s="22">
        <v>90877</v>
      </c>
      <c r="F331" s="16">
        <v>4213</v>
      </c>
    </row>
    <row r="332" spans="1:6" x14ac:dyDescent="0.25">
      <c r="A332" s="12">
        <v>42534</v>
      </c>
      <c r="B332" s="13" t="s">
        <v>251</v>
      </c>
      <c r="C332" s="30">
        <v>44.713349999999998</v>
      </c>
      <c r="D332" s="130">
        <v>44713.35</v>
      </c>
      <c r="E332" s="22">
        <v>90877</v>
      </c>
      <c r="F332" s="16">
        <v>4213</v>
      </c>
    </row>
    <row r="333" spans="1:6" x14ac:dyDescent="0.25">
      <c r="A333" s="12"/>
      <c r="B333" s="13" t="s">
        <v>252</v>
      </c>
      <c r="C333" s="30">
        <v>191.24600000000001</v>
      </c>
      <c r="D333" s="130">
        <v>191246</v>
      </c>
      <c r="E333" s="22">
        <v>90104</v>
      </c>
      <c r="F333" s="16">
        <v>4213</v>
      </c>
    </row>
    <row r="334" spans="1:6" x14ac:dyDescent="0.25">
      <c r="A334" s="12"/>
      <c r="B334" s="13" t="s">
        <v>253</v>
      </c>
      <c r="C334" s="30">
        <v>8.0830500000000001</v>
      </c>
      <c r="D334" s="130">
        <v>8083.05</v>
      </c>
      <c r="E334" s="22">
        <v>90877</v>
      </c>
      <c r="F334" s="16">
        <v>4213</v>
      </c>
    </row>
    <row r="335" spans="1:6" x14ac:dyDescent="0.25">
      <c r="A335" s="12"/>
      <c r="B335" s="13" t="s">
        <v>254</v>
      </c>
      <c r="C335" s="30">
        <v>341.96100000000001</v>
      </c>
      <c r="D335" s="130">
        <f>341961</f>
        <v>341961</v>
      </c>
      <c r="E335" s="22">
        <v>90104</v>
      </c>
      <c r="F335" s="16">
        <v>4213</v>
      </c>
    </row>
    <row r="336" spans="1:6" x14ac:dyDescent="0.25">
      <c r="A336" s="12"/>
      <c r="B336" s="13" t="s">
        <v>254</v>
      </c>
      <c r="C336" s="30">
        <v>37.996000000000002</v>
      </c>
      <c r="D336" s="130">
        <v>37996</v>
      </c>
      <c r="E336" s="22">
        <v>90578</v>
      </c>
      <c r="F336" s="16">
        <v>4213</v>
      </c>
    </row>
    <row r="337" spans="1:6" x14ac:dyDescent="0.25">
      <c r="A337" s="12"/>
      <c r="B337" s="13" t="s">
        <v>255</v>
      </c>
      <c r="C337" s="30">
        <v>59.93806</v>
      </c>
      <c r="D337" s="130">
        <v>59938.06</v>
      </c>
      <c r="E337" s="22">
        <v>90877</v>
      </c>
      <c r="F337" s="16">
        <v>4213</v>
      </c>
    </row>
    <row r="338" spans="1:6" x14ac:dyDescent="0.25">
      <c r="A338" s="12"/>
      <c r="B338" s="13" t="s">
        <v>256</v>
      </c>
      <c r="C338" s="30">
        <f>15.17166+2.3716</f>
        <v>17.54326</v>
      </c>
      <c r="D338" s="130">
        <f>15171.66+2371.6</f>
        <v>17543.259999999998</v>
      </c>
      <c r="E338" s="22">
        <v>90877</v>
      </c>
      <c r="F338" s="16">
        <v>4213</v>
      </c>
    </row>
    <row r="339" spans="1:6" x14ac:dyDescent="0.25">
      <c r="A339" s="12"/>
      <c r="B339" s="13" t="s">
        <v>257</v>
      </c>
      <c r="C339" s="30">
        <v>5.1964899999999998</v>
      </c>
      <c r="D339" s="130">
        <v>5196.49</v>
      </c>
      <c r="E339" s="22">
        <v>90877</v>
      </c>
      <c r="F339" s="16">
        <v>4213</v>
      </c>
    </row>
    <row r="340" spans="1:6" x14ac:dyDescent="0.25">
      <c r="A340" s="12"/>
      <c r="B340" s="13" t="s">
        <v>258</v>
      </c>
      <c r="C340" s="30">
        <v>2.5467</v>
      </c>
      <c r="D340" s="130">
        <v>2546.6999999999998</v>
      </c>
      <c r="E340" s="22">
        <v>90877</v>
      </c>
      <c r="F340" s="16">
        <v>4213</v>
      </c>
    </row>
    <row r="341" spans="1:6" x14ac:dyDescent="0.25">
      <c r="A341" s="12"/>
      <c r="B341" s="13" t="s">
        <v>259</v>
      </c>
      <c r="C341" s="30">
        <v>3.6639900000000001</v>
      </c>
      <c r="D341" s="130">
        <f>446.25+3217.74</f>
        <v>3663.99</v>
      </c>
      <c r="E341" s="22">
        <v>90877</v>
      </c>
      <c r="F341" s="16">
        <v>4213</v>
      </c>
    </row>
    <row r="342" spans="1:6" x14ac:dyDescent="0.25">
      <c r="A342" s="12"/>
      <c r="B342" s="13" t="s">
        <v>260</v>
      </c>
      <c r="C342" s="30">
        <v>4.2029800000000002</v>
      </c>
      <c r="D342" s="130">
        <f>734.99+3467.99</f>
        <v>4202.9799999999996</v>
      </c>
      <c r="E342" s="22">
        <v>90877</v>
      </c>
      <c r="F342" s="16">
        <v>4213</v>
      </c>
    </row>
    <row r="343" spans="1:6" x14ac:dyDescent="0.25">
      <c r="A343" s="49"/>
      <c r="B343" s="131"/>
      <c r="C343" s="30"/>
      <c r="D343" s="132"/>
      <c r="E343" s="22"/>
      <c r="F343" s="22"/>
    </row>
    <row r="344" spans="1:6" x14ac:dyDescent="0.25">
      <c r="A344" s="49"/>
      <c r="B344" s="17" t="s">
        <v>319</v>
      </c>
      <c r="C344" s="23">
        <f>+C345+C346</f>
        <v>3816.8044999999997</v>
      </c>
      <c r="D344" s="23">
        <f>+D345+D346</f>
        <v>3816804.5</v>
      </c>
      <c r="E344" s="22"/>
      <c r="F344" s="22"/>
    </row>
    <row r="345" spans="1:6" x14ac:dyDescent="0.25">
      <c r="A345" s="12"/>
      <c r="B345" s="13" t="s">
        <v>261</v>
      </c>
      <c r="C345" s="30">
        <v>3393.3049999999998</v>
      </c>
      <c r="D345" s="130">
        <f>343599+1004253+1147937+897516</f>
        <v>3393305</v>
      </c>
      <c r="E345" s="22">
        <v>14984</v>
      </c>
      <c r="F345" s="16">
        <v>4216</v>
      </c>
    </row>
    <row r="346" spans="1:6" x14ac:dyDescent="0.25">
      <c r="A346" s="12"/>
      <c r="B346" s="13" t="s">
        <v>262</v>
      </c>
      <c r="C346" s="30">
        <v>423.49950000000001</v>
      </c>
      <c r="D346" s="130">
        <v>423499.5</v>
      </c>
      <c r="E346" s="22">
        <v>14984</v>
      </c>
      <c r="F346" s="16">
        <v>4216</v>
      </c>
    </row>
    <row r="347" spans="1:6" x14ac:dyDescent="0.25">
      <c r="A347" s="49"/>
      <c r="B347" s="13"/>
      <c r="C347" s="30"/>
      <c r="D347" s="132"/>
      <c r="E347" s="22"/>
      <c r="F347" s="22"/>
    </row>
    <row r="348" spans="1:6" x14ac:dyDescent="0.25">
      <c r="A348" s="49"/>
      <c r="B348" s="133" t="s">
        <v>320</v>
      </c>
      <c r="C348" s="23">
        <f>+C349</f>
        <v>100</v>
      </c>
      <c r="D348" s="23">
        <f>+D349</f>
        <v>100000</v>
      </c>
      <c r="E348" s="22"/>
      <c r="F348" s="22"/>
    </row>
    <row r="349" spans="1:6" x14ac:dyDescent="0.25">
      <c r="A349" s="49">
        <v>42606</v>
      </c>
      <c r="B349" s="13" t="s">
        <v>263</v>
      </c>
      <c r="C349" s="30">
        <v>100</v>
      </c>
      <c r="D349" s="30">
        <v>100000</v>
      </c>
      <c r="E349" s="22">
        <v>34941</v>
      </c>
      <c r="F349" s="22">
        <v>4216</v>
      </c>
    </row>
    <row r="350" spans="1:6" x14ac:dyDescent="0.25">
      <c r="A350" s="49"/>
      <c r="B350" s="134"/>
      <c r="C350" s="30"/>
      <c r="D350" s="23"/>
      <c r="E350" s="22"/>
      <c r="F350" s="22"/>
    </row>
    <row r="351" spans="1:6" x14ac:dyDescent="0.25">
      <c r="A351" s="49"/>
      <c r="B351" s="17" t="s">
        <v>134</v>
      </c>
      <c r="C351" s="23">
        <f>+SUM(C352:C378)</f>
        <v>30825.154660000004</v>
      </c>
      <c r="D351" s="23">
        <f>+SUM(D352:D378)</f>
        <v>30825154.659999993</v>
      </c>
      <c r="E351" s="22"/>
      <c r="F351" s="22"/>
    </row>
    <row r="352" spans="1:6" x14ac:dyDescent="0.25">
      <c r="A352" s="12">
        <v>42482</v>
      </c>
      <c r="B352" s="13" t="s">
        <v>238</v>
      </c>
      <c r="C352" s="30">
        <v>1253.1964499999999</v>
      </c>
      <c r="D352" s="130">
        <v>1253196.45</v>
      </c>
      <c r="E352" s="22">
        <v>15835</v>
      </c>
      <c r="F352" s="16">
        <v>4216</v>
      </c>
    </row>
    <row r="353" spans="1:6" x14ac:dyDescent="0.25">
      <c r="A353" s="12">
        <v>42482</v>
      </c>
      <c r="B353" s="13" t="s">
        <v>239</v>
      </c>
      <c r="C353" s="30">
        <v>342.33866</v>
      </c>
      <c r="D353" s="130">
        <v>342338.66</v>
      </c>
      <c r="E353" s="22">
        <v>15835</v>
      </c>
      <c r="F353" s="16">
        <v>4216</v>
      </c>
    </row>
    <row r="354" spans="1:6" x14ac:dyDescent="0.25">
      <c r="A354" s="12">
        <v>42482</v>
      </c>
      <c r="B354" s="13" t="s">
        <v>240</v>
      </c>
      <c r="C354" s="30">
        <v>782.10895000000005</v>
      </c>
      <c r="D354" s="130">
        <v>782108.95</v>
      </c>
      <c r="E354" s="22">
        <v>15835</v>
      </c>
      <c r="F354" s="16">
        <v>4216</v>
      </c>
    </row>
    <row r="355" spans="1:6" x14ac:dyDescent="0.25">
      <c r="A355" s="12">
        <v>42482</v>
      </c>
      <c r="B355" s="13" t="s">
        <v>241</v>
      </c>
      <c r="C355" s="30">
        <v>1794.8719000000001</v>
      </c>
      <c r="D355" s="130">
        <v>1794871.9</v>
      </c>
      <c r="E355" s="22">
        <v>15835</v>
      </c>
      <c r="F355" s="16">
        <v>4216</v>
      </c>
    </row>
    <row r="356" spans="1:6" x14ac:dyDescent="0.25">
      <c r="A356" s="12">
        <v>42482</v>
      </c>
      <c r="B356" s="13" t="s">
        <v>264</v>
      </c>
      <c r="C356" s="30">
        <v>1012.34539</v>
      </c>
      <c r="D356" s="130">
        <v>1012345.39</v>
      </c>
      <c r="E356" s="22">
        <v>15835</v>
      </c>
      <c r="F356" s="16">
        <v>4216</v>
      </c>
    </row>
    <row r="357" spans="1:6" x14ac:dyDescent="0.25">
      <c r="A357" s="12">
        <v>42487</v>
      </c>
      <c r="B357" s="13" t="s">
        <v>242</v>
      </c>
      <c r="C357" s="30">
        <v>2337.2869999999998</v>
      </c>
      <c r="D357" s="130">
        <v>2337287</v>
      </c>
      <c r="E357" s="22">
        <v>15835</v>
      </c>
      <c r="F357" s="16">
        <v>4216</v>
      </c>
    </row>
    <row r="358" spans="1:6" x14ac:dyDescent="0.25">
      <c r="A358" s="12">
        <v>42524</v>
      </c>
      <c r="B358" s="13" t="s">
        <v>244</v>
      </c>
      <c r="C358" s="30">
        <v>174.80020999999999</v>
      </c>
      <c r="D358" s="130">
        <v>174800.21</v>
      </c>
      <c r="E358" s="22">
        <v>15835</v>
      </c>
      <c r="F358" s="16">
        <v>4216</v>
      </c>
    </row>
    <row r="359" spans="1:6" x14ac:dyDescent="0.25">
      <c r="A359" s="12">
        <v>42524</v>
      </c>
      <c r="B359" s="13" t="s">
        <v>265</v>
      </c>
      <c r="C359" s="30">
        <v>701.36539000000005</v>
      </c>
      <c r="D359" s="130">
        <v>701365.39</v>
      </c>
      <c r="E359" s="22">
        <v>15835</v>
      </c>
      <c r="F359" s="16">
        <v>4216</v>
      </c>
    </row>
    <row r="360" spans="1:6" x14ac:dyDescent="0.25">
      <c r="A360" s="12">
        <v>42524</v>
      </c>
      <c r="B360" s="13" t="s">
        <v>243</v>
      </c>
      <c r="C360" s="30">
        <v>13901.51175</v>
      </c>
      <c r="D360" s="130">
        <v>13901511.75</v>
      </c>
      <c r="E360" s="22">
        <v>15825</v>
      </c>
      <c r="F360" s="16">
        <v>4216</v>
      </c>
    </row>
    <row r="361" spans="1:6" x14ac:dyDescent="0.25">
      <c r="A361" s="12">
        <v>42529</v>
      </c>
      <c r="B361" s="13" t="s">
        <v>266</v>
      </c>
      <c r="C361" s="30">
        <v>43.197000000000003</v>
      </c>
      <c r="D361" s="130">
        <v>43197</v>
      </c>
      <c r="E361" s="22">
        <v>15835</v>
      </c>
      <c r="F361" s="16">
        <v>4216</v>
      </c>
    </row>
    <row r="362" spans="1:6" x14ac:dyDescent="0.25">
      <c r="A362" s="12">
        <v>42529</v>
      </c>
      <c r="B362" s="13" t="s">
        <v>245</v>
      </c>
      <c r="C362" s="30">
        <v>81.251499999999993</v>
      </c>
      <c r="D362" s="130">
        <v>81251.5</v>
      </c>
      <c r="E362" s="22">
        <v>15835</v>
      </c>
      <c r="F362" s="16">
        <v>4216</v>
      </c>
    </row>
    <row r="363" spans="1:6" x14ac:dyDescent="0.25">
      <c r="A363" s="12">
        <v>42529</v>
      </c>
      <c r="B363" s="13" t="s">
        <v>247</v>
      </c>
      <c r="C363" s="30">
        <v>53.632449999999999</v>
      </c>
      <c r="D363" s="130">
        <v>53632.45</v>
      </c>
      <c r="E363" s="22">
        <v>15835</v>
      </c>
      <c r="F363" s="16">
        <v>4216</v>
      </c>
    </row>
    <row r="364" spans="1:6" x14ac:dyDescent="0.25">
      <c r="A364" s="12">
        <v>42534</v>
      </c>
      <c r="B364" s="13" t="s">
        <v>248</v>
      </c>
      <c r="C364" s="30">
        <v>162.11527000000001</v>
      </c>
      <c r="D364" s="130">
        <v>162115.26999999999</v>
      </c>
      <c r="E364" s="22">
        <v>15835</v>
      </c>
      <c r="F364" s="16">
        <v>4216</v>
      </c>
    </row>
    <row r="365" spans="1:6" x14ac:dyDescent="0.25">
      <c r="A365" s="12">
        <v>42534</v>
      </c>
      <c r="B365" s="13" t="s">
        <v>250</v>
      </c>
      <c r="C365" s="30">
        <v>2115.2281499999999</v>
      </c>
      <c r="D365" s="130">
        <v>2115228.15</v>
      </c>
      <c r="E365" s="22">
        <v>15835</v>
      </c>
      <c r="F365" s="16">
        <v>4216</v>
      </c>
    </row>
    <row r="366" spans="1:6" x14ac:dyDescent="0.25">
      <c r="A366" s="12">
        <v>42534</v>
      </c>
      <c r="B366" s="13" t="s">
        <v>251</v>
      </c>
      <c r="C366" s="30">
        <v>760.12694999999997</v>
      </c>
      <c r="D366" s="130">
        <v>760126.95</v>
      </c>
      <c r="E366" s="22">
        <v>15835</v>
      </c>
      <c r="F366" s="16">
        <v>4216</v>
      </c>
    </row>
    <row r="367" spans="1:6" x14ac:dyDescent="0.25">
      <c r="A367" s="12">
        <v>42534</v>
      </c>
      <c r="B367" s="13" t="s">
        <v>249</v>
      </c>
      <c r="C367" s="30">
        <v>3160.9883399999999</v>
      </c>
      <c r="D367" s="130">
        <v>3160988.34</v>
      </c>
      <c r="E367" s="22">
        <v>15835</v>
      </c>
      <c r="F367" s="16">
        <v>4216</v>
      </c>
    </row>
    <row r="368" spans="1:6" x14ac:dyDescent="0.25">
      <c r="A368" s="12">
        <v>42534</v>
      </c>
      <c r="B368" s="13" t="s">
        <v>242</v>
      </c>
      <c r="C368" s="30">
        <v>56.382359999999998</v>
      </c>
      <c r="D368" s="130">
        <v>56382.36</v>
      </c>
      <c r="E368" s="22">
        <v>15835</v>
      </c>
      <c r="F368" s="16">
        <v>4216</v>
      </c>
    </row>
    <row r="369" spans="1:6" x14ac:dyDescent="0.25">
      <c r="A369" s="12"/>
      <c r="B369" s="13" t="s">
        <v>267</v>
      </c>
      <c r="C369" s="30">
        <v>20.690989999999999</v>
      </c>
      <c r="D369" s="130">
        <v>20690.990000000002</v>
      </c>
      <c r="E369" s="22">
        <v>15828</v>
      </c>
      <c r="F369" s="16">
        <v>4216</v>
      </c>
    </row>
    <row r="370" spans="1:6" x14ac:dyDescent="0.25">
      <c r="A370" s="12"/>
      <c r="B370" s="13" t="s">
        <v>267</v>
      </c>
      <c r="C370" s="30">
        <v>351.74698999999998</v>
      </c>
      <c r="D370" s="130">
        <v>351746.99</v>
      </c>
      <c r="E370" s="22">
        <v>15829</v>
      </c>
      <c r="F370" s="16">
        <v>4216</v>
      </c>
    </row>
    <row r="371" spans="1:6" x14ac:dyDescent="0.25">
      <c r="A371" s="12"/>
      <c r="B371" s="13" t="s">
        <v>253</v>
      </c>
      <c r="C371" s="30">
        <v>137.41184999999999</v>
      </c>
      <c r="D371" s="130">
        <v>137411.85</v>
      </c>
      <c r="E371" s="22">
        <v>15835</v>
      </c>
      <c r="F371" s="16">
        <v>4216</v>
      </c>
    </row>
    <row r="372" spans="1:6" x14ac:dyDescent="0.25">
      <c r="A372" s="12"/>
      <c r="B372" s="13" t="s">
        <v>268</v>
      </c>
      <c r="C372" s="30">
        <v>1018.94831</v>
      </c>
      <c r="D372" s="130">
        <v>1018948.31</v>
      </c>
      <c r="E372" s="22">
        <v>15835</v>
      </c>
      <c r="F372" s="16">
        <v>4216</v>
      </c>
    </row>
    <row r="373" spans="1:6" x14ac:dyDescent="0.25">
      <c r="A373" s="12"/>
      <c r="B373" s="13" t="s">
        <v>256</v>
      </c>
      <c r="C373" s="30">
        <f>257.91833+40.3172</f>
        <v>298.23553000000004</v>
      </c>
      <c r="D373" s="130">
        <f>257918.33+40317.2</f>
        <v>298235.52999999997</v>
      </c>
      <c r="E373" s="22">
        <v>15835</v>
      </c>
      <c r="F373" s="16">
        <v>4216</v>
      </c>
    </row>
    <row r="374" spans="1:6" x14ac:dyDescent="0.25">
      <c r="A374" s="12"/>
      <c r="B374" s="13" t="s">
        <v>257</v>
      </c>
      <c r="C374" s="30">
        <v>88.340440000000001</v>
      </c>
      <c r="D374" s="130">
        <v>88340.44</v>
      </c>
      <c r="E374" s="22">
        <v>15835</v>
      </c>
      <c r="F374" s="16">
        <v>4216</v>
      </c>
    </row>
    <row r="375" spans="1:6" x14ac:dyDescent="0.25">
      <c r="A375" s="12"/>
      <c r="B375" s="13" t="s">
        <v>258</v>
      </c>
      <c r="C375" s="30">
        <v>43.293900000000001</v>
      </c>
      <c r="D375" s="130">
        <v>43293.9</v>
      </c>
      <c r="E375" s="22">
        <v>15835</v>
      </c>
      <c r="F375" s="16">
        <v>4216</v>
      </c>
    </row>
    <row r="376" spans="1:6" x14ac:dyDescent="0.25">
      <c r="A376" s="12"/>
      <c r="B376" s="13" t="s">
        <v>259</v>
      </c>
      <c r="C376" s="30">
        <v>62.287950000000002</v>
      </c>
      <c r="D376" s="130">
        <f>7586.25+54701.7</f>
        <v>62287.95</v>
      </c>
      <c r="E376" s="22">
        <v>15835</v>
      </c>
      <c r="F376" s="16">
        <v>4216</v>
      </c>
    </row>
    <row r="377" spans="1:6" x14ac:dyDescent="0.25">
      <c r="A377" s="12"/>
      <c r="B377" s="13" t="s">
        <v>260</v>
      </c>
      <c r="C377" s="30">
        <v>71.450980000000001</v>
      </c>
      <c r="D377" s="130">
        <f>12494.99+58955.99</f>
        <v>71450.98</v>
      </c>
      <c r="E377" s="22">
        <v>15835</v>
      </c>
      <c r="F377" s="16">
        <v>4216</v>
      </c>
    </row>
    <row r="378" spans="1:6" x14ac:dyDescent="0.25">
      <c r="A378" s="49"/>
      <c r="B378" s="131"/>
      <c r="C378" s="30"/>
      <c r="D378" s="130"/>
      <c r="E378" s="22"/>
      <c r="F378" s="22"/>
    </row>
    <row r="379" spans="1:6" x14ac:dyDescent="0.25">
      <c r="A379" s="49"/>
      <c r="B379" s="23" t="s">
        <v>316</v>
      </c>
      <c r="C379" s="23">
        <f>SUM(C380:C383)</f>
        <v>870.80079999999998</v>
      </c>
      <c r="D379" s="23">
        <f>SUM(D380:D383)</f>
        <v>870800.8</v>
      </c>
      <c r="E379" s="22"/>
      <c r="F379" s="22"/>
    </row>
    <row r="380" spans="1:6" x14ac:dyDescent="0.25">
      <c r="A380" s="12">
        <v>42473</v>
      </c>
      <c r="B380" s="13" t="s">
        <v>89</v>
      </c>
      <c r="C380" s="30">
        <v>12.842000000000001</v>
      </c>
      <c r="D380" s="130">
        <f>1927+10915</f>
        <v>12842</v>
      </c>
      <c r="E380" s="22">
        <v>13899</v>
      </c>
      <c r="F380" s="16">
        <v>4216</v>
      </c>
    </row>
    <row r="381" spans="1:6" x14ac:dyDescent="0.25">
      <c r="A381" s="49">
        <v>42524</v>
      </c>
      <c r="B381" s="31" t="s">
        <v>91</v>
      </c>
      <c r="C381" s="30">
        <v>511.19880000000001</v>
      </c>
      <c r="D381" s="14">
        <f>457388.4+53810.4</f>
        <v>511198.80000000005</v>
      </c>
      <c r="E381" s="22">
        <v>13013</v>
      </c>
      <c r="F381" s="22">
        <v>4216</v>
      </c>
    </row>
    <row r="382" spans="1:6" x14ac:dyDescent="0.25">
      <c r="A382" s="49">
        <v>42564</v>
      </c>
      <c r="B382" s="31" t="s">
        <v>93</v>
      </c>
      <c r="C382" s="30">
        <v>61.76</v>
      </c>
      <c r="D382" s="14">
        <f>59070.52+2689.48</f>
        <v>61760</v>
      </c>
      <c r="E382" s="22">
        <v>13013</v>
      </c>
      <c r="F382" s="22">
        <v>4216</v>
      </c>
    </row>
    <row r="383" spans="1:6" x14ac:dyDescent="0.25">
      <c r="A383" s="49">
        <v>42597</v>
      </c>
      <c r="B383" s="13" t="s">
        <v>94</v>
      </c>
      <c r="C383" s="30">
        <v>285</v>
      </c>
      <c r="D383" s="14">
        <f>255000+30000</f>
        <v>285000</v>
      </c>
      <c r="E383" s="22">
        <v>13013</v>
      </c>
      <c r="F383" s="22">
        <v>4216</v>
      </c>
    </row>
    <row r="384" spans="1:6" x14ac:dyDescent="0.25">
      <c r="A384" s="49"/>
      <c r="B384" s="135"/>
      <c r="C384" s="30"/>
      <c r="D384" s="30"/>
      <c r="E384" s="22"/>
      <c r="F384" s="22"/>
    </row>
    <row r="385" spans="1:6" x14ac:dyDescent="0.25">
      <c r="A385" s="49"/>
      <c r="B385" s="133" t="s">
        <v>96</v>
      </c>
      <c r="C385" s="23">
        <f>+C386++C387+C388+C389+C390+C391</f>
        <v>30478.939310000002</v>
      </c>
      <c r="D385" s="23">
        <f>+D386++D387+D388+D389+D390+D391</f>
        <v>30478939.310000002</v>
      </c>
      <c r="E385" s="22"/>
      <c r="F385" s="22"/>
    </row>
    <row r="386" spans="1:6" x14ac:dyDescent="0.25">
      <c r="A386" s="12">
        <v>42450</v>
      </c>
      <c r="B386" s="13" t="s">
        <v>269</v>
      </c>
      <c r="C386" s="30">
        <v>4600.2</v>
      </c>
      <c r="D386" s="130">
        <v>4600200</v>
      </c>
      <c r="E386" s="22">
        <v>17871</v>
      </c>
      <c r="F386" s="16">
        <v>4216</v>
      </c>
    </row>
    <row r="387" spans="1:6" x14ac:dyDescent="0.25">
      <c r="A387" s="12">
        <v>42468</v>
      </c>
      <c r="B387" s="13" t="s">
        <v>270</v>
      </c>
      <c r="C387" s="30">
        <v>15703.61342</v>
      </c>
      <c r="D387" s="130">
        <v>15703613.42</v>
      </c>
      <c r="E387" s="22">
        <v>17871</v>
      </c>
      <c r="F387" s="16">
        <v>4216</v>
      </c>
    </row>
    <row r="388" spans="1:6" x14ac:dyDescent="0.25">
      <c r="A388" s="12">
        <v>42468</v>
      </c>
      <c r="B388" s="13" t="s">
        <v>270</v>
      </c>
      <c r="C388" s="30">
        <v>2771.2258900000002</v>
      </c>
      <c r="D388" s="130">
        <v>2771225.89</v>
      </c>
      <c r="E388" s="22">
        <v>17870</v>
      </c>
      <c r="F388" s="16">
        <v>4216</v>
      </c>
    </row>
    <row r="389" spans="1:6" x14ac:dyDescent="0.25">
      <c r="A389" s="12">
        <v>42537</v>
      </c>
      <c r="B389" s="13" t="s">
        <v>269</v>
      </c>
      <c r="C389" s="30">
        <v>249.9</v>
      </c>
      <c r="D389" s="130">
        <v>249900</v>
      </c>
      <c r="E389" s="22">
        <v>17871</v>
      </c>
      <c r="F389" s="16">
        <v>4216</v>
      </c>
    </row>
    <row r="390" spans="1:6" x14ac:dyDescent="0.25">
      <c r="A390" s="12"/>
      <c r="B390" s="13" t="s">
        <v>271</v>
      </c>
      <c r="C390" s="30">
        <v>3154</v>
      </c>
      <c r="D390" s="130">
        <v>3154000</v>
      </c>
      <c r="E390" s="22">
        <v>17976</v>
      </c>
      <c r="F390" s="16">
        <v>4216</v>
      </c>
    </row>
    <row r="391" spans="1:6" x14ac:dyDescent="0.25">
      <c r="A391" s="12"/>
      <c r="B391" s="13" t="s">
        <v>272</v>
      </c>
      <c r="C391" s="30">
        <v>4000</v>
      </c>
      <c r="D391" s="130">
        <v>4000000</v>
      </c>
      <c r="E391" s="22">
        <v>17976</v>
      </c>
      <c r="F391" s="16">
        <v>4216</v>
      </c>
    </row>
    <row r="392" spans="1:6" x14ac:dyDescent="0.25">
      <c r="A392" s="49"/>
      <c r="B392" s="135"/>
      <c r="C392" s="30"/>
      <c r="D392" s="132"/>
      <c r="E392" s="22"/>
      <c r="F392" s="22"/>
    </row>
    <row r="393" spans="1:6" x14ac:dyDescent="0.25">
      <c r="A393" s="49"/>
      <c r="B393" s="133" t="s">
        <v>80</v>
      </c>
      <c r="C393" s="23">
        <f>SUM(C394:C395)</f>
        <v>15056.4535</v>
      </c>
      <c r="D393" s="23">
        <f>SUM(D394:D395)</f>
        <v>15056453.5</v>
      </c>
      <c r="E393" s="22"/>
      <c r="F393" s="22"/>
    </row>
    <row r="394" spans="1:6" x14ac:dyDescent="0.25">
      <c r="A394" s="12">
        <v>42481</v>
      </c>
      <c r="B394" s="13" t="s">
        <v>273</v>
      </c>
      <c r="C394" s="30">
        <v>15056.4535</v>
      </c>
      <c r="D394" s="130">
        <f>2258468.03+12797985.47</f>
        <v>15056453.5</v>
      </c>
      <c r="E394" s="22">
        <v>33939</v>
      </c>
      <c r="F394" s="16">
        <v>4216</v>
      </c>
    </row>
    <row r="395" spans="1:6" x14ac:dyDescent="0.25">
      <c r="A395" s="49"/>
      <c r="B395" s="133"/>
      <c r="C395" s="23"/>
      <c r="D395" s="23"/>
      <c r="E395" s="19"/>
      <c r="F395" s="22"/>
    </row>
    <row r="396" spans="1:6" x14ac:dyDescent="0.25">
      <c r="A396" s="49"/>
      <c r="B396" s="17" t="s">
        <v>137</v>
      </c>
      <c r="C396" s="23">
        <f>SUM(C397:C414)</f>
        <v>16129.333000000001</v>
      </c>
      <c r="D396" s="23">
        <f>SUM(D397:D414)</f>
        <v>16129333</v>
      </c>
      <c r="E396" s="19"/>
      <c r="F396" s="22"/>
    </row>
    <row r="397" spans="1:6" x14ac:dyDescent="0.25">
      <c r="A397" s="49"/>
      <c r="B397" s="31" t="s">
        <v>274</v>
      </c>
      <c r="C397" s="14">
        <v>300</v>
      </c>
      <c r="D397" s="14">
        <v>300000</v>
      </c>
      <c r="E397" s="19">
        <v>551</v>
      </c>
      <c r="F397" s="22">
        <v>4222</v>
      </c>
    </row>
    <row r="398" spans="1:6" x14ac:dyDescent="0.25">
      <c r="A398" s="49"/>
      <c r="B398" s="136" t="s">
        <v>275</v>
      </c>
      <c r="C398" s="14">
        <v>3000</v>
      </c>
      <c r="D398" s="14">
        <v>3000000</v>
      </c>
      <c r="E398" s="19">
        <v>341</v>
      </c>
      <c r="F398" s="22">
        <v>4222</v>
      </c>
    </row>
    <row r="399" spans="1:6" x14ac:dyDescent="0.25">
      <c r="A399" s="49"/>
      <c r="B399" s="136" t="s">
        <v>276</v>
      </c>
      <c r="C399" s="14">
        <v>2262</v>
      </c>
      <c r="D399" s="14">
        <v>2262000</v>
      </c>
      <c r="E399" s="19">
        <v>551</v>
      </c>
      <c r="F399" s="22">
        <v>4222</v>
      </c>
    </row>
    <row r="400" spans="1:6" x14ac:dyDescent="0.25">
      <c r="A400" s="49"/>
      <c r="B400" s="136" t="s">
        <v>277</v>
      </c>
      <c r="C400" s="14">
        <v>1800</v>
      </c>
      <c r="D400" s="14">
        <v>1800000</v>
      </c>
      <c r="E400" s="19">
        <v>311</v>
      </c>
      <c r="F400" s="22">
        <v>4222</v>
      </c>
    </row>
    <row r="401" spans="1:6" x14ac:dyDescent="0.25">
      <c r="A401" s="49"/>
      <c r="B401" s="136" t="s">
        <v>278</v>
      </c>
      <c r="C401" s="14">
        <v>60</v>
      </c>
      <c r="D401" s="14">
        <v>60000</v>
      </c>
      <c r="E401" s="19">
        <v>551</v>
      </c>
      <c r="F401" s="22">
        <v>4222</v>
      </c>
    </row>
    <row r="402" spans="1:6" x14ac:dyDescent="0.25">
      <c r="A402" s="49"/>
      <c r="B402" s="31" t="s">
        <v>279</v>
      </c>
      <c r="C402" s="14">
        <v>250</v>
      </c>
      <c r="D402" s="14">
        <v>250000</v>
      </c>
      <c r="E402" s="19">
        <v>341</v>
      </c>
      <c r="F402" s="22">
        <v>4222</v>
      </c>
    </row>
    <row r="403" spans="1:6" x14ac:dyDescent="0.25">
      <c r="A403" s="49"/>
      <c r="B403" s="31" t="s">
        <v>279</v>
      </c>
      <c r="C403" s="14">
        <v>250</v>
      </c>
      <c r="D403" s="14">
        <v>250000</v>
      </c>
      <c r="E403" s="19">
        <v>439</v>
      </c>
      <c r="F403" s="22">
        <v>4222</v>
      </c>
    </row>
    <row r="404" spans="1:6" x14ac:dyDescent="0.25">
      <c r="A404" s="49"/>
      <c r="B404" s="31" t="s">
        <v>280</v>
      </c>
      <c r="C404" s="14">
        <v>1400</v>
      </c>
      <c r="D404" s="14">
        <v>1400000</v>
      </c>
      <c r="E404" s="19">
        <v>311</v>
      </c>
      <c r="F404" s="22">
        <v>4222</v>
      </c>
    </row>
    <row r="405" spans="1:6" x14ac:dyDescent="0.25">
      <c r="A405" s="49"/>
      <c r="B405" s="31" t="s">
        <v>281</v>
      </c>
      <c r="C405" s="14">
        <v>500</v>
      </c>
      <c r="D405" s="14">
        <v>500000</v>
      </c>
      <c r="E405" s="19">
        <v>551</v>
      </c>
      <c r="F405" s="22">
        <v>4222</v>
      </c>
    </row>
    <row r="406" spans="1:6" x14ac:dyDescent="0.25">
      <c r="A406" s="49"/>
      <c r="B406" s="31" t="s">
        <v>282</v>
      </c>
      <c r="C406" s="14">
        <v>400</v>
      </c>
      <c r="D406" s="14">
        <v>400000</v>
      </c>
      <c r="E406" s="19">
        <v>551</v>
      </c>
      <c r="F406" s="22">
        <v>4222</v>
      </c>
    </row>
    <row r="407" spans="1:6" x14ac:dyDescent="0.25">
      <c r="A407" s="49"/>
      <c r="B407" s="31" t="s">
        <v>283</v>
      </c>
      <c r="C407" s="30">
        <v>500</v>
      </c>
      <c r="D407" s="14">
        <v>500000</v>
      </c>
      <c r="E407" s="19">
        <v>551</v>
      </c>
      <c r="F407" s="22">
        <v>4222</v>
      </c>
    </row>
    <row r="408" spans="1:6" x14ac:dyDescent="0.25">
      <c r="A408" s="49"/>
      <c r="B408" s="136" t="s">
        <v>284</v>
      </c>
      <c r="C408" s="30">
        <v>2100</v>
      </c>
      <c r="D408" s="14">
        <v>2100000</v>
      </c>
      <c r="E408" s="19">
        <v>339</v>
      </c>
      <c r="F408" s="22">
        <v>4222</v>
      </c>
    </row>
    <row r="409" spans="1:6" x14ac:dyDescent="0.25">
      <c r="A409" s="49"/>
      <c r="B409" s="31" t="s">
        <v>285</v>
      </c>
      <c r="C409" s="14">
        <v>1000</v>
      </c>
      <c r="D409" s="14">
        <v>1000000</v>
      </c>
      <c r="E409" s="19">
        <v>311</v>
      </c>
      <c r="F409" s="22">
        <v>4222</v>
      </c>
    </row>
    <row r="410" spans="1:6" x14ac:dyDescent="0.25">
      <c r="A410" s="49"/>
      <c r="B410" s="136" t="s">
        <v>286</v>
      </c>
      <c r="C410" s="14">
        <v>500</v>
      </c>
      <c r="D410" s="14">
        <v>500000</v>
      </c>
      <c r="E410" s="19">
        <v>374</v>
      </c>
      <c r="F410" s="22">
        <v>4222</v>
      </c>
    </row>
    <row r="411" spans="1:6" x14ac:dyDescent="0.25">
      <c r="A411" s="49"/>
      <c r="B411" s="136" t="s">
        <v>287</v>
      </c>
      <c r="C411" s="14">
        <v>500</v>
      </c>
      <c r="D411" s="14">
        <v>500000</v>
      </c>
      <c r="E411" s="19">
        <v>374</v>
      </c>
      <c r="F411" s="22">
        <v>4222</v>
      </c>
    </row>
    <row r="412" spans="1:6" x14ac:dyDescent="0.25">
      <c r="A412" s="49"/>
      <c r="B412" s="136" t="s">
        <v>288</v>
      </c>
      <c r="C412" s="14">
        <v>1000</v>
      </c>
      <c r="D412" s="14">
        <v>1000000</v>
      </c>
      <c r="E412" s="19">
        <v>437</v>
      </c>
      <c r="F412" s="22">
        <v>4222</v>
      </c>
    </row>
    <row r="413" spans="1:6" x14ac:dyDescent="0.25">
      <c r="A413" s="49"/>
      <c r="B413" s="31" t="s">
        <v>289</v>
      </c>
      <c r="C413" s="14">
        <v>25</v>
      </c>
      <c r="D413" s="14">
        <v>25000</v>
      </c>
      <c r="E413" s="19">
        <v>433</v>
      </c>
      <c r="F413" s="22">
        <v>4222</v>
      </c>
    </row>
    <row r="414" spans="1:6" x14ac:dyDescent="0.25">
      <c r="A414" s="49"/>
      <c r="B414" s="31" t="s">
        <v>290</v>
      </c>
      <c r="C414" s="14">
        <v>282.33300000000003</v>
      </c>
      <c r="D414" s="14">
        <v>282333</v>
      </c>
      <c r="E414" s="19">
        <v>551</v>
      </c>
      <c r="F414" s="22">
        <v>4222</v>
      </c>
    </row>
    <row r="415" spans="1:6" x14ac:dyDescent="0.25">
      <c r="A415" s="49"/>
      <c r="B415" s="31"/>
      <c r="C415" s="30"/>
      <c r="D415" s="14"/>
      <c r="E415" s="19"/>
      <c r="F415" s="22"/>
    </row>
    <row r="416" spans="1:6" x14ac:dyDescent="0.25">
      <c r="A416" s="49"/>
      <c r="B416" s="23" t="s">
        <v>224</v>
      </c>
      <c r="C416" s="23">
        <f>+SUM(C417:C441)</f>
        <v>313287.04402999999</v>
      </c>
      <c r="D416" s="23">
        <f>+SUM(D417:D441)</f>
        <v>313287044.03000003</v>
      </c>
      <c r="E416" s="19"/>
      <c r="F416" s="22"/>
    </row>
    <row r="417" spans="1:6" x14ac:dyDescent="0.25">
      <c r="A417" s="49">
        <v>42412</v>
      </c>
      <c r="B417" s="135" t="s">
        <v>225</v>
      </c>
      <c r="C417" s="30">
        <v>3689.7298900000001</v>
      </c>
      <c r="D417" s="14">
        <v>3689729.89</v>
      </c>
      <c r="E417" s="19">
        <v>86505</v>
      </c>
      <c r="F417" s="22">
        <v>4223</v>
      </c>
    </row>
    <row r="418" spans="1:6" x14ac:dyDescent="0.25">
      <c r="A418" s="127">
        <v>42416</v>
      </c>
      <c r="B418" s="128" t="s">
        <v>291</v>
      </c>
      <c r="C418" s="20">
        <v>622.52805000000001</v>
      </c>
      <c r="D418" s="129">
        <v>622528.05000000005</v>
      </c>
      <c r="E418" s="15">
        <v>86505</v>
      </c>
      <c r="F418" s="50">
        <v>4223</v>
      </c>
    </row>
    <row r="419" spans="1:6" x14ac:dyDescent="0.25">
      <c r="A419" s="49">
        <v>42416</v>
      </c>
      <c r="B419" s="27" t="s">
        <v>291</v>
      </c>
      <c r="C419" s="30">
        <v>54.928939999999997</v>
      </c>
      <c r="D419" s="29">
        <v>54928.94</v>
      </c>
      <c r="E419" s="15">
        <v>86501</v>
      </c>
      <c r="F419" s="50">
        <v>4223</v>
      </c>
    </row>
    <row r="420" spans="1:6" x14ac:dyDescent="0.25">
      <c r="A420" s="49">
        <v>42416</v>
      </c>
      <c r="B420" s="27" t="s">
        <v>292</v>
      </c>
      <c r="C420" s="30">
        <v>33489.660640000002</v>
      </c>
      <c r="D420" s="29">
        <v>33489660.640000001</v>
      </c>
      <c r="E420" s="15">
        <v>86505</v>
      </c>
      <c r="F420" s="50">
        <v>4223</v>
      </c>
    </row>
    <row r="421" spans="1:6" x14ac:dyDescent="0.25">
      <c r="A421" s="49">
        <v>42424</v>
      </c>
      <c r="B421" s="27" t="s">
        <v>293</v>
      </c>
      <c r="C421" s="30">
        <v>4981.1131800000003</v>
      </c>
      <c r="D421" s="29">
        <v>4981113.18</v>
      </c>
      <c r="E421" s="15">
        <v>86505</v>
      </c>
      <c r="F421" s="50">
        <v>4223</v>
      </c>
    </row>
    <row r="422" spans="1:6" x14ac:dyDescent="0.25">
      <c r="A422" s="49">
        <v>42451</v>
      </c>
      <c r="B422" s="34" t="s">
        <v>227</v>
      </c>
      <c r="C422" s="30">
        <v>38239.144890000003</v>
      </c>
      <c r="D422" s="29">
        <v>38239144.890000001</v>
      </c>
      <c r="E422" s="15">
        <v>86505</v>
      </c>
      <c r="F422" s="50">
        <v>4223</v>
      </c>
    </row>
    <row r="423" spans="1:6" x14ac:dyDescent="0.25">
      <c r="A423" s="49">
        <v>42451</v>
      </c>
      <c r="B423" s="34" t="s">
        <v>228</v>
      </c>
      <c r="C423" s="30">
        <v>10537.452439999999</v>
      </c>
      <c r="D423" s="29">
        <v>10537452.439999999</v>
      </c>
      <c r="E423" s="15">
        <v>86505</v>
      </c>
      <c r="F423" s="50">
        <v>4223</v>
      </c>
    </row>
    <row r="424" spans="1:6" x14ac:dyDescent="0.25">
      <c r="A424" s="49">
        <v>42459</v>
      </c>
      <c r="B424" s="31" t="s">
        <v>294</v>
      </c>
      <c r="C424" s="30">
        <v>27544.277239999999</v>
      </c>
      <c r="D424" s="29">
        <v>27544277.239999998</v>
      </c>
      <c r="E424" s="15">
        <v>86505</v>
      </c>
      <c r="F424" s="50">
        <v>4223</v>
      </c>
    </row>
    <row r="425" spans="1:6" x14ac:dyDescent="0.25">
      <c r="A425" s="49">
        <v>42460</v>
      </c>
      <c r="B425" s="31" t="s">
        <v>295</v>
      </c>
      <c r="C425" s="30">
        <v>5596.0373799999998</v>
      </c>
      <c r="D425" s="29">
        <v>5596037.3799999999</v>
      </c>
      <c r="E425" s="15">
        <v>86505</v>
      </c>
      <c r="F425" s="50">
        <v>4223</v>
      </c>
    </row>
    <row r="426" spans="1:6" x14ac:dyDescent="0.25">
      <c r="A426" s="49">
        <v>42460</v>
      </c>
      <c r="B426" s="31" t="s">
        <v>296</v>
      </c>
      <c r="C426" s="30">
        <v>4676.7436900000002</v>
      </c>
      <c r="D426" s="29">
        <v>4676743.6900000004</v>
      </c>
      <c r="E426" s="15">
        <v>86505</v>
      </c>
      <c r="F426" s="50">
        <v>4223</v>
      </c>
    </row>
    <row r="427" spans="1:6" x14ac:dyDescent="0.25">
      <c r="A427" s="49">
        <v>42479</v>
      </c>
      <c r="B427" s="35" t="s">
        <v>297</v>
      </c>
      <c r="C427" s="30">
        <v>3134.70993</v>
      </c>
      <c r="D427" s="29">
        <v>3134709.93</v>
      </c>
      <c r="E427" s="15">
        <v>86505</v>
      </c>
      <c r="F427" s="50">
        <v>4223</v>
      </c>
    </row>
    <row r="428" spans="1:6" x14ac:dyDescent="0.25">
      <c r="A428" s="49">
        <v>42482</v>
      </c>
      <c r="B428" s="35" t="s">
        <v>298</v>
      </c>
      <c r="C428" s="30">
        <v>10138.78044</v>
      </c>
      <c r="D428" s="29">
        <v>10138780.439999999</v>
      </c>
      <c r="E428" s="15">
        <v>86505</v>
      </c>
      <c r="F428" s="50">
        <v>4223</v>
      </c>
    </row>
    <row r="429" spans="1:6" x14ac:dyDescent="0.25">
      <c r="A429" s="49">
        <v>42482</v>
      </c>
      <c r="B429" s="35" t="s">
        <v>299</v>
      </c>
      <c r="C429" s="30">
        <v>4215.4740899999997</v>
      </c>
      <c r="D429" s="29">
        <v>4215474.09</v>
      </c>
      <c r="E429" s="15">
        <v>86505</v>
      </c>
      <c r="F429" s="50">
        <v>4223</v>
      </c>
    </row>
    <row r="430" spans="1:6" x14ac:dyDescent="0.25">
      <c r="A430" s="49">
        <v>42494</v>
      </c>
      <c r="B430" s="35" t="s">
        <v>300</v>
      </c>
      <c r="C430" s="30">
        <v>38046.439330000001</v>
      </c>
      <c r="D430" s="29">
        <v>38046439.329999998</v>
      </c>
      <c r="E430" s="15">
        <v>86505</v>
      </c>
      <c r="F430" s="50">
        <v>4223</v>
      </c>
    </row>
    <row r="431" spans="1:6" x14ac:dyDescent="0.25">
      <c r="A431" s="49">
        <v>42503</v>
      </c>
      <c r="B431" s="35" t="s">
        <v>229</v>
      </c>
      <c r="C431" s="30">
        <v>4641.8854799999999</v>
      </c>
      <c r="D431" s="29">
        <v>4641885.4800000004</v>
      </c>
      <c r="E431" s="15">
        <v>86505</v>
      </c>
      <c r="F431" s="50">
        <v>4223</v>
      </c>
    </row>
    <row r="432" spans="1:6" x14ac:dyDescent="0.25">
      <c r="A432" s="49">
        <v>42503</v>
      </c>
      <c r="B432" s="35" t="s">
        <v>301</v>
      </c>
      <c r="C432" s="30">
        <v>63.593530000000001</v>
      </c>
      <c r="D432" s="29">
        <v>63593.53</v>
      </c>
      <c r="E432" s="15">
        <v>86505</v>
      </c>
      <c r="F432" s="50">
        <v>4223</v>
      </c>
    </row>
    <row r="433" spans="1:6" x14ac:dyDescent="0.25">
      <c r="A433" s="49">
        <v>42520</v>
      </c>
      <c r="B433" s="35" t="s">
        <v>230</v>
      </c>
      <c r="C433" s="30">
        <v>31920.267459999999</v>
      </c>
      <c r="D433" s="29">
        <v>31920267.460000001</v>
      </c>
      <c r="E433" s="15">
        <v>86505</v>
      </c>
      <c r="F433" s="50">
        <v>4223</v>
      </c>
    </row>
    <row r="434" spans="1:6" x14ac:dyDescent="0.25">
      <c r="A434" s="49">
        <v>42527</v>
      </c>
      <c r="B434" s="35" t="s">
        <v>302</v>
      </c>
      <c r="C434" s="30">
        <v>6720.1610499999997</v>
      </c>
      <c r="D434" s="29">
        <v>6720161.0499999998</v>
      </c>
      <c r="E434" s="15">
        <v>86505</v>
      </c>
      <c r="F434" s="50">
        <v>4223</v>
      </c>
    </row>
    <row r="435" spans="1:6" x14ac:dyDescent="0.25">
      <c r="A435" s="49">
        <v>42531</v>
      </c>
      <c r="B435" s="31" t="s">
        <v>303</v>
      </c>
      <c r="C435" s="30">
        <v>5338.8135499999999</v>
      </c>
      <c r="D435" s="29">
        <v>5338813.55</v>
      </c>
      <c r="E435" s="15">
        <v>86505</v>
      </c>
      <c r="F435" s="50">
        <v>4223</v>
      </c>
    </row>
    <row r="436" spans="1:6" x14ac:dyDescent="0.25">
      <c r="A436" s="49">
        <v>42531</v>
      </c>
      <c r="B436" s="31" t="s">
        <v>304</v>
      </c>
      <c r="C436" s="30">
        <v>24065.262330000001</v>
      </c>
      <c r="D436" s="29">
        <v>24065262.329999998</v>
      </c>
      <c r="E436" s="15">
        <v>86505</v>
      </c>
      <c r="F436" s="50">
        <v>4223</v>
      </c>
    </row>
    <row r="437" spans="1:6" x14ac:dyDescent="0.25">
      <c r="A437" s="49">
        <v>42543</v>
      </c>
      <c r="B437" s="31" t="s">
        <v>305</v>
      </c>
      <c r="C437" s="30">
        <v>2996.1964400000002</v>
      </c>
      <c r="D437" s="29">
        <v>2996196.44</v>
      </c>
      <c r="E437" s="15">
        <v>86505</v>
      </c>
      <c r="F437" s="50">
        <v>4223</v>
      </c>
    </row>
    <row r="438" spans="1:6" x14ac:dyDescent="0.25">
      <c r="A438" s="49">
        <v>42543</v>
      </c>
      <c r="B438" s="31" t="s">
        <v>306</v>
      </c>
      <c r="C438" s="30">
        <v>10751.90746</v>
      </c>
      <c r="D438" s="29">
        <v>10751907.460000001</v>
      </c>
      <c r="E438" s="15">
        <v>86505</v>
      </c>
      <c r="F438" s="50">
        <v>4223</v>
      </c>
    </row>
    <row r="439" spans="1:6" x14ac:dyDescent="0.25">
      <c r="A439" s="49">
        <v>42545</v>
      </c>
      <c r="B439" s="31" t="s">
        <v>307</v>
      </c>
      <c r="C439" s="30">
        <v>29300.320489999998</v>
      </c>
      <c r="D439" s="29">
        <v>29300320.489999998</v>
      </c>
      <c r="E439" s="15">
        <v>86505</v>
      </c>
      <c r="F439" s="50">
        <v>4223</v>
      </c>
    </row>
    <row r="440" spans="1:6" x14ac:dyDescent="0.25">
      <c r="A440" s="49"/>
      <c r="B440" s="31" t="s">
        <v>308</v>
      </c>
      <c r="C440" s="30">
        <v>5628.0335999999998</v>
      </c>
      <c r="D440" s="29">
        <v>5628033.5999999996</v>
      </c>
      <c r="E440" s="50">
        <v>86505</v>
      </c>
      <c r="F440" s="50">
        <v>4223</v>
      </c>
    </row>
    <row r="441" spans="1:6" x14ac:dyDescent="0.25">
      <c r="A441" s="49"/>
      <c r="B441" s="31" t="s">
        <v>309</v>
      </c>
      <c r="C441" s="30">
        <v>6893.5825100000002</v>
      </c>
      <c r="D441" s="29">
        <v>6893582.5099999998</v>
      </c>
      <c r="E441" s="50">
        <v>86505</v>
      </c>
      <c r="F441" s="50">
        <v>4223</v>
      </c>
    </row>
    <row r="442" spans="1:6" x14ac:dyDescent="0.25">
      <c r="A442" s="49"/>
      <c r="B442" s="31"/>
      <c r="C442" s="30"/>
      <c r="D442" s="32"/>
      <c r="E442" s="50"/>
      <c r="F442" s="50"/>
    </row>
    <row r="443" spans="1:6" x14ac:dyDescent="0.25">
      <c r="A443" s="49"/>
      <c r="B443" s="36" t="s">
        <v>310</v>
      </c>
      <c r="C443" s="18">
        <f>+C396+C416+C317+C351+C385+C379+C393+C348+C344</f>
        <v>412826.26239000005</v>
      </c>
      <c r="D443" s="18">
        <f>+D396+D416+D317+D351+D385+D379+D393+D348+D344</f>
        <v>412826262.38999999</v>
      </c>
      <c r="E443" s="37"/>
      <c r="F443" s="19"/>
    </row>
    <row r="444" spans="1:6" ht="16.5" thickBot="1" x14ac:dyDescent="0.3">
      <c r="A444" s="52"/>
      <c r="B444" s="53"/>
      <c r="C444" s="54"/>
      <c r="D444" s="54"/>
      <c r="E444" s="55"/>
      <c r="F444" s="55"/>
    </row>
    <row r="446" spans="1:6" ht="16.5" thickBot="1" x14ac:dyDescent="0.3">
      <c r="A446" s="56"/>
      <c r="B446" s="57"/>
      <c r="C446" s="57"/>
      <c r="D446" s="57"/>
      <c r="E446" s="58"/>
      <c r="F446" s="58"/>
    </row>
    <row r="447" spans="1:6" x14ac:dyDescent="0.25">
      <c r="A447" s="59"/>
      <c r="B447" s="60"/>
      <c r="C447" s="60"/>
      <c r="D447" s="45"/>
      <c r="E447" s="61"/>
      <c r="F447" s="1"/>
    </row>
    <row r="448" spans="1:6" ht="16.5" thickBot="1" x14ac:dyDescent="0.3">
      <c r="A448" s="59"/>
      <c r="B448" s="47" t="s">
        <v>311</v>
      </c>
      <c r="C448" s="47" t="s">
        <v>3</v>
      </c>
      <c r="D448" s="47" t="s">
        <v>4</v>
      </c>
      <c r="E448" s="61"/>
      <c r="F448" s="62"/>
    </row>
    <row r="449" spans="1:6" x14ac:dyDescent="0.25">
      <c r="A449" s="59"/>
      <c r="B449" s="63"/>
      <c r="C449" s="63"/>
      <c r="D449" s="64"/>
      <c r="E449" s="61"/>
      <c r="F449" s="62"/>
    </row>
    <row r="450" spans="1:6" x14ac:dyDescent="0.25">
      <c r="A450" s="66"/>
      <c r="B450" s="67" t="s">
        <v>312</v>
      </c>
      <c r="C450" s="67">
        <f>+C311</f>
        <v>350210.51874999999</v>
      </c>
      <c r="D450" s="14">
        <f>+D311</f>
        <v>347724360.02999985</v>
      </c>
      <c r="E450" s="68"/>
      <c r="F450" s="44"/>
    </row>
    <row r="451" spans="1:6" x14ac:dyDescent="0.25">
      <c r="A451" s="66"/>
      <c r="B451" s="67" t="s">
        <v>313</v>
      </c>
      <c r="C451" s="67">
        <f>+C443</f>
        <v>412826.26239000005</v>
      </c>
      <c r="D451" s="67">
        <f>+D443</f>
        <v>412826262.38999999</v>
      </c>
      <c r="E451" s="69"/>
      <c r="F451" s="58"/>
    </row>
    <row r="452" spans="1:6" x14ac:dyDescent="0.25">
      <c r="A452" s="66"/>
      <c r="B452" s="67"/>
      <c r="C452" s="67"/>
      <c r="D452" s="14"/>
      <c r="E452" s="69"/>
      <c r="F452" s="58"/>
    </row>
    <row r="453" spans="1:6" x14ac:dyDescent="0.25">
      <c r="A453" s="66"/>
      <c r="B453" s="70" t="s">
        <v>314</v>
      </c>
      <c r="C453" s="70">
        <f>+C450+C451</f>
        <v>763036.78114000009</v>
      </c>
      <c r="D453" s="18">
        <f>SUM(D450:D451)</f>
        <v>760550622.41999984</v>
      </c>
      <c r="E453" s="69"/>
      <c r="F453" s="58"/>
    </row>
    <row r="454" spans="1:6" ht="16.5" thickBot="1" x14ac:dyDescent="0.3">
      <c r="A454" s="66"/>
      <c r="B454" s="71"/>
      <c r="C454" s="71"/>
      <c r="D454" s="54"/>
      <c r="E454" s="68"/>
      <c r="F454" s="44"/>
    </row>
    <row r="455" spans="1:6" x14ac:dyDescent="0.25">
      <c r="E455" s="1"/>
      <c r="F455" s="2"/>
    </row>
    <row r="456" spans="1:6" x14ac:dyDescent="0.25">
      <c r="B456" s="51"/>
      <c r="C456" s="73"/>
      <c r="D456" s="74"/>
      <c r="E456" s="75"/>
      <c r="F456" s="75"/>
    </row>
    <row r="457" spans="1:6" x14ac:dyDescent="0.25">
      <c r="B457" s="51"/>
      <c r="C457" s="75"/>
      <c r="D457" s="75"/>
      <c r="E457" s="51"/>
      <c r="F457" s="51"/>
    </row>
    <row r="458" spans="1:6" x14ac:dyDescent="0.25">
      <c r="B458" s="51"/>
      <c r="C458" s="75"/>
      <c r="D458" s="75"/>
      <c r="E458" s="75"/>
      <c r="F458" s="75"/>
    </row>
    <row r="459" spans="1:6" x14ac:dyDescent="0.25">
      <c r="B459" s="51"/>
      <c r="C459" s="75"/>
      <c r="D459" s="75"/>
      <c r="E459" s="75"/>
      <c r="F459" s="75"/>
    </row>
    <row r="460" spans="1:6" x14ac:dyDescent="0.25">
      <c r="B460" s="51"/>
      <c r="C460" s="75"/>
      <c r="D460" s="75"/>
      <c r="E460" s="75"/>
      <c r="F460" s="75"/>
    </row>
    <row r="461" spans="1:6" x14ac:dyDescent="0.25">
      <c r="B461" s="51"/>
      <c r="C461" s="75"/>
      <c r="D461" s="75"/>
      <c r="E461" s="51"/>
      <c r="F461" s="51"/>
    </row>
    <row r="462" spans="1:6" x14ac:dyDescent="0.25">
      <c r="B462" s="51"/>
      <c r="C462" s="75"/>
      <c r="D462" s="75"/>
      <c r="E462" s="75"/>
      <c r="F462" s="75"/>
    </row>
    <row r="463" spans="1:6" x14ac:dyDescent="0.25">
      <c r="B463" s="51"/>
      <c r="C463" s="75"/>
      <c r="D463" s="75"/>
      <c r="E463" s="75"/>
      <c r="F463" s="75"/>
    </row>
    <row r="464" spans="1:6" x14ac:dyDescent="0.25">
      <c r="B464" s="51"/>
      <c r="C464" s="75"/>
      <c r="D464" s="75"/>
      <c r="E464" s="75"/>
      <c r="F464" s="75"/>
    </row>
    <row r="465" spans="2:6" x14ac:dyDescent="0.25">
      <c r="B465" s="51"/>
      <c r="C465" s="75"/>
      <c r="D465" s="75"/>
      <c r="E465" s="51"/>
      <c r="F465" s="51"/>
    </row>
    <row r="466" spans="2:6" x14ac:dyDescent="0.25">
      <c r="B466" s="51"/>
      <c r="C466" s="75"/>
      <c r="D466" s="75"/>
      <c r="E466" s="51"/>
      <c r="F466" s="51"/>
    </row>
    <row r="467" spans="2:6" x14ac:dyDescent="0.25">
      <c r="B467" s="51"/>
      <c r="C467" s="75"/>
      <c r="D467" s="75"/>
      <c r="E467" s="75"/>
      <c r="F467" s="75"/>
    </row>
    <row r="468" spans="2:6" x14ac:dyDescent="0.25">
      <c r="B468" s="51"/>
      <c r="C468" s="75"/>
      <c r="D468" s="75"/>
      <c r="E468" s="51"/>
      <c r="F468" s="51"/>
    </row>
    <row r="469" spans="2:6" x14ac:dyDescent="0.25">
      <c r="B469" s="51"/>
      <c r="C469" s="75"/>
      <c r="D469" s="75"/>
      <c r="E469" s="51"/>
      <c r="F469" s="51"/>
    </row>
    <row r="470" spans="2:6" x14ac:dyDescent="0.25">
      <c r="B470" s="51"/>
      <c r="C470" s="75"/>
      <c r="D470" s="75"/>
      <c r="E470" s="51"/>
      <c r="F470" s="51"/>
    </row>
    <row r="471" spans="2:6" x14ac:dyDescent="0.25">
      <c r="B471" s="51"/>
      <c r="C471" s="75"/>
      <c r="D471" s="75"/>
      <c r="E471" s="51"/>
      <c r="F471" s="51"/>
    </row>
    <row r="472" spans="2:6" x14ac:dyDescent="0.25">
      <c r="B472" s="51"/>
      <c r="C472" s="75"/>
      <c r="D472" s="75"/>
      <c r="E472" s="51"/>
      <c r="F472" s="51"/>
    </row>
    <row r="473" spans="2:6" x14ac:dyDescent="0.25">
      <c r="B473" s="51"/>
      <c r="C473" s="75"/>
      <c r="D473" s="75"/>
      <c r="E473" s="51"/>
      <c r="F473" s="51"/>
    </row>
    <row r="510" spans="1:6" x14ac:dyDescent="0.25">
      <c r="A510" s="76"/>
      <c r="B510" s="77"/>
      <c r="C510" s="78"/>
      <c r="D510" s="79"/>
      <c r="E510" s="80"/>
      <c r="F510" s="81"/>
    </row>
    <row r="511" spans="1:6" x14ac:dyDescent="0.25">
      <c r="A511" s="76"/>
      <c r="B511" s="77"/>
      <c r="C511" s="78"/>
      <c r="D511" s="79"/>
      <c r="E511" s="80"/>
      <c r="F511" s="81"/>
    </row>
    <row r="512" spans="1:6" x14ac:dyDescent="0.25">
      <c r="A512" s="76"/>
      <c r="B512" s="77"/>
      <c r="C512" s="78"/>
      <c r="D512" s="79"/>
      <c r="E512" s="80"/>
      <c r="F512" s="81"/>
    </row>
    <row r="513" spans="1:6" x14ac:dyDescent="0.25">
      <c r="A513" s="76"/>
      <c r="B513" s="77"/>
      <c r="C513" s="78"/>
      <c r="D513" s="79"/>
      <c r="E513" s="80"/>
      <c r="F513" s="81"/>
    </row>
    <row r="514" spans="1:6" x14ac:dyDescent="0.25">
      <c r="A514" s="76"/>
      <c r="B514" s="77"/>
      <c r="C514" s="78"/>
      <c r="D514" s="79"/>
      <c r="E514" s="80"/>
      <c r="F514" s="81"/>
    </row>
    <row r="515" spans="1:6" x14ac:dyDescent="0.25">
      <c r="A515" s="76"/>
      <c r="B515" s="77"/>
      <c r="C515" s="78"/>
      <c r="D515" s="79"/>
      <c r="E515" s="80"/>
      <c r="F515" s="81"/>
    </row>
    <row r="516" spans="1:6" x14ac:dyDescent="0.25">
      <c r="A516" s="76"/>
      <c r="B516" s="77"/>
      <c r="C516" s="78"/>
      <c r="D516" s="79"/>
      <c r="E516" s="80"/>
      <c r="F516" s="81"/>
    </row>
    <row r="517" spans="1:6" x14ac:dyDescent="0.25">
      <c r="A517" s="76"/>
      <c r="B517" s="77"/>
      <c r="C517" s="78"/>
      <c r="D517" s="79"/>
      <c r="E517" s="80"/>
      <c r="F517" s="81"/>
    </row>
    <row r="518" spans="1:6" x14ac:dyDescent="0.25">
      <c r="A518" s="76"/>
      <c r="B518" s="77"/>
      <c r="C518" s="78"/>
      <c r="D518" s="79"/>
      <c r="E518" s="80"/>
      <c r="F518" s="81"/>
    </row>
    <row r="519" spans="1:6" x14ac:dyDescent="0.25">
      <c r="A519" s="76"/>
      <c r="B519" s="77"/>
      <c r="C519" s="78"/>
      <c r="D519" s="79"/>
      <c r="E519" s="80"/>
      <c r="F519" s="81"/>
    </row>
    <row r="520" spans="1:6" x14ac:dyDescent="0.25">
      <c r="A520" s="76"/>
      <c r="B520" s="77"/>
      <c r="C520" s="78"/>
      <c r="D520" s="79"/>
      <c r="E520" s="80"/>
      <c r="F520" s="81"/>
    </row>
    <row r="521" spans="1:6" x14ac:dyDescent="0.25">
      <c r="A521" s="76"/>
      <c r="B521" s="77"/>
      <c r="C521" s="78"/>
      <c r="D521" s="79"/>
      <c r="E521" s="80"/>
      <c r="F521" s="81"/>
    </row>
    <row r="522" spans="1:6" x14ac:dyDescent="0.25">
      <c r="A522" s="76"/>
      <c r="B522" s="77"/>
      <c r="C522" s="78"/>
      <c r="D522" s="79"/>
      <c r="E522" s="80"/>
      <c r="F522" s="81"/>
    </row>
    <row r="523" spans="1:6" x14ac:dyDescent="0.25">
      <c r="A523" s="76"/>
      <c r="B523" s="77"/>
      <c r="C523" s="78"/>
      <c r="D523" s="79"/>
      <c r="E523" s="80"/>
      <c r="F523" s="81"/>
    </row>
    <row r="524" spans="1:6" x14ac:dyDescent="0.25">
      <c r="A524" s="76"/>
      <c r="B524" s="77"/>
      <c r="C524" s="78"/>
      <c r="D524" s="79"/>
      <c r="E524" s="80"/>
      <c r="F524" s="81"/>
    </row>
    <row r="525" spans="1:6" x14ac:dyDescent="0.25">
      <c r="A525" s="76"/>
      <c r="B525" s="77"/>
      <c r="C525" s="78"/>
      <c r="D525" s="79"/>
      <c r="E525" s="80"/>
      <c r="F525" s="81"/>
    </row>
    <row r="526" spans="1:6" x14ac:dyDescent="0.25">
      <c r="A526" s="76"/>
      <c r="B526" s="77"/>
      <c r="C526" s="78"/>
      <c r="D526" s="79"/>
      <c r="E526" s="80"/>
      <c r="F526" s="81"/>
    </row>
    <row r="527" spans="1:6" x14ac:dyDescent="0.25">
      <c r="A527" s="76"/>
      <c r="B527" s="77"/>
      <c r="C527" s="78"/>
      <c r="D527" s="79"/>
      <c r="E527" s="80"/>
      <c r="F527" s="81"/>
    </row>
    <row r="528" spans="1:6" x14ac:dyDescent="0.25">
      <c r="A528" s="76"/>
      <c r="B528" s="77"/>
      <c r="C528" s="78"/>
      <c r="D528" s="79"/>
      <c r="E528" s="80"/>
      <c r="F528" s="81"/>
    </row>
    <row r="529" spans="1:6" x14ac:dyDescent="0.25">
      <c r="A529" s="76"/>
      <c r="B529" s="77"/>
      <c r="C529" s="78"/>
      <c r="D529" s="79"/>
      <c r="E529" s="80"/>
      <c r="F529" s="81"/>
    </row>
    <row r="530" spans="1:6" x14ac:dyDescent="0.25">
      <c r="A530" s="76"/>
      <c r="B530" s="77"/>
      <c r="C530" s="78"/>
      <c r="D530" s="79"/>
      <c r="E530" s="80"/>
      <c r="F530" s="81"/>
    </row>
    <row r="531" spans="1:6" x14ac:dyDescent="0.25">
      <c r="A531" s="76"/>
      <c r="B531" s="77"/>
      <c r="C531" s="78"/>
      <c r="D531" s="79"/>
      <c r="E531" s="80"/>
      <c r="F531" s="81"/>
    </row>
    <row r="532" spans="1:6" x14ac:dyDescent="0.25">
      <c r="A532" s="76"/>
      <c r="B532" s="77"/>
      <c r="C532" s="78"/>
      <c r="D532" s="79"/>
      <c r="E532" s="80"/>
      <c r="F532" s="81"/>
    </row>
    <row r="533" spans="1:6" x14ac:dyDescent="0.25">
      <c r="A533" s="76"/>
      <c r="B533" s="77"/>
      <c r="C533" s="78"/>
      <c r="D533" s="79"/>
      <c r="E533" s="80"/>
      <c r="F533" s="81"/>
    </row>
    <row r="534" spans="1:6" x14ac:dyDescent="0.25">
      <c r="A534" s="76"/>
      <c r="B534" s="77"/>
      <c r="C534" s="78"/>
      <c r="D534" s="79"/>
      <c r="E534" s="80"/>
      <c r="F534" s="81"/>
    </row>
    <row r="535" spans="1:6" x14ac:dyDescent="0.25">
      <c r="A535" s="76"/>
      <c r="B535" s="77"/>
      <c r="C535" s="78"/>
      <c r="D535" s="79"/>
      <c r="E535" s="80"/>
      <c r="F535" s="81"/>
    </row>
    <row r="536" spans="1:6" x14ac:dyDescent="0.25">
      <c r="A536" s="76"/>
      <c r="B536" s="77"/>
      <c r="C536" s="78"/>
      <c r="D536" s="79"/>
      <c r="E536" s="80"/>
      <c r="F536" s="81"/>
    </row>
    <row r="537" spans="1:6" x14ac:dyDescent="0.25">
      <c r="A537" s="76"/>
      <c r="B537" s="77"/>
      <c r="C537" s="78"/>
      <c r="D537" s="79"/>
      <c r="E537" s="80"/>
      <c r="F537" s="81"/>
    </row>
    <row r="538" spans="1:6" x14ac:dyDescent="0.25">
      <c r="A538" s="76"/>
      <c r="B538" s="77"/>
      <c r="C538" s="78"/>
      <c r="D538" s="79"/>
      <c r="E538" s="80"/>
      <c r="F538" s="81"/>
    </row>
    <row r="539" spans="1:6" x14ac:dyDescent="0.25">
      <c r="A539" s="76"/>
      <c r="B539" s="77"/>
      <c r="C539" s="78"/>
      <c r="D539" s="79"/>
      <c r="E539" s="80"/>
      <c r="F539" s="81"/>
    </row>
    <row r="540" spans="1:6" x14ac:dyDescent="0.25">
      <c r="A540" s="76"/>
      <c r="B540" s="77"/>
      <c r="C540" s="78"/>
      <c r="D540" s="79"/>
      <c r="E540" s="80"/>
      <c r="F540" s="81"/>
    </row>
    <row r="541" spans="1:6" x14ac:dyDescent="0.25">
      <c r="A541" s="76"/>
      <c r="B541" s="77"/>
      <c r="C541" s="78"/>
      <c r="D541" s="79"/>
      <c r="E541" s="80"/>
      <c r="F541" s="81"/>
    </row>
    <row r="542" spans="1:6" x14ac:dyDescent="0.25">
      <c r="A542" s="76"/>
      <c r="B542" s="77"/>
      <c r="C542" s="78"/>
      <c r="D542" s="79"/>
      <c r="E542" s="80"/>
      <c r="F542" s="81"/>
    </row>
    <row r="543" spans="1:6" x14ac:dyDescent="0.25">
      <c r="A543" s="76"/>
      <c r="B543" s="77"/>
      <c r="C543" s="78"/>
      <c r="D543" s="79"/>
      <c r="E543" s="80"/>
      <c r="F543" s="81"/>
    </row>
    <row r="544" spans="1:6" x14ac:dyDescent="0.25">
      <c r="A544" s="76"/>
      <c r="B544" s="77"/>
      <c r="C544" s="78"/>
      <c r="D544" s="79"/>
      <c r="E544" s="80"/>
      <c r="F544" s="81"/>
    </row>
    <row r="545" spans="1:6" x14ac:dyDescent="0.25">
      <c r="A545" s="76"/>
      <c r="B545" s="77"/>
      <c r="C545" s="78"/>
      <c r="D545" s="79"/>
      <c r="E545" s="80"/>
      <c r="F545" s="81"/>
    </row>
    <row r="546" spans="1:6" x14ac:dyDescent="0.25">
      <c r="A546" s="76"/>
      <c r="B546" s="77"/>
      <c r="C546" s="78"/>
      <c r="D546" s="79"/>
      <c r="E546" s="80"/>
      <c r="F546" s="81"/>
    </row>
    <row r="547" spans="1:6" x14ac:dyDescent="0.25">
      <c r="A547" s="76"/>
      <c r="B547" s="77"/>
      <c r="C547" s="78"/>
      <c r="D547" s="79"/>
      <c r="E547" s="80"/>
      <c r="F547" s="81"/>
    </row>
    <row r="548" spans="1:6" x14ac:dyDescent="0.25">
      <c r="A548" s="76"/>
      <c r="B548" s="77"/>
      <c r="C548" s="78"/>
      <c r="D548" s="79"/>
      <c r="E548" s="80"/>
      <c r="F548" s="81"/>
    </row>
    <row r="549" spans="1:6" x14ac:dyDescent="0.25">
      <c r="A549" s="76"/>
      <c r="B549" s="77"/>
      <c r="C549" s="78"/>
      <c r="D549" s="79"/>
      <c r="E549" s="80"/>
      <c r="F549" s="81"/>
    </row>
    <row r="550" spans="1:6" x14ac:dyDescent="0.25">
      <c r="A550" s="76"/>
      <c r="B550" s="77"/>
      <c r="C550" s="78"/>
      <c r="D550" s="79"/>
      <c r="E550" s="80"/>
      <c r="F550" s="81"/>
    </row>
    <row r="551" spans="1:6" x14ac:dyDescent="0.25">
      <c r="A551" s="76"/>
      <c r="B551" s="77"/>
      <c r="C551" s="78"/>
      <c r="D551" s="79"/>
      <c r="E551" s="80"/>
      <c r="F551" s="81"/>
    </row>
    <row r="552" spans="1:6" x14ac:dyDescent="0.25">
      <c r="A552" s="76"/>
      <c r="B552" s="77"/>
      <c r="C552" s="78"/>
      <c r="D552" s="79"/>
      <c r="E552" s="80"/>
      <c r="F552" s="81"/>
    </row>
    <row r="553" spans="1:6" x14ac:dyDescent="0.25">
      <c r="A553" s="76"/>
      <c r="B553" s="77"/>
      <c r="C553" s="78"/>
      <c r="D553" s="79"/>
      <c r="E553" s="80"/>
      <c r="F553" s="81"/>
    </row>
    <row r="554" spans="1:6" x14ac:dyDescent="0.25">
      <c r="A554" s="76"/>
      <c r="B554" s="77"/>
      <c r="C554" s="78"/>
      <c r="D554" s="79"/>
      <c r="E554" s="80"/>
      <c r="F554" s="81"/>
    </row>
    <row r="555" spans="1:6" x14ac:dyDescent="0.25">
      <c r="A555" s="76"/>
      <c r="B555" s="77"/>
      <c r="C555" s="78"/>
      <c r="D555" s="79"/>
      <c r="E555" s="80"/>
      <c r="F555" s="81"/>
    </row>
    <row r="556" spans="1:6" x14ac:dyDescent="0.25">
      <c r="A556" s="76"/>
      <c r="B556" s="77"/>
      <c r="C556" s="78"/>
      <c r="D556" s="79"/>
      <c r="E556" s="80"/>
      <c r="F556" s="81"/>
    </row>
    <row r="557" spans="1:6" x14ac:dyDescent="0.25">
      <c r="A557" s="76"/>
      <c r="B557" s="77"/>
      <c r="C557" s="78"/>
      <c r="D557" s="79"/>
      <c r="E557" s="80"/>
      <c r="F557" s="81"/>
    </row>
    <row r="558" spans="1:6" x14ac:dyDescent="0.25">
      <c r="A558" s="76"/>
      <c r="B558" s="77"/>
      <c r="C558" s="78"/>
      <c r="D558" s="79"/>
      <c r="E558" s="80"/>
      <c r="F558" s="81"/>
    </row>
    <row r="559" spans="1:6" x14ac:dyDescent="0.25">
      <c r="A559" s="76"/>
      <c r="B559" s="77"/>
      <c r="C559" s="78"/>
      <c r="D559" s="79"/>
      <c r="E559" s="80"/>
      <c r="F559" s="81"/>
    </row>
    <row r="560" spans="1:6" x14ac:dyDescent="0.25">
      <c r="A560" s="76"/>
      <c r="B560" s="77"/>
      <c r="C560" s="78"/>
      <c r="D560" s="79"/>
      <c r="E560" s="80"/>
      <c r="F560" s="81"/>
    </row>
    <row r="561" spans="1:6" x14ac:dyDescent="0.25">
      <c r="A561" s="76"/>
      <c r="B561" s="77"/>
      <c r="C561" s="78"/>
      <c r="D561" s="79"/>
      <c r="E561" s="80"/>
      <c r="F561" s="81"/>
    </row>
    <row r="562" spans="1:6" x14ac:dyDescent="0.25">
      <c r="A562" s="76"/>
      <c r="B562" s="77"/>
      <c r="C562" s="78"/>
      <c r="D562" s="79"/>
      <c r="E562" s="80"/>
      <c r="F562" s="81"/>
    </row>
    <row r="563" spans="1:6" x14ac:dyDescent="0.25">
      <c r="A563" s="76"/>
      <c r="B563" s="77"/>
      <c r="C563" s="78"/>
      <c r="D563" s="79"/>
      <c r="E563" s="80"/>
      <c r="F563" s="81"/>
    </row>
    <row r="564" spans="1:6" x14ac:dyDescent="0.25">
      <c r="A564" s="76"/>
      <c r="B564" s="77"/>
      <c r="C564" s="78"/>
      <c r="D564" s="79"/>
      <c r="E564" s="80"/>
      <c r="F564" s="81"/>
    </row>
    <row r="565" spans="1:6" x14ac:dyDescent="0.25">
      <c r="A565" s="76"/>
      <c r="B565" s="77"/>
      <c r="C565" s="78"/>
      <c r="D565" s="79"/>
      <c r="E565" s="80"/>
      <c r="F565" s="81"/>
    </row>
    <row r="566" spans="1:6" x14ac:dyDescent="0.25">
      <c r="A566" s="76"/>
      <c r="B566" s="77"/>
      <c r="C566" s="78"/>
      <c r="D566" s="79"/>
      <c r="E566" s="80"/>
      <c r="F566" s="81"/>
    </row>
    <row r="567" spans="1:6" x14ac:dyDescent="0.25">
      <c r="A567" s="76"/>
      <c r="B567" s="77"/>
      <c r="C567" s="78"/>
      <c r="D567" s="79"/>
      <c r="E567" s="80"/>
      <c r="F567" s="81"/>
    </row>
    <row r="568" spans="1:6" x14ac:dyDescent="0.25">
      <c r="A568" s="76"/>
      <c r="B568" s="77"/>
      <c r="C568" s="78"/>
      <c r="D568" s="79"/>
      <c r="E568" s="80"/>
      <c r="F568" s="81"/>
    </row>
    <row r="569" spans="1:6" x14ac:dyDescent="0.25">
      <c r="A569" s="76"/>
      <c r="B569" s="77"/>
      <c r="C569" s="78"/>
      <c r="D569" s="79"/>
      <c r="E569" s="80"/>
      <c r="F569" s="81"/>
    </row>
    <row r="570" spans="1:6" x14ac:dyDescent="0.25">
      <c r="A570" s="76"/>
      <c r="B570" s="77"/>
      <c r="C570" s="78"/>
      <c r="D570" s="79"/>
      <c r="E570" s="80"/>
      <c r="F570" s="81"/>
    </row>
    <row r="571" spans="1:6" x14ac:dyDescent="0.25">
      <c r="A571" s="76"/>
      <c r="B571" s="77"/>
      <c r="C571" s="78"/>
      <c r="D571" s="79"/>
      <c r="E571" s="80"/>
      <c r="F571" s="81"/>
    </row>
    <row r="572" spans="1:6" x14ac:dyDescent="0.25">
      <c r="A572" s="76"/>
      <c r="B572" s="77"/>
      <c r="C572" s="78"/>
      <c r="D572" s="79"/>
      <c r="E572" s="80"/>
      <c r="F572" s="81"/>
    </row>
    <row r="573" spans="1:6" x14ac:dyDescent="0.25">
      <c r="A573" s="76"/>
      <c r="B573" s="77"/>
      <c r="C573" s="78"/>
      <c r="D573" s="79"/>
      <c r="E573" s="80"/>
      <c r="F573" s="81"/>
    </row>
    <row r="574" spans="1:6" x14ac:dyDescent="0.25">
      <c r="A574" s="76"/>
      <c r="B574" s="77"/>
      <c r="C574" s="78"/>
      <c r="D574" s="79"/>
      <c r="E574" s="80"/>
      <c r="F574" s="81"/>
    </row>
    <row r="575" spans="1:6" x14ac:dyDescent="0.25">
      <c r="A575" s="76"/>
      <c r="B575" s="77"/>
      <c r="C575" s="78"/>
      <c r="D575" s="79"/>
      <c r="E575" s="80"/>
      <c r="F575" s="81"/>
    </row>
    <row r="576" spans="1:6" x14ac:dyDescent="0.25">
      <c r="A576" s="76"/>
      <c r="B576" s="77"/>
      <c r="C576" s="78"/>
      <c r="D576" s="79"/>
      <c r="E576" s="80"/>
      <c r="F576" s="81"/>
    </row>
    <row r="577" spans="1:6" x14ac:dyDescent="0.25">
      <c r="A577" s="76"/>
      <c r="B577" s="77"/>
      <c r="C577" s="78"/>
      <c r="D577" s="79"/>
      <c r="E577" s="80"/>
      <c r="F577" s="81"/>
    </row>
    <row r="578" spans="1:6" x14ac:dyDescent="0.25">
      <c r="A578" s="76"/>
      <c r="B578" s="77"/>
      <c r="C578" s="78"/>
      <c r="D578" s="79"/>
      <c r="E578" s="80"/>
      <c r="F578" s="81"/>
    </row>
    <row r="579" spans="1:6" x14ac:dyDescent="0.25">
      <c r="A579" s="76"/>
      <c r="B579" s="77"/>
      <c r="C579" s="78"/>
      <c r="D579" s="79"/>
      <c r="E579" s="80"/>
      <c r="F579" s="81"/>
    </row>
    <row r="580" spans="1:6" x14ac:dyDescent="0.25">
      <c r="A580" s="76"/>
      <c r="B580" s="77"/>
      <c r="C580" s="78"/>
      <c r="D580" s="79"/>
      <c r="E580" s="80"/>
      <c r="F580" s="81"/>
    </row>
    <row r="581" spans="1:6" x14ac:dyDescent="0.25">
      <c r="A581" s="76"/>
      <c r="B581" s="77"/>
      <c r="C581" s="78"/>
      <c r="D581" s="79"/>
      <c r="E581" s="80"/>
      <c r="F581" s="81"/>
    </row>
    <row r="582" spans="1:6" x14ac:dyDescent="0.25">
      <c r="A582" s="76"/>
      <c r="B582" s="77"/>
      <c r="C582" s="78"/>
      <c r="D582" s="79"/>
      <c r="E582" s="80"/>
      <c r="F582" s="81"/>
    </row>
    <row r="583" spans="1:6" x14ac:dyDescent="0.25">
      <c r="A583" s="76"/>
      <c r="B583" s="77"/>
      <c r="C583" s="78"/>
      <c r="D583" s="79"/>
      <c r="E583" s="80"/>
      <c r="F583" s="81"/>
    </row>
    <row r="584" spans="1:6" x14ac:dyDescent="0.25">
      <c r="A584" s="76"/>
      <c r="B584" s="77"/>
      <c r="C584" s="78"/>
      <c r="D584" s="79"/>
      <c r="E584" s="80"/>
      <c r="F584" s="81"/>
    </row>
    <row r="585" spans="1:6" x14ac:dyDescent="0.25">
      <c r="A585" s="76"/>
      <c r="B585" s="77"/>
      <c r="C585" s="78"/>
      <c r="D585" s="79"/>
      <c r="E585" s="80"/>
      <c r="F585" s="81"/>
    </row>
    <row r="586" spans="1:6" x14ac:dyDescent="0.25">
      <c r="A586" s="76"/>
      <c r="B586" s="77"/>
      <c r="C586" s="78"/>
      <c r="D586" s="79"/>
      <c r="E586" s="80"/>
      <c r="F586" s="81"/>
    </row>
    <row r="587" spans="1:6" x14ac:dyDescent="0.25">
      <c r="A587" s="76"/>
      <c r="B587" s="77"/>
      <c r="C587" s="78"/>
      <c r="D587" s="79"/>
      <c r="E587" s="80"/>
      <c r="F587" s="81"/>
    </row>
    <row r="588" spans="1:6" x14ac:dyDescent="0.25">
      <c r="A588" s="76"/>
      <c r="B588" s="77"/>
      <c r="C588" s="78"/>
      <c r="D588" s="79"/>
      <c r="E588" s="80"/>
      <c r="F588" s="81"/>
    </row>
    <row r="589" spans="1:6" x14ac:dyDescent="0.25">
      <c r="A589" s="76"/>
      <c r="B589" s="77"/>
      <c r="C589" s="78"/>
      <c r="D589" s="79"/>
      <c r="E589" s="80"/>
      <c r="F589" s="81"/>
    </row>
    <row r="590" spans="1:6" x14ac:dyDescent="0.25">
      <c r="A590" s="76"/>
      <c r="B590" s="77"/>
      <c r="C590" s="78"/>
      <c r="D590" s="79"/>
      <c r="E590" s="80"/>
      <c r="F590" s="81"/>
    </row>
    <row r="591" spans="1:6" x14ac:dyDescent="0.25">
      <c r="A591" s="76"/>
      <c r="B591" s="77"/>
      <c r="C591" s="78"/>
      <c r="D591" s="79"/>
      <c r="E591" s="80"/>
      <c r="F591" s="81"/>
    </row>
    <row r="592" spans="1:6" x14ac:dyDescent="0.25">
      <c r="A592" s="76"/>
      <c r="B592" s="77"/>
      <c r="C592" s="78"/>
      <c r="D592" s="79"/>
      <c r="E592" s="80"/>
      <c r="F592" s="81"/>
    </row>
    <row r="593" spans="1:6" x14ac:dyDescent="0.25">
      <c r="A593" s="76"/>
      <c r="B593" s="77"/>
      <c r="C593" s="78"/>
      <c r="D593" s="79"/>
      <c r="E593" s="80"/>
      <c r="F593" s="81"/>
    </row>
    <row r="594" spans="1:6" x14ac:dyDescent="0.25">
      <c r="A594" s="76"/>
      <c r="B594" s="77"/>
      <c r="C594" s="78"/>
      <c r="D594" s="79"/>
      <c r="E594" s="80"/>
      <c r="F594" s="81"/>
    </row>
    <row r="595" spans="1:6" x14ac:dyDescent="0.25">
      <c r="A595" s="76"/>
      <c r="B595" s="77"/>
      <c r="C595" s="78"/>
      <c r="D595" s="79"/>
      <c r="E595" s="80"/>
      <c r="F595" s="81"/>
    </row>
    <row r="596" spans="1:6" x14ac:dyDescent="0.25">
      <c r="A596" s="76"/>
      <c r="B596" s="77"/>
      <c r="C596" s="78"/>
      <c r="D596" s="79"/>
      <c r="E596" s="80"/>
      <c r="F596" s="81"/>
    </row>
    <row r="597" spans="1:6" x14ac:dyDescent="0.25">
      <c r="A597" s="76"/>
      <c r="B597" s="77"/>
      <c r="C597" s="78"/>
      <c r="D597" s="79"/>
      <c r="E597" s="80"/>
      <c r="F597" s="81"/>
    </row>
    <row r="598" spans="1:6" x14ac:dyDescent="0.25">
      <c r="A598" s="76"/>
      <c r="B598" s="77"/>
      <c r="C598" s="78"/>
      <c r="D598" s="79"/>
      <c r="E598" s="80"/>
      <c r="F598" s="81"/>
    </row>
    <row r="599" spans="1:6" x14ac:dyDescent="0.25">
      <c r="A599" s="76"/>
      <c r="B599" s="77"/>
      <c r="C599" s="78"/>
      <c r="D599" s="79"/>
      <c r="E599" s="80"/>
      <c r="F599" s="81"/>
    </row>
    <row r="600" spans="1:6" x14ac:dyDescent="0.25">
      <c r="A600" s="76"/>
      <c r="B600" s="77"/>
      <c r="C600" s="78"/>
      <c r="D600" s="79"/>
      <c r="E600" s="80"/>
      <c r="F600" s="81"/>
    </row>
    <row r="601" spans="1:6" x14ac:dyDescent="0.25">
      <c r="A601" s="76"/>
      <c r="B601" s="77"/>
      <c r="C601" s="78"/>
      <c r="D601" s="79"/>
      <c r="E601" s="80"/>
      <c r="F601" s="81"/>
    </row>
    <row r="602" spans="1:6" x14ac:dyDescent="0.25">
      <c r="A602" s="76"/>
      <c r="B602" s="77"/>
      <c r="C602" s="78"/>
      <c r="D602" s="79"/>
      <c r="E602" s="80"/>
      <c r="F602" s="81"/>
    </row>
    <row r="603" spans="1:6" x14ac:dyDescent="0.25">
      <c r="A603" s="76"/>
      <c r="B603" s="77"/>
      <c r="C603" s="78"/>
      <c r="D603" s="79"/>
      <c r="E603" s="80"/>
      <c r="F603" s="81"/>
    </row>
    <row r="604" spans="1:6" x14ac:dyDescent="0.25">
      <c r="A604" s="76"/>
      <c r="B604" s="77"/>
      <c r="C604" s="78"/>
      <c r="D604" s="79"/>
      <c r="E604" s="80"/>
      <c r="F604" s="81"/>
    </row>
    <row r="605" spans="1:6" x14ac:dyDescent="0.25">
      <c r="A605" s="76"/>
      <c r="B605" s="77"/>
      <c r="C605" s="78"/>
      <c r="D605" s="79"/>
      <c r="E605" s="80"/>
      <c r="F605" s="81"/>
    </row>
    <row r="606" spans="1:6" x14ac:dyDescent="0.25">
      <c r="A606" s="76"/>
      <c r="B606" s="77"/>
      <c r="C606" s="78"/>
      <c r="D606" s="79"/>
      <c r="E606" s="80"/>
      <c r="F606" s="81"/>
    </row>
    <row r="607" spans="1:6" x14ac:dyDescent="0.25">
      <c r="A607" s="76"/>
      <c r="B607" s="77"/>
      <c r="C607" s="78"/>
      <c r="D607" s="79"/>
      <c r="E607" s="80"/>
      <c r="F607" s="81"/>
    </row>
    <row r="608" spans="1:6" x14ac:dyDescent="0.25">
      <c r="A608" s="76"/>
      <c r="B608" s="77"/>
      <c r="C608" s="78"/>
      <c r="D608" s="79"/>
      <c r="E608" s="80"/>
      <c r="F608" s="81"/>
    </row>
    <row r="609" spans="1:6" x14ac:dyDescent="0.25">
      <c r="A609" s="76"/>
      <c r="B609" s="77"/>
      <c r="C609" s="78"/>
      <c r="D609" s="79"/>
      <c r="E609" s="80"/>
      <c r="F609" s="81"/>
    </row>
    <row r="610" spans="1:6" x14ac:dyDescent="0.25">
      <c r="A610" s="76"/>
      <c r="B610" s="77"/>
      <c r="C610" s="78"/>
      <c r="D610" s="79"/>
      <c r="E610" s="80"/>
      <c r="F610" s="81"/>
    </row>
    <row r="611" spans="1:6" x14ac:dyDescent="0.25">
      <c r="A611" s="76"/>
      <c r="B611" s="77"/>
      <c r="C611" s="78"/>
      <c r="D611" s="79"/>
      <c r="E611" s="80"/>
      <c r="F611" s="81"/>
    </row>
    <row r="612" spans="1:6" x14ac:dyDescent="0.25">
      <c r="A612" s="76"/>
      <c r="B612" s="77"/>
      <c r="C612" s="78"/>
      <c r="D612" s="79"/>
      <c r="E612" s="80"/>
      <c r="F612" s="81"/>
    </row>
    <row r="613" spans="1:6" x14ac:dyDescent="0.25">
      <c r="A613" s="76"/>
      <c r="B613" s="77"/>
      <c r="C613" s="78"/>
      <c r="D613" s="79"/>
      <c r="E613" s="80"/>
      <c r="F613" s="81"/>
    </row>
    <row r="614" spans="1:6" x14ac:dyDescent="0.25">
      <c r="A614" s="76"/>
      <c r="B614" s="77"/>
      <c r="C614" s="78"/>
      <c r="D614" s="79"/>
      <c r="E614" s="80"/>
      <c r="F614" s="81"/>
    </row>
    <row r="615" spans="1:6" x14ac:dyDescent="0.25">
      <c r="A615" s="76"/>
      <c r="B615" s="77"/>
      <c r="C615" s="78"/>
      <c r="D615" s="79"/>
      <c r="E615" s="80"/>
      <c r="F615" s="81"/>
    </row>
    <row r="616" spans="1:6" x14ac:dyDescent="0.25">
      <c r="A616" s="76"/>
      <c r="B616" s="77"/>
      <c r="C616" s="78"/>
      <c r="D616" s="79"/>
      <c r="E616" s="80"/>
      <c r="F616" s="81"/>
    </row>
    <row r="617" spans="1:6" x14ac:dyDescent="0.25">
      <c r="A617" s="76"/>
      <c r="B617" s="77"/>
      <c r="C617" s="78"/>
      <c r="D617" s="79"/>
      <c r="E617" s="80"/>
      <c r="F617" s="81"/>
    </row>
    <row r="618" spans="1:6" x14ac:dyDescent="0.25">
      <c r="A618" s="76"/>
      <c r="B618" s="77"/>
      <c r="C618" s="78"/>
      <c r="D618" s="79"/>
      <c r="E618" s="80"/>
      <c r="F618" s="81"/>
    </row>
    <row r="619" spans="1:6" x14ac:dyDescent="0.25">
      <c r="A619" s="76"/>
      <c r="B619" s="77"/>
      <c r="C619" s="78"/>
      <c r="D619" s="79"/>
      <c r="E619" s="80"/>
      <c r="F619" s="81"/>
    </row>
    <row r="620" spans="1:6" x14ac:dyDescent="0.25">
      <c r="A620" s="76"/>
      <c r="B620" s="77"/>
      <c r="C620" s="78"/>
      <c r="D620" s="79"/>
      <c r="E620" s="80"/>
      <c r="F620" s="81"/>
    </row>
    <row r="621" spans="1:6" x14ac:dyDescent="0.25">
      <c r="A621" s="76"/>
      <c r="B621" s="77"/>
      <c r="C621" s="78"/>
      <c r="D621" s="79"/>
      <c r="E621" s="80"/>
      <c r="F621" s="81"/>
    </row>
    <row r="622" spans="1:6" x14ac:dyDescent="0.25">
      <c r="A622" s="76"/>
      <c r="B622" s="77"/>
      <c r="C622" s="78"/>
      <c r="D622" s="79"/>
      <c r="E622" s="80"/>
      <c r="F622" s="81"/>
    </row>
    <row r="623" spans="1:6" x14ac:dyDescent="0.25">
      <c r="A623" s="76"/>
      <c r="B623" s="77"/>
      <c r="C623" s="78"/>
      <c r="D623" s="79"/>
      <c r="E623" s="80"/>
      <c r="F623" s="81"/>
    </row>
    <row r="624" spans="1:6" x14ac:dyDescent="0.25">
      <c r="A624" s="76"/>
      <c r="B624" s="77"/>
      <c r="C624" s="78"/>
      <c r="D624" s="79"/>
      <c r="E624" s="80"/>
      <c r="F624" s="81"/>
    </row>
    <row r="625" spans="1:6" x14ac:dyDescent="0.25">
      <c r="A625" s="76"/>
      <c r="B625" s="77"/>
      <c r="C625" s="78"/>
      <c r="D625" s="79"/>
      <c r="E625" s="80"/>
      <c r="F625" s="81"/>
    </row>
    <row r="626" spans="1:6" x14ac:dyDescent="0.25">
      <c r="A626" s="76"/>
      <c r="B626" s="77"/>
      <c r="C626" s="78"/>
      <c r="D626" s="79"/>
      <c r="E626" s="80"/>
      <c r="F626" s="81"/>
    </row>
    <row r="627" spans="1:6" x14ac:dyDescent="0.25">
      <c r="A627" s="76"/>
      <c r="B627" s="77"/>
      <c r="C627" s="78"/>
      <c r="D627" s="79"/>
      <c r="E627" s="80"/>
      <c r="F627" s="81"/>
    </row>
    <row r="628" spans="1:6" x14ac:dyDescent="0.25">
      <c r="A628" s="76"/>
      <c r="B628" s="77"/>
      <c r="C628" s="78"/>
      <c r="D628" s="79"/>
      <c r="E628" s="80"/>
      <c r="F628" s="81"/>
    </row>
    <row r="629" spans="1:6" x14ac:dyDescent="0.25">
      <c r="A629" s="76"/>
      <c r="B629" s="77"/>
      <c r="C629" s="78"/>
      <c r="D629" s="79"/>
      <c r="E629" s="80"/>
      <c r="F629" s="81"/>
    </row>
    <row r="630" spans="1:6" x14ac:dyDescent="0.25">
      <c r="A630" s="76"/>
      <c r="B630" s="77"/>
      <c r="C630" s="78"/>
      <c r="D630" s="79"/>
      <c r="E630" s="80"/>
      <c r="F630" s="81"/>
    </row>
    <row r="631" spans="1:6" x14ac:dyDescent="0.25">
      <c r="A631" s="76"/>
      <c r="B631" s="77"/>
      <c r="C631" s="78"/>
      <c r="D631" s="79"/>
      <c r="E631" s="80"/>
      <c r="F631" s="81"/>
    </row>
    <row r="632" spans="1:6" x14ac:dyDescent="0.25">
      <c r="A632" s="76"/>
      <c r="B632" s="77"/>
      <c r="C632" s="78"/>
      <c r="D632" s="79"/>
      <c r="E632" s="80"/>
      <c r="F632" s="81"/>
    </row>
    <row r="633" spans="1:6" x14ac:dyDescent="0.25">
      <c r="A633" s="76"/>
      <c r="B633" s="77"/>
      <c r="C633" s="78"/>
      <c r="D633" s="79"/>
      <c r="E633" s="80"/>
      <c r="F633" s="81"/>
    </row>
    <row r="634" spans="1:6" x14ac:dyDescent="0.25">
      <c r="A634" s="76"/>
      <c r="B634" s="77"/>
      <c r="C634" s="78"/>
      <c r="D634" s="79"/>
      <c r="E634" s="80"/>
      <c r="F634" s="81"/>
    </row>
    <row r="635" spans="1:6" x14ac:dyDescent="0.25">
      <c r="A635" s="76"/>
      <c r="B635" s="77"/>
      <c r="C635" s="78"/>
      <c r="D635" s="79"/>
      <c r="E635" s="80"/>
      <c r="F635" s="81"/>
    </row>
    <row r="636" spans="1:6" x14ac:dyDescent="0.25">
      <c r="A636" s="76"/>
      <c r="B636" s="77"/>
      <c r="C636" s="78"/>
      <c r="D636" s="79"/>
      <c r="E636" s="80"/>
      <c r="F636" s="81"/>
    </row>
    <row r="637" spans="1:6" x14ac:dyDescent="0.25">
      <c r="A637" s="76"/>
      <c r="B637" s="77"/>
      <c r="C637" s="78"/>
      <c r="D637" s="79"/>
      <c r="E637" s="80"/>
      <c r="F637" s="81"/>
    </row>
    <row r="638" spans="1:6" x14ac:dyDescent="0.25">
      <c r="A638" s="76"/>
      <c r="B638" s="77"/>
      <c r="C638" s="78"/>
      <c r="D638" s="79"/>
      <c r="E638" s="80"/>
      <c r="F638" s="81"/>
    </row>
    <row r="639" spans="1:6" x14ac:dyDescent="0.25">
      <c r="A639" s="76"/>
      <c r="B639" s="77"/>
      <c r="C639" s="78"/>
      <c r="D639" s="79"/>
      <c r="E639" s="80"/>
      <c r="F639" s="81"/>
    </row>
    <row r="640" spans="1:6" x14ac:dyDescent="0.25">
      <c r="A640" s="76"/>
      <c r="B640" s="77"/>
      <c r="C640" s="78"/>
      <c r="D640" s="79"/>
      <c r="E640" s="80"/>
      <c r="F640" s="81"/>
    </row>
    <row r="641" spans="1:6" x14ac:dyDescent="0.25">
      <c r="A641" s="76"/>
      <c r="B641" s="77"/>
      <c r="C641" s="78"/>
      <c r="D641" s="79"/>
      <c r="E641" s="80"/>
      <c r="F641" s="81"/>
    </row>
    <row r="642" spans="1:6" x14ac:dyDescent="0.25">
      <c r="A642" s="76"/>
      <c r="B642" s="77"/>
      <c r="C642" s="78"/>
      <c r="D642" s="79"/>
      <c r="E642" s="80"/>
      <c r="F642" s="81"/>
    </row>
    <row r="643" spans="1:6" x14ac:dyDescent="0.25">
      <c r="A643" s="76"/>
      <c r="B643" s="77"/>
      <c r="C643" s="78"/>
      <c r="D643" s="79"/>
      <c r="E643" s="80"/>
      <c r="F643" s="81"/>
    </row>
    <row r="644" spans="1:6" x14ac:dyDescent="0.25">
      <c r="A644" s="76"/>
      <c r="B644" s="77"/>
      <c r="C644" s="78"/>
      <c r="D644" s="79"/>
      <c r="E644" s="80"/>
      <c r="F644" s="81"/>
    </row>
    <row r="645" spans="1:6" x14ac:dyDescent="0.25">
      <c r="A645" s="76"/>
      <c r="B645" s="77"/>
      <c r="C645" s="78"/>
      <c r="D645" s="79"/>
      <c r="E645" s="80"/>
      <c r="F645" s="81"/>
    </row>
    <row r="646" spans="1:6" x14ac:dyDescent="0.25">
      <c r="A646" s="76"/>
      <c r="B646" s="77"/>
      <c r="C646" s="78"/>
      <c r="D646" s="79"/>
      <c r="E646" s="80"/>
      <c r="F646" s="81"/>
    </row>
    <row r="647" spans="1:6" x14ac:dyDescent="0.25">
      <c r="A647" s="76"/>
      <c r="B647" s="77"/>
      <c r="C647" s="78"/>
      <c r="D647" s="79"/>
      <c r="E647" s="80"/>
      <c r="F647" s="81"/>
    </row>
    <row r="648" spans="1:6" x14ac:dyDescent="0.25">
      <c r="A648" s="76"/>
      <c r="B648" s="77"/>
      <c r="C648" s="78"/>
      <c r="D648" s="79"/>
      <c r="E648" s="80"/>
      <c r="F648" s="81"/>
    </row>
    <row r="649" spans="1:6" x14ac:dyDescent="0.25">
      <c r="A649" s="76"/>
      <c r="B649" s="77"/>
      <c r="C649" s="78"/>
      <c r="D649" s="79"/>
      <c r="E649" s="80"/>
      <c r="F649" s="81"/>
    </row>
    <row r="650" spans="1:6" x14ac:dyDescent="0.25">
      <c r="A650" s="76"/>
      <c r="B650" s="77"/>
      <c r="C650" s="78"/>
      <c r="D650" s="79"/>
      <c r="E650" s="80"/>
      <c r="F650" s="81"/>
    </row>
    <row r="651" spans="1:6" x14ac:dyDescent="0.25">
      <c r="A651" s="76"/>
      <c r="B651" s="77"/>
      <c r="C651" s="78"/>
      <c r="D651" s="79"/>
      <c r="E651" s="80"/>
      <c r="F651" s="81"/>
    </row>
    <row r="652" spans="1:6" x14ac:dyDescent="0.25">
      <c r="A652" s="76"/>
      <c r="B652" s="77"/>
      <c r="C652" s="78"/>
      <c r="D652" s="79"/>
      <c r="E652" s="80"/>
      <c r="F652" s="81"/>
    </row>
    <row r="653" spans="1:6" x14ac:dyDescent="0.25">
      <c r="A653" s="76"/>
      <c r="B653" s="77"/>
      <c r="C653" s="78"/>
      <c r="D653" s="79"/>
      <c r="E653" s="80"/>
      <c r="F653" s="81"/>
    </row>
    <row r="654" spans="1:6" x14ac:dyDescent="0.25">
      <c r="A654" s="76"/>
      <c r="B654" s="77"/>
      <c r="C654" s="78"/>
      <c r="D654" s="79"/>
      <c r="E654" s="80"/>
      <c r="F654" s="81"/>
    </row>
    <row r="655" spans="1:6" x14ac:dyDescent="0.25">
      <c r="A655" s="76"/>
      <c r="B655" s="77"/>
      <c r="C655" s="78"/>
      <c r="D655" s="79"/>
      <c r="E655" s="80"/>
      <c r="F655" s="81"/>
    </row>
    <row r="656" spans="1:6" x14ac:dyDescent="0.25">
      <c r="A656" s="76"/>
      <c r="B656" s="77"/>
      <c r="C656" s="78"/>
      <c r="D656" s="79"/>
      <c r="E656" s="80"/>
      <c r="F656" s="81"/>
    </row>
    <row r="657" spans="1:6" x14ac:dyDescent="0.25">
      <c r="A657" s="76"/>
      <c r="B657" s="77"/>
      <c r="C657" s="78"/>
      <c r="D657" s="79"/>
      <c r="E657" s="80"/>
      <c r="F657" s="81"/>
    </row>
    <row r="658" spans="1:6" x14ac:dyDescent="0.25">
      <c r="A658" s="76"/>
      <c r="B658" s="77"/>
      <c r="C658" s="78"/>
      <c r="D658" s="79"/>
      <c r="E658" s="80"/>
      <c r="F658" s="81"/>
    </row>
    <row r="659" spans="1:6" x14ac:dyDescent="0.25">
      <c r="A659" s="76"/>
      <c r="B659" s="77"/>
      <c r="C659" s="78"/>
      <c r="D659" s="79"/>
      <c r="E659" s="80"/>
      <c r="F659" s="81"/>
    </row>
    <row r="660" spans="1:6" x14ac:dyDescent="0.25">
      <c r="A660" s="76"/>
      <c r="B660" s="77"/>
      <c r="C660" s="78"/>
      <c r="D660" s="79"/>
      <c r="E660" s="80"/>
      <c r="F660" s="81"/>
    </row>
    <row r="661" spans="1:6" x14ac:dyDescent="0.25">
      <c r="A661" s="76"/>
      <c r="B661" s="77"/>
      <c r="C661" s="78"/>
      <c r="D661" s="79"/>
      <c r="E661" s="80"/>
      <c r="F661" s="81"/>
    </row>
    <row r="662" spans="1:6" x14ac:dyDescent="0.25">
      <c r="A662" s="76"/>
      <c r="B662" s="77"/>
      <c r="C662" s="78"/>
      <c r="D662" s="79"/>
      <c r="E662" s="80"/>
      <c r="F662" s="81"/>
    </row>
    <row r="663" spans="1:6" x14ac:dyDescent="0.25">
      <c r="A663" s="76"/>
      <c r="B663" s="77"/>
      <c r="C663" s="78"/>
      <c r="D663" s="79"/>
      <c r="E663" s="80"/>
      <c r="F663" s="81"/>
    </row>
    <row r="664" spans="1:6" x14ac:dyDescent="0.25">
      <c r="A664" s="76"/>
      <c r="B664" s="77"/>
      <c r="C664" s="78"/>
      <c r="D664" s="79"/>
      <c r="E664" s="80"/>
      <c r="F664" s="81"/>
    </row>
    <row r="665" spans="1:6" x14ac:dyDescent="0.25">
      <c r="A665" s="76"/>
      <c r="B665" s="77"/>
      <c r="C665" s="78"/>
      <c r="D665" s="79"/>
      <c r="E665" s="80"/>
      <c r="F665" s="81"/>
    </row>
    <row r="666" spans="1:6" x14ac:dyDescent="0.25">
      <c r="A666" s="76"/>
      <c r="B666" s="77"/>
      <c r="C666" s="78"/>
      <c r="D666" s="79"/>
      <c r="E666" s="80"/>
      <c r="F666" s="81"/>
    </row>
    <row r="667" spans="1:6" x14ac:dyDescent="0.25">
      <c r="A667" s="76"/>
      <c r="B667" s="77"/>
      <c r="C667" s="78"/>
      <c r="D667" s="79"/>
      <c r="E667" s="80"/>
      <c r="F667" s="81"/>
    </row>
    <row r="668" spans="1:6" x14ac:dyDescent="0.25">
      <c r="A668" s="76"/>
      <c r="B668" s="77"/>
      <c r="C668" s="78"/>
      <c r="D668" s="79"/>
      <c r="E668" s="80"/>
      <c r="F668" s="81"/>
    </row>
    <row r="669" spans="1:6" x14ac:dyDescent="0.25">
      <c r="A669" s="76"/>
      <c r="B669" s="77"/>
      <c r="C669" s="78"/>
      <c r="D669" s="79"/>
      <c r="E669" s="80"/>
      <c r="F669" s="81"/>
    </row>
    <row r="670" spans="1:6" x14ac:dyDescent="0.25">
      <c r="A670" s="76"/>
      <c r="B670" s="77"/>
      <c r="C670" s="78"/>
      <c r="D670" s="79"/>
      <c r="E670" s="80"/>
      <c r="F670" s="81"/>
    </row>
    <row r="671" spans="1:6" x14ac:dyDescent="0.25">
      <c r="A671" s="76"/>
      <c r="B671" s="77"/>
      <c r="C671" s="78"/>
      <c r="D671" s="79"/>
      <c r="E671" s="80"/>
      <c r="F671" s="81"/>
    </row>
    <row r="672" spans="1:6" x14ac:dyDescent="0.25">
      <c r="A672" s="76"/>
      <c r="B672" s="77"/>
      <c r="C672" s="78"/>
      <c r="D672" s="79"/>
      <c r="E672" s="80"/>
      <c r="F672" s="81"/>
    </row>
    <row r="673" spans="1:6" x14ac:dyDescent="0.25">
      <c r="A673" s="76"/>
      <c r="B673" s="77"/>
      <c r="C673" s="78"/>
      <c r="D673" s="79"/>
      <c r="E673" s="80"/>
      <c r="F673" s="81"/>
    </row>
    <row r="674" spans="1:6" x14ac:dyDescent="0.25">
      <c r="A674" s="76"/>
      <c r="B674" s="77"/>
      <c r="C674" s="78"/>
      <c r="D674" s="79"/>
      <c r="E674" s="80"/>
      <c r="F674" s="81"/>
    </row>
    <row r="675" spans="1:6" x14ac:dyDescent="0.25">
      <c r="A675" s="76"/>
      <c r="B675" s="77"/>
      <c r="C675" s="78"/>
      <c r="D675" s="79"/>
      <c r="E675" s="80"/>
      <c r="F675" s="81"/>
    </row>
    <row r="676" spans="1:6" x14ac:dyDescent="0.25">
      <c r="A676" s="76"/>
      <c r="B676" s="77"/>
      <c r="C676" s="78"/>
      <c r="D676" s="79"/>
      <c r="E676" s="80"/>
      <c r="F676" s="81"/>
    </row>
    <row r="677" spans="1:6" x14ac:dyDescent="0.25">
      <c r="A677" s="76"/>
      <c r="B677" s="77"/>
      <c r="C677" s="78"/>
      <c r="D677" s="79"/>
      <c r="E677" s="80"/>
      <c r="F677" s="81"/>
    </row>
    <row r="678" spans="1:6" x14ac:dyDescent="0.25">
      <c r="A678" s="76"/>
      <c r="B678" s="77"/>
      <c r="C678" s="78"/>
      <c r="D678" s="79"/>
      <c r="E678" s="80"/>
      <c r="F678" s="81"/>
    </row>
    <row r="679" spans="1:6" x14ac:dyDescent="0.25">
      <c r="A679" s="76"/>
      <c r="B679" s="77"/>
      <c r="C679" s="78"/>
      <c r="D679" s="79"/>
      <c r="E679" s="80"/>
      <c r="F679" s="81"/>
    </row>
    <row r="680" spans="1:6" x14ac:dyDescent="0.25">
      <c r="A680" s="76"/>
      <c r="B680" s="77"/>
      <c r="C680" s="78"/>
      <c r="D680" s="79"/>
      <c r="E680" s="80"/>
      <c r="F680" s="81"/>
    </row>
    <row r="681" spans="1:6" x14ac:dyDescent="0.25">
      <c r="A681" s="76"/>
      <c r="B681" s="77"/>
      <c r="C681" s="78"/>
      <c r="D681" s="79"/>
      <c r="E681" s="80"/>
      <c r="F681" s="81"/>
    </row>
    <row r="682" spans="1:6" x14ac:dyDescent="0.25">
      <c r="A682" s="76"/>
      <c r="B682" s="77"/>
      <c r="C682" s="78"/>
      <c r="D682" s="79"/>
      <c r="E682" s="80"/>
      <c r="F682" s="81"/>
    </row>
    <row r="683" spans="1:6" x14ac:dyDescent="0.25">
      <c r="A683" s="76"/>
      <c r="B683" s="77"/>
      <c r="C683" s="78"/>
      <c r="D683" s="79"/>
      <c r="E683" s="80"/>
      <c r="F683" s="81"/>
    </row>
    <row r="684" spans="1:6" x14ac:dyDescent="0.25">
      <c r="A684" s="76"/>
      <c r="B684" s="77"/>
      <c r="C684" s="78"/>
      <c r="D684" s="79"/>
      <c r="E684" s="80"/>
      <c r="F684" s="81"/>
    </row>
    <row r="685" spans="1:6" x14ac:dyDescent="0.25">
      <c r="A685" s="76"/>
      <c r="B685" s="77"/>
      <c r="C685" s="78"/>
      <c r="D685" s="79"/>
      <c r="E685" s="80"/>
      <c r="F685" s="81"/>
    </row>
    <row r="686" spans="1:6" x14ac:dyDescent="0.25">
      <c r="A686" s="76"/>
      <c r="B686" s="77"/>
      <c r="C686" s="78"/>
      <c r="D686" s="79"/>
      <c r="E686" s="80"/>
      <c r="F686" s="81"/>
    </row>
    <row r="687" spans="1:6" x14ac:dyDescent="0.25">
      <c r="A687" s="76"/>
      <c r="B687" s="77"/>
      <c r="C687" s="78"/>
      <c r="D687" s="79"/>
      <c r="E687" s="80"/>
      <c r="F687" s="81"/>
    </row>
    <row r="688" spans="1:6" x14ac:dyDescent="0.25">
      <c r="A688" s="76"/>
      <c r="B688" s="77"/>
      <c r="C688" s="78"/>
      <c r="D688" s="79"/>
      <c r="E688" s="80"/>
      <c r="F688" s="81"/>
    </row>
    <row r="689" spans="1:6" x14ac:dyDescent="0.25">
      <c r="A689" s="76"/>
      <c r="B689" s="77"/>
      <c r="C689" s="78"/>
      <c r="D689" s="79"/>
      <c r="E689" s="80"/>
      <c r="F689" s="81"/>
    </row>
    <row r="690" spans="1:6" x14ac:dyDescent="0.25">
      <c r="A690" s="76"/>
      <c r="B690" s="77"/>
      <c r="C690" s="78"/>
      <c r="D690" s="79"/>
      <c r="E690" s="80"/>
      <c r="F690" s="81"/>
    </row>
    <row r="691" spans="1:6" x14ac:dyDescent="0.25">
      <c r="A691" s="76"/>
      <c r="B691" s="77"/>
      <c r="C691" s="78"/>
      <c r="D691" s="79"/>
      <c r="E691" s="80"/>
      <c r="F691" s="81"/>
    </row>
    <row r="692" spans="1:6" x14ac:dyDescent="0.25">
      <c r="A692" s="76"/>
      <c r="B692" s="77"/>
      <c r="C692" s="78"/>
      <c r="D692" s="79"/>
      <c r="E692" s="80"/>
      <c r="F692" s="81"/>
    </row>
    <row r="693" spans="1:6" x14ac:dyDescent="0.25">
      <c r="A693" s="76"/>
      <c r="B693" s="77"/>
      <c r="C693" s="78"/>
      <c r="D693" s="79"/>
      <c r="E693" s="80"/>
      <c r="F693" s="81"/>
    </row>
    <row r="694" spans="1:6" x14ac:dyDescent="0.25">
      <c r="A694" s="76"/>
      <c r="B694" s="77"/>
      <c r="C694" s="78"/>
      <c r="D694" s="79"/>
      <c r="E694" s="80"/>
      <c r="F694" s="81"/>
    </row>
    <row r="695" spans="1:6" x14ac:dyDescent="0.25">
      <c r="A695" s="76"/>
      <c r="B695" s="77"/>
      <c r="C695" s="78"/>
      <c r="D695" s="79"/>
      <c r="E695" s="80"/>
      <c r="F695" s="81"/>
    </row>
    <row r="696" spans="1:6" x14ac:dyDescent="0.25">
      <c r="A696" s="76"/>
      <c r="B696" s="77"/>
      <c r="C696" s="78"/>
      <c r="D696" s="79"/>
      <c r="E696" s="80"/>
      <c r="F696" s="81"/>
    </row>
    <row r="697" spans="1:6" x14ac:dyDescent="0.25">
      <c r="A697" s="76"/>
      <c r="B697" s="77"/>
      <c r="C697" s="78"/>
      <c r="D697" s="79"/>
      <c r="E697" s="80"/>
      <c r="F697" s="81"/>
    </row>
    <row r="698" spans="1:6" x14ac:dyDescent="0.25">
      <c r="A698" s="76"/>
      <c r="B698" s="77"/>
      <c r="C698" s="78"/>
      <c r="D698" s="79"/>
      <c r="E698" s="80"/>
      <c r="F698" s="81"/>
    </row>
    <row r="699" spans="1:6" x14ac:dyDescent="0.25">
      <c r="A699" s="76"/>
      <c r="B699" s="77"/>
      <c r="C699" s="78"/>
      <c r="D699" s="79"/>
      <c r="E699" s="80"/>
      <c r="F699" s="81"/>
    </row>
    <row r="700" spans="1:6" x14ac:dyDescent="0.25">
      <c r="A700" s="76"/>
      <c r="B700" s="77"/>
      <c r="C700" s="78"/>
      <c r="D700" s="79"/>
      <c r="E700" s="80"/>
      <c r="F700" s="81"/>
    </row>
    <row r="701" spans="1:6" x14ac:dyDescent="0.25">
      <c r="A701" s="76"/>
      <c r="B701" s="77"/>
      <c r="C701" s="78"/>
      <c r="D701" s="79"/>
      <c r="E701" s="80"/>
      <c r="F701" s="81"/>
    </row>
    <row r="702" spans="1:6" x14ac:dyDescent="0.25">
      <c r="A702" s="76"/>
      <c r="B702" s="77"/>
      <c r="C702" s="78"/>
      <c r="D702" s="79"/>
      <c r="E702" s="80"/>
      <c r="F702" s="81"/>
    </row>
    <row r="703" spans="1:6" x14ac:dyDescent="0.25">
      <c r="A703" s="76"/>
      <c r="B703" s="77"/>
      <c r="C703" s="78"/>
      <c r="D703" s="79"/>
      <c r="E703" s="80"/>
      <c r="F703" s="81"/>
    </row>
    <row r="704" spans="1:6" x14ac:dyDescent="0.25">
      <c r="A704" s="76"/>
      <c r="B704" s="77"/>
      <c r="C704" s="78"/>
      <c r="D704" s="79"/>
      <c r="E704" s="80"/>
      <c r="F704" s="81"/>
    </row>
    <row r="705" spans="1:6" x14ac:dyDescent="0.25">
      <c r="A705" s="76"/>
      <c r="B705" s="77"/>
      <c r="C705" s="78"/>
      <c r="D705" s="79"/>
      <c r="E705" s="80"/>
      <c r="F705" s="81"/>
    </row>
    <row r="706" spans="1:6" x14ac:dyDescent="0.25">
      <c r="A706" s="76"/>
      <c r="B706" s="77"/>
      <c r="C706" s="78"/>
      <c r="D706" s="79"/>
      <c r="E706" s="80"/>
      <c r="F706" s="81"/>
    </row>
    <row r="707" spans="1:6" x14ac:dyDescent="0.25">
      <c r="A707" s="76"/>
      <c r="B707" s="77"/>
      <c r="C707" s="78"/>
      <c r="D707" s="79"/>
      <c r="E707" s="80"/>
      <c r="F707" s="81"/>
    </row>
    <row r="708" spans="1:6" x14ac:dyDescent="0.25">
      <c r="A708" s="76"/>
      <c r="B708" s="77"/>
      <c r="C708" s="78"/>
      <c r="D708" s="79"/>
      <c r="E708" s="80"/>
      <c r="F708" s="81"/>
    </row>
    <row r="709" spans="1:6" x14ac:dyDescent="0.25">
      <c r="A709" s="76"/>
      <c r="B709" s="77"/>
      <c r="C709" s="78"/>
      <c r="D709" s="79"/>
      <c r="E709" s="80"/>
      <c r="F709" s="81"/>
    </row>
    <row r="710" spans="1:6" x14ac:dyDescent="0.25">
      <c r="A710" s="76"/>
      <c r="B710" s="77"/>
      <c r="C710" s="78"/>
      <c r="D710" s="79"/>
      <c r="E710" s="80"/>
      <c r="F710" s="81"/>
    </row>
    <row r="711" spans="1:6" x14ac:dyDescent="0.25">
      <c r="A711" s="76"/>
      <c r="B711" s="77"/>
      <c r="C711" s="78"/>
      <c r="D711" s="79"/>
      <c r="E711" s="80"/>
      <c r="F711" s="81"/>
    </row>
    <row r="712" spans="1:6" x14ac:dyDescent="0.25">
      <c r="A712" s="76"/>
      <c r="B712" s="77"/>
      <c r="C712" s="78"/>
      <c r="D712" s="79"/>
      <c r="E712" s="80"/>
      <c r="F712" s="81"/>
    </row>
    <row r="713" spans="1:6" x14ac:dyDescent="0.25">
      <c r="A713" s="76"/>
      <c r="B713" s="77"/>
      <c r="C713" s="78"/>
      <c r="D713" s="79"/>
      <c r="E713" s="80"/>
      <c r="F713" s="81"/>
    </row>
    <row r="714" spans="1:6" x14ac:dyDescent="0.25">
      <c r="A714" s="76"/>
      <c r="B714" s="77"/>
      <c r="C714" s="78"/>
      <c r="D714" s="79"/>
      <c r="E714" s="80"/>
      <c r="F714" s="81"/>
    </row>
    <row r="715" spans="1:6" x14ac:dyDescent="0.25">
      <c r="A715" s="76"/>
      <c r="B715" s="77"/>
      <c r="C715" s="78"/>
      <c r="D715" s="79"/>
      <c r="E715" s="80"/>
      <c r="F715" s="81"/>
    </row>
    <row r="716" spans="1:6" x14ac:dyDescent="0.25">
      <c r="A716" s="76"/>
      <c r="B716" s="77"/>
      <c r="C716" s="78"/>
      <c r="D716" s="79"/>
      <c r="E716" s="80"/>
      <c r="F716" s="81"/>
    </row>
    <row r="717" spans="1:6" x14ac:dyDescent="0.25">
      <c r="A717" s="76"/>
      <c r="B717" s="77"/>
      <c r="C717" s="78"/>
      <c r="D717" s="79"/>
      <c r="E717" s="80"/>
      <c r="F717" s="81"/>
    </row>
    <row r="718" spans="1:6" x14ac:dyDescent="0.25">
      <c r="A718" s="76"/>
      <c r="B718" s="77"/>
      <c r="C718" s="78"/>
      <c r="D718" s="79"/>
      <c r="E718" s="80"/>
      <c r="F718" s="81"/>
    </row>
    <row r="719" spans="1:6" x14ac:dyDescent="0.25">
      <c r="A719" s="76"/>
      <c r="B719" s="77"/>
      <c r="C719" s="78"/>
      <c r="D719" s="79"/>
      <c r="E719" s="80"/>
      <c r="F719" s="81"/>
    </row>
    <row r="720" spans="1:6" x14ac:dyDescent="0.25">
      <c r="A720" s="76"/>
      <c r="B720" s="77"/>
      <c r="C720" s="78"/>
      <c r="D720" s="79"/>
      <c r="E720" s="80"/>
      <c r="F720" s="81"/>
    </row>
    <row r="721" spans="1:6" x14ac:dyDescent="0.25">
      <c r="A721" s="76"/>
      <c r="B721" s="77"/>
      <c r="C721" s="78"/>
      <c r="D721" s="79"/>
      <c r="E721" s="80"/>
      <c r="F721" s="81"/>
    </row>
    <row r="722" spans="1:6" x14ac:dyDescent="0.25">
      <c r="A722" s="76"/>
      <c r="B722" s="77"/>
      <c r="C722" s="78"/>
      <c r="D722" s="79"/>
      <c r="E722" s="80"/>
      <c r="F722" s="81"/>
    </row>
    <row r="723" spans="1:6" x14ac:dyDescent="0.25">
      <c r="A723" s="76"/>
      <c r="B723" s="77"/>
      <c r="C723" s="78"/>
      <c r="D723" s="79"/>
      <c r="E723" s="80"/>
      <c r="F723" s="81"/>
    </row>
  </sheetData>
  <mergeCells count="4">
    <mergeCell ref="A1:F1"/>
    <mergeCell ref="A2:F2"/>
    <mergeCell ref="A4:A5"/>
    <mergeCell ref="A315:A316"/>
  </mergeCells>
  <conditionalFormatting sqref="D52">
    <cfRule type="cellIs" dxfId="10" priority="11" operator="notEqual">
      <formula>#REF!</formula>
    </cfRule>
  </conditionalFormatting>
  <conditionalFormatting sqref="D165">
    <cfRule type="cellIs" dxfId="9" priority="10" operator="notEqual">
      <formula>#REF!</formula>
    </cfRule>
  </conditionalFormatting>
  <conditionalFormatting sqref="D119 D123:D131 D140 D135">
    <cfRule type="cellIs" dxfId="8" priority="9" operator="notEqual">
      <formula>#REF!</formula>
    </cfRule>
  </conditionalFormatting>
  <conditionalFormatting sqref="E410:E412">
    <cfRule type="containsBlanks" dxfId="7" priority="8">
      <formula>LEN(TRIM(E410))=0</formula>
    </cfRule>
  </conditionalFormatting>
  <conditionalFormatting sqref="D132">
    <cfRule type="cellIs" dxfId="6" priority="7" operator="notEqual">
      <formula>#REF!</formula>
    </cfRule>
  </conditionalFormatting>
  <conditionalFormatting sqref="D138">
    <cfRule type="cellIs" dxfId="5" priority="6" operator="notEqual">
      <formula>#REF!</formula>
    </cfRule>
  </conditionalFormatting>
  <conditionalFormatting sqref="D133">
    <cfRule type="cellIs" dxfId="4" priority="5" operator="notEqual">
      <formula>#REF!</formula>
    </cfRule>
  </conditionalFormatting>
  <conditionalFormatting sqref="D139">
    <cfRule type="cellIs" dxfId="3" priority="4" operator="notEqual">
      <formula>#REF!</formula>
    </cfRule>
  </conditionalFormatting>
  <conditionalFormatting sqref="D134">
    <cfRule type="cellIs" dxfId="2" priority="3" operator="notEqual">
      <formula>#REF!</formula>
    </cfRule>
  </conditionalFormatting>
  <conditionalFormatting sqref="D137">
    <cfRule type="cellIs" dxfId="1" priority="2" operator="notEqual">
      <formula>#REF!</formula>
    </cfRule>
  </conditionalFormatting>
  <conditionalFormatting sqref="D136">
    <cfRule type="cellIs" dxfId="0" priority="1" operator="notEqual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5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26c80ca-c64a-4e2b-8fdc-4ca129da90da">18</Rok>
    <_dlc_DocId xmlns="fc3156d0-6477-4e59-85db-677a3ac3ddef">K6F56YJ4D42X-540-966</_dlc_DocId>
    <Pln_x011b_n_x00ed__x0020_rozpo_x010d_tu xmlns="626c80ca-c64a-4e2b-8fdc-4ca129da90da">4</Pln_x011b_n_x00ed__x0020_rozpo_x010d_tu>
    <_dlc_DocIdUrl xmlns="fc3156d0-6477-4e59-85db-677a3ac3ddef">
      <Url>http://sharepoint.brno.cz/ORF/rozpocet/_layouts/15/DocIdRedir.aspx?ID=K6F56YJ4D42X-540-966</Url>
      <Description>K6F56YJ4D42X-540-966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28FDB3-7CA2-483D-A2F4-96499F36F34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59AA3E-C1D2-4BDE-8281-91378F799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FF28D-A7BA-4380-9B04-F08441BB0C97}">
  <ds:schemaRefs>
    <ds:schemaRef ds:uri="http://schemas.openxmlformats.org/package/2006/metadata/core-properties"/>
    <ds:schemaRef ds:uri="http://purl.org/dc/terms/"/>
    <ds:schemaRef ds:uri="626c80ca-c64a-4e2b-8fdc-4ca129da90da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fc3156d0-6477-4e59-85db-677a3ac3dde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D220117-4E97-40CA-896B-A6B1BAF06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RMB12</vt:lpstr>
      <vt:lpstr>'RMB12'!Názvy_tisku</vt:lpstr>
      <vt:lpstr>'RMB12'!Oblast_tisku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Hujnakova</dc:creator>
  <cp:lastModifiedBy>Jiri Trnecka</cp:lastModifiedBy>
  <cp:lastPrinted>2017-04-11T06:13:48Z</cp:lastPrinted>
  <dcterms:created xsi:type="dcterms:W3CDTF">2017-03-10T12:37:45Z</dcterms:created>
  <dcterms:modified xsi:type="dcterms:W3CDTF">2017-06-19T09:27:00Z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25a2e892-895b-4bdd-9bb8-ba65a317c496</vt:lpwstr>
  </property>
  <property fmtid="{D5CDD505-2E9C-101B-9397-08002B2CF9AE}" pid="3" name="ContentTypeId">
    <vt:lpwstr>0x010100C27D4E3435A3B64688955AA93779053B</vt:lpwstr>
  </property>
</Properties>
</file>