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Souhrnný rozpočet\Souhrnný rozpočet 2025\INTERNET\"/>
    </mc:Choice>
  </mc:AlternateContent>
  <xr:revisionPtr revIDLastSave="0" documentId="13_ncr:1_{F82A0E30-B6C6-4BAC-A358-210AF0B4F275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K'!$A$7:$E$36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K'!$A$1:$M$209</definedName>
    <definedName name="_xlnm.Print_Area" localSheetId="3">'Daňové a Transfery'!$A$1:$G$61</definedName>
    <definedName name="_xlnm.Print_Area" localSheetId="4">'N a K'!$A$1:$J$117</definedName>
    <definedName name="_xlnm.Print_Area" localSheetId="2">Příjmy!$A$1:$H$35</definedName>
    <definedName name="_xlnm.Print_Area" localSheetId="1">Transfery!$A$1:$D$54</definedName>
    <definedName name="_xlnm.Print_Area" localSheetId="6">Výdaje!$A$1:$K$32</definedName>
    <definedName name="_xlnm.Print_Area" localSheetId="8">Výdaje_G!$A$1:$K$58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5" l="1"/>
  <c r="F55" i="5"/>
  <c r="D46" i="5"/>
  <c r="H147" i="8"/>
  <c r="H187" i="8"/>
  <c r="E123" i="8"/>
  <c r="E132" i="8"/>
  <c r="H198" i="8"/>
  <c r="M123" i="8"/>
  <c r="L123" i="8"/>
  <c r="M132" i="8"/>
  <c r="L132" i="8"/>
  <c r="K132" i="8"/>
  <c r="M175" i="8"/>
  <c r="L175" i="8"/>
  <c r="H175" i="8"/>
  <c r="E175" i="8"/>
  <c r="B175" i="8"/>
  <c r="A175" i="8"/>
  <c r="G198" i="8"/>
  <c r="E198" i="8" s="1"/>
  <c r="J47" i="8"/>
  <c r="I47" i="8"/>
  <c r="G47" i="8"/>
  <c r="F47" i="8"/>
  <c r="M45" i="8"/>
  <c r="L45" i="8"/>
  <c r="K45" i="8" s="1"/>
  <c r="H45" i="8"/>
  <c r="E45" i="8"/>
  <c r="B45" i="8"/>
  <c r="B132" i="8"/>
  <c r="A132" i="8"/>
  <c r="B123" i="8"/>
  <c r="A123" i="8"/>
  <c r="I190" i="8"/>
  <c r="J190" i="8"/>
  <c r="E79" i="6"/>
  <c r="E55" i="6"/>
  <c r="G47" i="5"/>
  <c r="G46" i="5"/>
  <c r="E46" i="5" s="1"/>
  <c r="F47" i="5"/>
  <c r="F46" i="5"/>
  <c r="F45" i="5"/>
  <c r="G54" i="5"/>
  <c r="E54" i="5" s="1"/>
  <c r="G45" i="5"/>
  <c r="E49" i="5"/>
  <c r="D54" i="5"/>
  <c r="D45" i="5"/>
  <c r="F42" i="1"/>
  <c r="E42" i="1"/>
  <c r="D42" i="1"/>
  <c r="D40" i="1"/>
  <c r="F65" i="1"/>
  <c r="F61" i="1"/>
  <c r="F48" i="1"/>
  <c r="F37" i="1"/>
  <c r="D32" i="1"/>
  <c r="M145" i="8"/>
  <c r="L145" i="8"/>
  <c r="E145" i="8"/>
  <c r="B145" i="8"/>
  <c r="A145" i="8"/>
  <c r="M161" i="8"/>
  <c r="L161" i="8"/>
  <c r="H161" i="8"/>
  <c r="E161" i="8"/>
  <c r="B161" i="8"/>
  <c r="A161" i="8"/>
  <c r="M160" i="8"/>
  <c r="L160" i="8"/>
  <c r="H160" i="8"/>
  <c r="E160" i="8"/>
  <c r="B160" i="8"/>
  <c r="A160" i="8"/>
  <c r="M155" i="8"/>
  <c r="L155" i="8"/>
  <c r="H155" i="8"/>
  <c r="E155" i="8"/>
  <c r="B155" i="8"/>
  <c r="A155" i="8"/>
  <c r="M154" i="8"/>
  <c r="L154" i="8"/>
  <c r="H154" i="8"/>
  <c r="E154" i="8"/>
  <c r="B154" i="8"/>
  <c r="A154" i="8"/>
  <c r="E60" i="1"/>
  <c r="E48" i="1"/>
  <c r="K175" i="8" l="1"/>
  <c r="K123" i="8"/>
  <c r="K155" i="8"/>
  <c r="K145" i="8"/>
  <c r="K161" i="8"/>
  <c r="K160" i="8"/>
  <c r="K154" i="8"/>
  <c r="E61" i="1"/>
  <c r="E65" i="1"/>
  <c r="E35" i="1"/>
  <c r="E11" i="8" l="1"/>
  <c r="M188" i="8"/>
  <c r="L188" i="8"/>
  <c r="E188" i="8"/>
  <c r="B188" i="8"/>
  <c r="A188" i="8"/>
  <c r="M176" i="8"/>
  <c r="L176" i="8"/>
  <c r="H176" i="8"/>
  <c r="E176" i="8"/>
  <c r="B176" i="8"/>
  <c r="A176" i="8"/>
  <c r="K176" i="8" l="1"/>
  <c r="K188" i="8"/>
  <c r="D74" i="1"/>
  <c r="F41" i="1"/>
  <c r="F57" i="1"/>
  <c r="M65" i="8"/>
  <c r="L65" i="8"/>
  <c r="H65" i="8"/>
  <c r="E65" i="8"/>
  <c r="A65" i="8"/>
  <c r="H18" i="8"/>
  <c r="M18" i="8"/>
  <c r="L18" i="8"/>
  <c r="K18" i="8" s="1"/>
  <c r="E18" i="8"/>
  <c r="B18" i="8"/>
  <c r="A18" i="8"/>
  <c r="H95" i="6"/>
  <c r="H27" i="4"/>
  <c r="I96" i="6"/>
  <c r="H96" i="6" s="1"/>
  <c r="F27" i="4" s="1"/>
  <c r="G96" i="6"/>
  <c r="E27" i="4" s="1"/>
  <c r="F96" i="6"/>
  <c r="M95" i="6"/>
  <c r="M96" i="6" s="1"/>
  <c r="L95" i="6"/>
  <c r="L96" i="6" s="1"/>
  <c r="E95" i="6"/>
  <c r="E96" i="6" s="1"/>
  <c r="M44" i="6"/>
  <c r="L44" i="6"/>
  <c r="E44" i="6"/>
  <c r="H96" i="8"/>
  <c r="H169" i="8"/>
  <c r="E96" i="8"/>
  <c r="E97" i="8"/>
  <c r="E98" i="8"/>
  <c r="E99" i="8"/>
  <c r="K65" i="8" l="1"/>
  <c r="D27" i="4"/>
  <c r="C27" i="4"/>
  <c r="K95" i="6"/>
  <c r="K96" i="6" s="1"/>
  <c r="G27" i="4"/>
  <c r="K44" i="6"/>
  <c r="M111" i="8" l="1"/>
  <c r="L111" i="8"/>
  <c r="H111" i="8"/>
  <c r="E111" i="8"/>
  <c r="B111" i="8"/>
  <c r="A111" i="8"/>
  <c r="E37" i="6"/>
  <c r="F38" i="6"/>
  <c r="G38" i="6"/>
  <c r="I38" i="6"/>
  <c r="J38" i="6"/>
  <c r="L107" i="8"/>
  <c r="L96" i="8"/>
  <c r="K96" i="8" s="1"/>
  <c r="L84" i="8"/>
  <c r="L83" i="8"/>
  <c r="L82" i="8"/>
  <c r="L81" i="8"/>
  <c r="L80" i="8"/>
  <c r="L66" i="8"/>
  <c r="L63" i="8"/>
  <c r="L59" i="8"/>
  <c r="L58" i="8"/>
  <c r="L57" i="8"/>
  <c r="L53" i="8"/>
  <c r="L46" i="8"/>
  <c r="L47" i="8" s="1"/>
  <c r="L42" i="8"/>
  <c r="L30" i="8"/>
  <c r="K30" i="8" s="1"/>
  <c r="L26" i="8"/>
  <c r="L20" i="8"/>
  <c r="L12" i="8"/>
  <c r="L7" i="8"/>
  <c r="E30" i="8"/>
  <c r="A30" i="8"/>
  <c r="B30" i="8"/>
  <c r="B96" i="8"/>
  <c r="A96" i="8"/>
  <c r="F34" i="6"/>
  <c r="G34" i="6"/>
  <c r="I34" i="6"/>
  <c r="J34" i="6"/>
  <c r="M32" i="6"/>
  <c r="L32" i="6"/>
  <c r="H32" i="6"/>
  <c r="E32" i="6"/>
  <c r="K111" i="8" l="1"/>
  <c r="K32" i="6"/>
  <c r="E62" i="1" l="1"/>
  <c r="Q18" i="10" l="1"/>
  <c r="R20" i="10" s="1"/>
  <c r="M197" i="8"/>
  <c r="L197" i="8"/>
  <c r="M187" i="8"/>
  <c r="L187" i="8"/>
  <c r="M182" i="8"/>
  <c r="L182" i="8"/>
  <c r="M177" i="8"/>
  <c r="L177" i="8"/>
  <c r="M172" i="8"/>
  <c r="L172" i="8"/>
  <c r="M171" i="8"/>
  <c r="L171" i="8"/>
  <c r="M170" i="8"/>
  <c r="L170" i="8"/>
  <c r="M169" i="8"/>
  <c r="L169" i="8"/>
  <c r="M168" i="8"/>
  <c r="L168" i="8"/>
  <c r="M163" i="8"/>
  <c r="L163" i="8"/>
  <c r="M162" i="8"/>
  <c r="L162" i="8"/>
  <c r="M159" i="8"/>
  <c r="L159" i="8"/>
  <c r="M158" i="8"/>
  <c r="L158" i="8"/>
  <c r="M157" i="8"/>
  <c r="L157" i="8"/>
  <c r="M156" i="8"/>
  <c r="L156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4" i="8"/>
  <c r="L144" i="8"/>
  <c r="M133" i="8"/>
  <c r="L133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2" i="8"/>
  <c r="L122" i="8"/>
  <c r="M121" i="8"/>
  <c r="L121" i="8"/>
  <c r="M120" i="8"/>
  <c r="L120" i="8"/>
  <c r="M119" i="8"/>
  <c r="L119" i="8"/>
  <c r="M118" i="8"/>
  <c r="L118" i="8"/>
  <c r="M115" i="8"/>
  <c r="L115" i="8"/>
  <c r="M114" i="8"/>
  <c r="L114" i="8"/>
  <c r="M113" i="8"/>
  <c r="L113" i="8"/>
  <c r="M112" i="8"/>
  <c r="L112" i="8"/>
  <c r="M110" i="8"/>
  <c r="L110" i="8"/>
  <c r="M109" i="8"/>
  <c r="L109" i="8"/>
  <c r="M108" i="8"/>
  <c r="L108" i="8"/>
  <c r="M107" i="8"/>
  <c r="M106" i="8"/>
  <c r="L106" i="8"/>
  <c r="M105" i="8"/>
  <c r="L105" i="8"/>
  <c r="M101" i="8"/>
  <c r="L101" i="8"/>
  <c r="M100" i="8"/>
  <c r="L100" i="8"/>
  <c r="M99" i="8"/>
  <c r="L99" i="8"/>
  <c r="M98" i="8"/>
  <c r="L98" i="8"/>
  <c r="M97" i="8"/>
  <c r="L97" i="8"/>
  <c r="M95" i="8"/>
  <c r="L95" i="8"/>
  <c r="M94" i="8"/>
  <c r="L94" i="8"/>
  <c r="M93" i="8"/>
  <c r="L93" i="8"/>
  <c r="M84" i="8"/>
  <c r="M83" i="8"/>
  <c r="M82" i="8"/>
  <c r="M81" i="8"/>
  <c r="M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72" i="8"/>
  <c r="L72" i="8"/>
  <c r="M66" i="8"/>
  <c r="M64" i="8"/>
  <c r="L64" i="8"/>
  <c r="M63" i="8"/>
  <c r="M59" i="8"/>
  <c r="M58" i="8"/>
  <c r="M57" i="8"/>
  <c r="M56" i="8"/>
  <c r="L56" i="8"/>
  <c r="M55" i="8"/>
  <c r="L55" i="8"/>
  <c r="M54" i="8"/>
  <c r="L54" i="8"/>
  <c r="M53" i="8"/>
  <c r="M52" i="8"/>
  <c r="L52" i="8"/>
  <c r="M51" i="8"/>
  <c r="L51" i="8"/>
  <c r="M46" i="8"/>
  <c r="M47" i="8" s="1"/>
  <c r="M42" i="8"/>
  <c r="M41" i="8"/>
  <c r="L41" i="8"/>
  <c r="M40" i="8"/>
  <c r="L40" i="8"/>
  <c r="M39" i="8"/>
  <c r="L39" i="8"/>
  <c r="M38" i="8"/>
  <c r="L38" i="8"/>
  <c r="M37" i="8"/>
  <c r="L37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M25" i="8"/>
  <c r="L25" i="8"/>
  <c r="M24" i="8"/>
  <c r="L24" i="8"/>
  <c r="L19" i="8"/>
  <c r="M19" i="8"/>
  <c r="M20" i="8"/>
  <c r="L21" i="8"/>
  <c r="M21" i="8"/>
  <c r="L8" i="8"/>
  <c r="M8" i="8"/>
  <c r="L9" i="8"/>
  <c r="M9" i="8"/>
  <c r="L10" i="8"/>
  <c r="M10" i="8"/>
  <c r="L11" i="8"/>
  <c r="M11" i="8"/>
  <c r="M12" i="8"/>
  <c r="H56" i="8"/>
  <c r="E56" i="8"/>
  <c r="H11" i="8"/>
  <c r="B11" i="8"/>
  <c r="A11" i="8"/>
  <c r="K98" i="8" l="1"/>
  <c r="K97" i="8"/>
  <c r="K11" i="8"/>
  <c r="K56" i="8"/>
  <c r="D50" i="5"/>
  <c r="D47" i="5"/>
  <c r="D32" i="5"/>
  <c r="D15" i="5"/>
  <c r="D8" i="5"/>
  <c r="D9" i="5"/>
  <c r="D10" i="5"/>
  <c r="D7" i="5"/>
  <c r="H150" i="8" l="1"/>
  <c r="E150" i="8"/>
  <c r="B150" i="8"/>
  <c r="A150" i="8"/>
  <c r="J134" i="8"/>
  <c r="J91" i="8"/>
  <c r="H101" i="8"/>
  <c r="E101" i="8"/>
  <c r="B101" i="8"/>
  <c r="A101" i="8"/>
  <c r="H33" i="8"/>
  <c r="E33" i="8"/>
  <c r="B33" i="8"/>
  <c r="A33" i="8"/>
  <c r="H32" i="8"/>
  <c r="E32" i="8"/>
  <c r="B32" i="8"/>
  <c r="A32" i="8"/>
  <c r="F14" i="4"/>
  <c r="G14" i="4"/>
  <c r="H14" i="4"/>
  <c r="F15" i="4"/>
  <c r="G15" i="4"/>
  <c r="H15" i="4"/>
  <c r="F16" i="4"/>
  <c r="G16" i="4"/>
  <c r="H16" i="4"/>
  <c r="F17" i="4"/>
  <c r="G17" i="4"/>
  <c r="H17" i="4"/>
  <c r="F20" i="4"/>
  <c r="G20" i="4"/>
  <c r="H20" i="4"/>
  <c r="G21" i="4"/>
  <c r="H28" i="4"/>
  <c r="F29" i="4"/>
  <c r="G29" i="4"/>
  <c r="H29" i="4"/>
  <c r="E31" i="4"/>
  <c r="F31" i="4"/>
  <c r="G31" i="4"/>
  <c r="H31" i="4"/>
  <c r="E27" i="6"/>
  <c r="K33" i="8" l="1"/>
  <c r="K101" i="8"/>
  <c r="K150" i="8"/>
  <c r="K32" i="8"/>
  <c r="H112" i="6"/>
  <c r="H113" i="6" s="1"/>
  <c r="F32" i="4" s="1"/>
  <c r="E112" i="6"/>
  <c r="I113" i="6"/>
  <c r="G32" i="4" s="1"/>
  <c r="J113" i="6"/>
  <c r="H32" i="4" s="1"/>
  <c r="M78" i="6"/>
  <c r="L78" i="6"/>
  <c r="E78" i="6"/>
  <c r="M86" i="6"/>
  <c r="L86" i="6"/>
  <c r="E86" i="6"/>
  <c r="M45" i="6"/>
  <c r="L45" i="6"/>
  <c r="E45" i="6"/>
  <c r="F58" i="5"/>
  <c r="C30" i="2"/>
  <c r="C35" i="2"/>
  <c r="C34" i="2"/>
  <c r="C36" i="2" s="1"/>
  <c r="C47" i="2"/>
  <c r="F58" i="1"/>
  <c r="C19" i="2" l="1"/>
  <c r="E58" i="5"/>
  <c r="K78" i="6"/>
  <c r="K86" i="6"/>
  <c r="K45" i="6"/>
  <c r="G57" i="5"/>
  <c r="G58" i="5" s="1"/>
  <c r="D72" i="1" l="1"/>
  <c r="D29" i="1"/>
  <c r="H80" i="6" l="1"/>
  <c r="I7" i="2" l="1"/>
  <c r="H177" i="8" l="1"/>
  <c r="E177" i="8"/>
  <c r="B177" i="8"/>
  <c r="A177" i="8"/>
  <c r="E28" i="6"/>
  <c r="K177" i="8" l="1"/>
  <c r="H82" i="6"/>
  <c r="F25" i="4" s="1"/>
  <c r="I82" i="6"/>
  <c r="G25" i="4" s="1"/>
  <c r="J82" i="6"/>
  <c r="H25" i="4" s="1"/>
  <c r="F27" i="5"/>
  <c r="E28" i="5"/>
  <c r="E38" i="8" l="1"/>
  <c r="E39" i="8"/>
  <c r="E40" i="8"/>
  <c r="E41" i="8"/>
  <c r="E42" i="8"/>
  <c r="M139" i="8"/>
  <c r="L139" i="8"/>
  <c r="M136" i="8"/>
  <c r="L136" i="8"/>
  <c r="K136" i="8" l="1"/>
  <c r="K125" i="8"/>
  <c r="K139" i="8"/>
  <c r="K129" i="8"/>
  <c r="K122" i="8"/>
  <c r="K130" i="8"/>
  <c r="K120" i="8"/>
  <c r="K127" i="8"/>
  <c r="K119" i="8"/>
  <c r="K168" i="8"/>
  <c r="K128" i="8"/>
  <c r="K126" i="8"/>
  <c r="K131" i="8"/>
  <c r="K124" i="8"/>
  <c r="K121" i="8"/>
  <c r="J13" i="8"/>
  <c r="J15" i="8" s="1"/>
  <c r="J85" i="8"/>
  <c r="H57" i="8"/>
  <c r="E57" i="8"/>
  <c r="E89" i="6"/>
  <c r="H19" i="4"/>
  <c r="G19" i="4"/>
  <c r="E19" i="4"/>
  <c r="D19" i="4"/>
  <c r="M36" i="6"/>
  <c r="M38" i="6" s="1"/>
  <c r="L36" i="6"/>
  <c r="L38" i="6" s="1"/>
  <c r="H36" i="6"/>
  <c r="E36" i="6"/>
  <c r="H38" i="6" l="1"/>
  <c r="F19" i="4" s="1"/>
  <c r="E38" i="6"/>
  <c r="C19" i="4" s="1"/>
  <c r="K36" i="6"/>
  <c r="K38" i="6" s="1"/>
  <c r="K57" i="8"/>
  <c r="L181" i="8"/>
  <c r="K169" i="8"/>
  <c r="L71" i="8"/>
  <c r="L17" i="8"/>
  <c r="H202" i="8"/>
  <c r="H125" i="8"/>
  <c r="H124" i="8"/>
  <c r="H83" i="8"/>
  <c r="H74" i="8"/>
  <c r="H79" i="8"/>
  <c r="H58" i="8"/>
  <c r="H27" i="8"/>
  <c r="H26" i="8"/>
  <c r="H20" i="8"/>
  <c r="E197" i="8"/>
  <c r="E169" i="8"/>
  <c r="E19" i="8"/>
  <c r="B169" i="8"/>
  <c r="A169" i="8"/>
  <c r="F85" i="8"/>
  <c r="H98" i="8" l="1"/>
  <c r="A98" i="8"/>
  <c r="B98" i="8"/>
  <c r="K21" i="8"/>
  <c r="H21" i="8"/>
  <c r="E21" i="8"/>
  <c r="B21" i="8"/>
  <c r="A21" i="8"/>
  <c r="E26" i="5" l="1"/>
  <c r="H61" i="6" l="1"/>
  <c r="H63" i="6" s="1"/>
  <c r="F22" i="4" s="1"/>
  <c r="E144" i="8"/>
  <c r="E146" i="8"/>
  <c r="E147" i="8"/>
  <c r="E148" i="8"/>
  <c r="E149" i="8"/>
  <c r="E151" i="8"/>
  <c r="E152" i="8"/>
  <c r="E153" i="8"/>
  <c r="E156" i="8"/>
  <c r="E157" i="8"/>
  <c r="E158" i="8"/>
  <c r="E159" i="8"/>
  <c r="E162" i="8"/>
  <c r="E110" i="8"/>
  <c r="E112" i="8"/>
  <c r="E113" i="8"/>
  <c r="E52" i="8"/>
  <c r="E53" i="8"/>
  <c r="E54" i="8"/>
  <c r="E55" i="8"/>
  <c r="E58" i="8"/>
  <c r="E25" i="8"/>
  <c r="E26" i="8"/>
  <c r="E27" i="8"/>
  <c r="E28" i="8"/>
  <c r="E29" i="8"/>
  <c r="E31" i="8"/>
  <c r="E34" i="8"/>
  <c r="E20" i="8"/>
  <c r="H149" i="8"/>
  <c r="H151" i="8"/>
  <c r="H152" i="8"/>
  <c r="H153" i="8"/>
  <c r="H156" i="8"/>
  <c r="H157" i="8"/>
  <c r="H158" i="8"/>
  <c r="H159" i="8"/>
  <c r="H162" i="8"/>
  <c r="H163" i="8"/>
  <c r="H121" i="8"/>
  <c r="H122" i="8"/>
  <c r="H126" i="8"/>
  <c r="H127" i="8"/>
  <c r="H128" i="8"/>
  <c r="H129" i="8"/>
  <c r="H130" i="8"/>
  <c r="H131" i="8"/>
  <c r="H133" i="8"/>
  <c r="H106" i="8"/>
  <c r="H107" i="8"/>
  <c r="H108" i="8"/>
  <c r="H109" i="8"/>
  <c r="H110" i="8"/>
  <c r="H112" i="8"/>
  <c r="H113" i="8"/>
  <c r="H114" i="8"/>
  <c r="H115" i="8"/>
  <c r="H94" i="8"/>
  <c r="H95" i="8"/>
  <c r="H97" i="8"/>
  <c r="H99" i="8"/>
  <c r="H100" i="8"/>
  <c r="H70" i="8"/>
  <c r="H71" i="8"/>
  <c r="H72" i="8"/>
  <c r="H73" i="8"/>
  <c r="H75" i="8"/>
  <c r="H76" i="8"/>
  <c r="H77" i="8"/>
  <c r="H78" i="8"/>
  <c r="H80" i="8"/>
  <c r="H81" i="8"/>
  <c r="H82" i="8"/>
  <c r="H84" i="8"/>
  <c r="H52" i="8"/>
  <c r="H53" i="8"/>
  <c r="H54" i="8"/>
  <c r="H55" i="8"/>
  <c r="H59" i="8"/>
  <c r="H60" i="8"/>
  <c r="H38" i="8"/>
  <c r="H39" i="8"/>
  <c r="H40" i="8"/>
  <c r="H41" i="8"/>
  <c r="H42" i="8"/>
  <c r="H25" i="8"/>
  <c r="H28" i="8"/>
  <c r="H29" i="8"/>
  <c r="H31" i="8"/>
  <c r="H34" i="8"/>
  <c r="H19" i="8"/>
  <c r="H9" i="8"/>
  <c r="H10" i="8"/>
  <c r="H12" i="8"/>
  <c r="L102" i="8"/>
  <c r="M102" i="8"/>
  <c r="L70" i="8"/>
  <c r="M70" i="8"/>
  <c r="M71" i="8"/>
  <c r="K53" i="8"/>
  <c r="L60" i="8"/>
  <c r="M60" i="8"/>
  <c r="K27" i="8"/>
  <c r="K28" i="8"/>
  <c r="K29" i="8"/>
  <c r="A158" i="8"/>
  <c r="B158" i="8"/>
  <c r="I63" i="6"/>
  <c r="J63" i="6"/>
  <c r="H22" i="4" s="1"/>
  <c r="G27" i="5"/>
  <c r="G12" i="5"/>
  <c r="F59" i="1"/>
  <c r="G11" i="5"/>
  <c r="G22" i="4" l="1"/>
  <c r="K58" i="8"/>
  <c r="K26" i="8"/>
  <c r="K10" i="8"/>
  <c r="K95" i="8"/>
  <c r="K148" i="8"/>
  <c r="K108" i="8"/>
  <c r="K106" i="8"/>
  <c r="K20" i="8"/>
  <c r="K54" i="8"/>
  <c r="K77" i="8"/>
  <c r="K75" i="8"/>
  <c r="K115" i="8"/>
  <c r="K133" i="8"/>
  <c r="K8" i="8"/>
  <c r="K42" i="8"/>
  <c r="K40" i="8"/>
  <c r="K73" i="8"/>
  <c r="K71" i="8"/>
  <c r="K102" i="8"/>
  <c r="K159" i="8"/>
  <c r="K157" i="8"/>
  <c r="K153" i="8"/>
  <c r="K146" i="8"/>
  <c r="K31" i="8"/>
  <c r="K52" i="8"/>
  <c r="K83" i="8"/>
  <c r="K82" i="8"/>
  <c r="K80" i="8"/>
  <c r="K113" i="8"/>
  <c r="K107" i="8"/>
  <c r="K12" i="8"/>
  <c r="K39" i="8"/>
  <c r="K60" i="8"/>
  <c r="K79" i="8"/>
  <c r="K70" i="8"/>
  <c r="K100" i="8"/>
  <c r="K114" i="8"/>
  <c r="K163" i="8"/>
  <c r="K156" i="8"/>
  <c r="K152" i="8"/>
  <c r="K149" i="8"/>
  <c r="K144" i="8"/>
  <c r="K19" i="8"/>
  <c r="K34" i="8"/>
  <c r="K25" i="8"/>
  <c r="K41" i="8"/>
  <c r="K55" i="8"/>
  <c r="K81" i="8"/>
  <c r="K74" i="8"/>
  <c r="K72" i="8"/>
  <c r="K99" i="8"/>
  <c r="K112" i="8"/>
  <c r="K110" i="8"/>
  <c r="K158" i="8"/>
  <c r="K151" i="8"/>
  <c r="K9" i="8"/>
  <c r="K38" i="8"/>
  <c r="K59" i="8"/>
  <c r="K84" i="8"/>
  <c r="K78" i="8"/>
  <c r="K76" i="8"/>
  <c r="K94" i="8"/>
  <c r="K109" i="8"/>
  <c r="K162" i="8"/>
  <c r="K147" i="8"/>
  <c r="B31" i="8"/>
  <c r="A31" i="8"/>
  <c r="B19" i="8"/>
  <c r="A19" i="8"/>
  <c r="F12" i="5" l="1"/>
  <c r="F32" i="5"/>
  <c r="F15" i="5"/>
  <c r="F8" i="5"/>
  <c r="F9" i="5"/>
  <c r="F10" i="5"/>
  <c r="F7" i="5"/>
  <c r="M90" i="8" l="1"/>
  <c r="L90" i="8"/>
  <c r="M89" i="8"/>
  <c r="L89" i="8"/>
  <c r="M88" i="8"/>
  <c r="L88" i="8"/>
  <c r="M87" i="8"/>
  <c r="L87" i="8"/>
  <c r="M69" i="8"/>
  <c r="L69" i="8"/>
  <c r="M17" i="8"/>
  <c r="E121" i="8"/>
  <c r="E46" i="8"/>
  <c r="H51" i="8"/>
  <c r="H66" i="8"/>
  <c r="H64" i="8"/>
  <c r="H63" i="8"/>
  <c r="H69" i="8"/>
  <c r="H93" i="8"/>
  <c r="D13" i="7"/>
  <c r="E13" i="7"/>
  <c r="B46" i="8"/>
  <c r="B42" i="8"/>
  <c r="B41" i="8"/>
  <c r="B40" i="8"/>
  <c r="B39" i="8"/>
  <c r="B38" i="8"/>
  <c r="K13" i="7"/>
  <c r="Y42" i="10" s="1"/>
  <c r="J13" i="7"/>
  <c r="X42" i="10" s="1"/>
  <c r="H46" i="8"/>
  <c r="H47" i="8" s="1"/>
  <c r="E8" i="8"/>
  <c r="E9" i="8"/>
  <c r="B121" i="8"/>
  <c r="A121" i="8"/>
  <c r="E47" i="8" l="1"/>
  <c r="C13" i="7" s="1"/>
  <c r="O42" i="10"/>
  <c r="W42" i="10"/>
  <c r="AA42" i="10"/>
  <c r="P42" i="10"/>
  <c r="AB42" i="10"/>
  <c r="K88" i="8"/>
  <c r="K63" i="8"/>
  <c r="K90" i="8"/>
  <c r="K93" i="8"/>
  <c r="K89" i="8"/>
  <c r="K51" i="8"/>
  <c r="K118" i="8"/>
  <c r="K37" i="8"/>
  <c r="K64" i="8"/>
  <c r="K69" i="8"/>
  <c r="K17" i="8"/>
  <c r="K87" i="8"/>
  <c r="K24" i="8"/>
  <c r="K66" i="8"/>
  <c r="K105" i="8"/>
  <c r="K46" i="8"/>
  <c r="H119" i="8"/>
  <c r="E119" i="8"/>
  <c r="B119" i="8"/>
  <c r="A119" i="8"/>
  <c r="I67" i="8"/>
  <c r="J67" i="8"/>
  <c r="H67" i="8"/>
  <c r="K47" i="8" l="1"/>
  <c r="I13" i="7" s="1"/>
  <c r="L13" i="7" s="1"/>
  <c r="N42" i="10"/>
  <c r="Z42" i="10"/>
  <c r="M26" i="6"/>
  <c r="L26" i="6"/>
  <c r="E26" i="6"/>
  <c r="D51" i="2"/>
  <c r="D19" i="2" s="1"/>
  <c r="C52" i="2"/>
  <c r="D47" i="2"/>
  <c r="K26" i="6" l="1"/>
  <c r="D18" i="1"/>
  <c r="G48" i="5"/>
  <c r="G50" i="5"/>
  <c r="G51" i="5"/>
  <c r="G52" i="5"/>
  <c r="F50" i="5"/>
  <c r="G30" i="5"/>
  <c r="F30" i="5"/>
  <c r="E29" i="5"/>
  <c r="J203" i="8" l="1"/>
  <c r="H29" i="7" s="1"/>
  <c r="I203" i="8"/>
  <c r="G29" i="7" s="1"/>
  <c r="G203" i="8"/>
  <c r="E29" i="7" s="1"/>
  <c r="F203" i="8"/>
  <c r="D29" i="7" s="1"/>
  <c r="M202" i="8"/>
  <c r="M203" i="8" s="1"/>
  <c r="K29" i="7" s="1"/>
  <c r="Y34" i="10" s="1"/>
  <c r="L202" i="8"/>
  <c r="L203" i="8" s="1"/>
  <c r="J29" i="7" s="1"/>
  <c r="X34" i="10" s="1"/>
  <c r="H203" i="8"/>
  <c r="F29" i="7" s="1"/>
  <c r="E202" i="8"/>
  <c r="E203" i="8" s="1"/>
  <c r="C29" i="7" s="1"/>
  <c r="B202" i="8"/>
  <c r="A202" i="8"/>
  <c r="J200" i="8"/>
  <c r="H28" i="7" s="1"/>
  <c r="I200" i="8"/>
  <c r="G28" i="7" s="1"/>
  <c r="G200" i="8"/>
  <c r="E28" i="7" s="1"/>
  <c r="F200" i="8"/>
  <c r="D28" i="7" s="1"/>
  <c r="M199" i="8"/>
  <c r="L199" i="8"/>
  <c r="E199" i="8"/>
  <c r="B199" i="8"/>
  <c r="A199" i="8"/>
  <c r="M198" i="8"/>
  <c r="L198" i="8"/>
  <c r="B198" i="8"/>
  <c r="A198" i="8"/>
  <c r="B197" i="8"/>
  <c r="A197" i="8"/>
  <c r="M196" i="8"/>
  <c r="L196" i="8"/>
  <c r="H196" i="8"/>
  <c r="H200" i="8" s="1"/>
  <c r="F28" i="7" s="1"/>
  <c r="E196" i="8"/>
  <c r="B196" i="8"/>
  <c r="A196" i="8"/>
  <c r="J194" i="8"/>
  <c r="H27" i="7" s="1"/>
  <c r="I194" i="8"/>
  <c r="G27" i="7" s="1"/>
  <c r="G194" i="8"/>
  <c r="E27" i="7" s="1"/>
  <c r="F194" i="8"/>
  <c r="D27" i="7" s="1"/>
  <c r="M193" i="8"/>
  <c r="L193" i="8"/>
  <c r="H193" i="8"/>
  <c r="E193" i="8"/>
  <c r="B193" i="8"/>
  <c r="A193" i="8"/>
  <c r="M192" i="8"/>
  <c r="L192" i="8"/>
  <c r="H192" i="8"/>
  <c r="E192" i="8"/>
  <c r="B192" i="8"/>
  <c r="A192" i="8"/>
  <c r="H26" i="7"/>
  <c r="G26" i="7"/>
  <c r="G190" i="8"/>
  <c r="E26" i="7" s="1"/>
  <c r="F190" i="8"/>
  <c r="M189" i="8"/>
  <c r="L189" i="8"/>
  <c r="H189" i="8"/>
  <c r="H190" i="8" s="1"/>
  <c r="F26" i="7" s="1"/>
  <c r="E189" i="8"/>
  <c r="B189" i="8"/>
  <c r="A189" i="8"/>
  <c r="E187" i="8"/>
  <c r="B187" i="8"/>
  <c r="A187" i="8"/>
  <c r="J183" i="8"/>
  <c r="H25" i="7" s="1"/>
  <c r="I183" i="8"/>
  <c r="G25" i="7" s="1"/>
  <c r="G183" i="8"/>
  <c r="E25" i="7" s="1"/>
  <c r="F183" i="8"/>
  <c r="D25" i="7" s="1"/>
  <c r="H182" i="8"/>
  <c r="E182" i="8"/>
  <c r="B182" i="8"/>
  <c r="A182" i="8"/>
  <c r="M181" i="8"/>
  <c r="H181" i="8"/>
  <c r="E181" i="8"/>
  <c r="B181" i="8"/>
  <c r="A181" i="8"/>
  <c r="M180" i="8"/>
  <c r="L180" i="8"/>
  <c r="H180" i="8"/>
  <c r="E180" i="8"/>
  <c r="B180" i="8"/>
  <c r="A180" i="8"/>
  <c r="J178" i="8"/>
  <c r="I178" i="8"/>
  <c r="G24" i="7" s="1"/>
  <c r="G178" i="8"/>
  <c r="F178" i="8"/>
  <c r="D24" i="7" s="1"/>
  <c r="E178" i="8"/>
  <c r="J173" i="8"/>
  <c r="H23" i="7" s="1"/>
  <c r="I173" i="8"/>
  <c r="G23" i="7" s="1"/>
  <c r="G173" i="8"/>
  <c r="E23" i="7" s="1"/>
  <c r="F173" i="8"/>
  <c r="H172" i="8"/>
  <c r="E172" i="8"/>
  <c r="B172" i="8"/>
  <c r="A172" i="8"/>
  <c r="H171" i="8"/>
  <c r="E171" i="8"/>
  <c r="B171" i="8"/>
  <c r="A171" i="8"/>
  <c r="K170" i="8"/>
  <c r="H170" i="8"/>
  <c r="E170" i="8"/>
  <c r="B170" i="8"/>
  <c r="A170" i="8"/>
  <c r="H168" i="8"/>
  <c r="E168" i="8"/>
  <c r="B168" i="8"/>
  <c r="A168" i="8"/>
  <c r="J164" i="8"/>
  <c r="J166" i="8" s="1"/>
  <c r="I164" i="8"/>
  <c r="G164" i="8"/>
  <c r="F164" i="8"/>
  <c r="E163" i="8"/>
  <c r="B163" i="8"/>
  <c r="A163" i="8"/>
  <c r="B162" i="8"/>
  <c r="A162" i="8"/>
  <c r="B159" i="8"/>
  <c r="A159" i="8"/>
  <c r="B157" i="8"/>
  <c r="A157" i="8"/>
  <c r="B156" i="8"/>
  <c r="A156" i="8"/>
  <c r="B153" i="8"/>
  <c r="A153" i="8"/>
  <c r="B152" i="8"/>
  <c r="A152" i="8"/>
  <c r="B151" i="8"/>
  <c r="A151" i="8"/>
  <c r="B149" i="8"/>
  <c r="A149" i="8"/>
  <c r="H148" i="8"/>
  <c r="B148" i="8"/>
  <c r="A148" i="8"/>
  <c r="B147" i="8"/>
  <c r="A147" i="8"/>
  <c r="H146" i="8"/>
  <c r="B146" i="8"/>
  <c r="A146" i="8"/>
  <c r="B144" i="8"/>
  <c r="A144" i="8"/>
  <c r="J140" i="8"/>
  <c r="H21" i="7" s="1"/>
  <c r="I140" i="8"/>
  <c r="G21" i="7" s="1"/>
  <c r="G140" i="8"/>
  <c r="E21" i="7" s="1"/>
  <c r="F140" i="8"/>
  <c r="D21" i="7" s="1"/>
  <c r="M140" i="8"/>
  <c r="K21" i="7" s="1"/>
  <c r="Y37" i="10" s="1"/>
  <c r="L140" i="8"/>
  <c r="J21" i="7" s="1"/>
  <c r="X37" i="10" s="1"/>
  <c r="H139" i="8"/>
  <c r="H140" i="8" s="1"/>
  <c r="F21" i="7" s="1"/>
  <c r="E139" i="8"/>
  <c r="E140" i="8" s="1"/>
  <c r="C21" i="7" s="1"/>
  <c r="B139" i="8"/>
  <c r="A139" i="8"/>
  <c r="J137" i="8"/>
  <c r="I137" i="8"/>
  <c r="G137" i="8"/>
  <c r="F137" i="8"/>
  <c r="L137" i="8"/>
  <c r="H136" i="8"/>
  <c r="H137" i="8" s="1"/>
  <c r="E136" i="8"/>
  <c r="E137" i="8" s="1"/>
  <c r="B136" i="8"/>
  <c r="A136" i="8"/>
  <c r="I134" i="8"/>
  <c r="G134" i="8"/>
  <c r="F134" i="8"/>
  <c r="D19" i="7" s="1"/>
  <c r="E133" i="8"/>
  <c r="B133" i="8"/>
  <c r="A133" i="8"/>
  <c r="E131" i="8"/>
  <c r="B131" i="8"/>
  <c r="A131" i="8"/>
  <c r="E130" i="8"/>
  <c r="B130" i="8"/>
  <c r="A130" i="8"/>
  <c r="E129" i="8"/>
  <c r="B129" i="8"/>
  <c r="A129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E124" i="8"/>
  <c r="B124" i="8"/>
  <c r="A124" i="8"/>
  <c r="E122" i="8"/>
  <c r="B122" i="8"/>
  <c r="A122" i="8"/>
  <c r="H120" i="8"/>
  <c r="E120" i="8"/>
  <c r="B120" i="8"/>
  <c r="A120" i="8"/>
  <c r="H118" i="8"/>
  <c r="E118" i="8"/>
  <c r="B118" i="8"/>
  <c r="A118" i="8"/>
  <c r="J116" i="8"/>
  <c r="H18" i="7" s="1"/>
  <c r="I116" i="8"/>
  <c r="G18" i="7" s="1"/>
  <c r="G116" i="8"/>
  <c r="E18" i="7" s="1"/>
  <c r="F116" i="8"/>
  <c r="D18" i="7" s="1"/>
  <c r="E115" i="8"/>
  <c r="B115" i="8"/>
  <c r="A115" i="8"/>
  <c r="E114" i="8"/>
  <c r="B114" i="8"/>
  <c r="A114" i="8"/>
  <c r="B113" i="8"/>
  <c r="A113" i="8"/>
  <c r="B112" i="8"/>
  <c r="A112" i="8"/>
  <c r="B110" i="8"/>
  <c r="A110" i="8"/>
  <c r="E109" i="8"/>
  <c r="B109" i="8"/>
  <c r="A109" i="8"/>
  <c r="E108" i="8"/>
  <c r="B108" i="8"/>
  <c r="A108" i="8"/>
  <c r="E107" i="8"/>
  <c r="B107" i="8"/>
  <c r="A107" i="8"/>
  <c r="E106" i="8"/>
  <c r="B106" i="8"/>
  <c r="A106" i="8"/>
  <c r="H105" i="8"/>
  <c r="E105" i="8"/>
  <c r="B105" i="8"/>
  <c r="A105" i="8"/>
  <c r="J103" i="8"/>
  <c r="H17" i="7" s="1"/>
  <c r="I103" i="8"/>
  <c r="G103" i="8"/>
  <c r="E17" i="7" s="1"/>
  <c r="F103" i="8"/>
  <c r="D17" i="7" s="1"/>
  <c r="H102" i="8"/>
  <c r="E102" i="8"/>
  <c r="B102" i="8"/>
  <c r="A102" i="8"/>
  <c r="E100" i="8"/>
  <c r="B100" i="8"/>
  <c r="A100" i="8"/>
  <c r="B99" i="8"/>
  <c r="A99" i="8"/>
  <c r="B97" i="8"/>
  <c r="A97" i="8"/>
  <c r="E95" i="8"/>
  <c r="B95" i="8"/>
  <c r="A95" i="8"/>
  <c r="E94" i="8"/>
  <c r="B94" i="8"/>
  <c r="A94" i="8"/>
  <c r="E93" i="8"/>
  <c r="B93" i="8"/>
  <c r="A93" i="8"/>
  <c r="H16" i="7"/>
  <c r="I91" i="8"/>
  <c r="G16" i="7" s="1"/>
  <c r="G91" i="8"/>
  <c r="E16" i="7" s="1"/>
  <c r="F91" i="8"/>
  <c r="D16" i="7" s="1"/>
  <c r="H90" i="8"/>
  <c r="E90" i="8"/>
  <c r="B90" i="8"/>
  <c r="A90" i="8"/>
  <c r="H89" i="8"/>
  <c r="E89" i="8"/>
  <c r="B89" i="8"/>
  <c r="A89" i="8"/>
  <c r="H88" i="8"/>
  <c r="E88" i="8"/>
  <c r="B88" i="8"/>
  <c r="A88" i="8"/>
  <c r="H87" i="8"/>
  <c r="E87" i="8"/>
  <c r="H15" i="7"/>
  <c r="I85" i="8"/>
  <c r="G15" i="7" s="1"/>
  <c r="G85" i="8"/>
  <c r="E15" i="7" s="1"/>
  <c r="D15" i="7"/>
  <c r="E84" i="8"/>
  <c r="B84" i="8"/>
  <c r="A84" i="8"/>
  <c r="E83" i="8"/>
  <c r="B83" i="8"/>
  <c r="A83" i="8"/>
  <c r="E82" i="8"/>
  <c r="B82" i="8"/>
  <c r="A82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G67" i="8"/>
  <c r="F67" i="8"/>
  <c r="E66" i="8"/>
  <c r="A66" i="8"/>
  <c r="E64" i="8"/>
  <c r="A64" i="8"/>
  <c r="E63" i="8"/>
  <c r="A63" i="8"/>
  <c r="J61" i="8"/>
  <c r="I61" i="8"/>
  <c r="G14" i="7" s="1"/>
  <c r="G61" i="8"/>
  <c r="F61" i="8"/>
  <c r="E60" i="8"/>
  <c r="B60" i="8"/>
  <c r="A60" i="8"/>
  <c r="E59" i="8"/>
  <c r="B52" i="8"/>
  <c r="A52" i="8"/>
  <c r="E51" i="8"/>
  <c r="J43" i="8"/>
  <c r="H12" i="7" s="1"/>
  <c r="I43" i="8"/>
  <c r="G12" i="7" s="1"/>
  <c r="G43" i="8"/>
  <c r="F43" i="8"/>
  <c r="D12" i="7" s="1"/>
  <c r="A41" i="8"/>
  <c r="A38" i="8"/>
  <c r="H37" i="8"/>
  <c r="E37" i="8"/>
  <c r="B37" i="8"/>
  <c r="A37" i="8"/>
  <c r="J35" i="8"/>
  <c r="I35" i="8"/>
  <c r="G11" i="7" s="1"/>
  <c r="G35" i="8"/>
  <c r="E11" i="7" s="1"/>
  <c r="F35" i="8"/>
  <c r="D11" i="7" s="1"/>
  <c r="B29" i="8"/>
  <c r="A29" i="8"/>
  <c r="B28" i="8"/>
  <c r="A28" i="8"/>
  <c r="B27" i="8"/>
  <c r="A27" i="8"/>
  <c r="H24" i="8"/>
  <c r="E24" i="8"/>
  <c r="B24" i="8"/>
  <c r="A24" i="8"/>
  <c r="J22" i="8"/>
  <c r="I22" i="8"/>
  <c r="G22" i="8"/>
  <c r="F22" i="8"/>
  <c r="B20" i="8"/>
  <c r="A20" i="8"/>
  <c r="H17" i="8"/>
  <c r="E17" i="8"/>
  <c r="B17" i="8"/>
  <c r="A17" i="8"/>
  <c r="H9" i="7"/>
  <c r="I13" i="8"/>
  <c r="G13" i="8"/>
  <c r="F13" i="8"/>
  <c r="F15" i="8" s="1"/>
  <c r="E12" i="8"/>
  <c r="B12" i="8"/>
  <c r="A12" i="8"/>
  <c r="E10" i="8"/>
  <c r="B10" i="8"/>
  <c r="A10" i="8"/>
  <c r="B9" i="8"/>
  <c r="A9" i="8"/>
  <c r="H8" i="8"/>
  <c r="B8" i="8"/>
  <c r="A8" i="8"/>
  <c r="M7" i="8"/>
  <c r="H7" i="8"/>
  <c r="E7" i="8"/>
  <c r="B7" i="8"/>
  <c r="A7" i="8"/>
  <c r="M30" i="7"/>
  <c r="H20" i="7"/>
  <c r="G20" i="7"/>
  <c r="E20" i="7"/>
  <c r="D20" i="7"/>
  <c r="G113" i="6"/>
  <c r="E32" i="4" s="1"/>
  <c r="F113" i="6"/>
  <c r="D32" i="4" s="1"/>
  <c r="M112" i="6"/>
  <c r="M113" i="6" s="1"/>
  <c r="L112" i="6"/>
  <c r="L113" i="6" s="1"/>
  <c r="E113" i="6"/>
  <c r="C32" i="4" s="1"/>
  <c r="F110" i="6"/>
  <c r="D31" i="4" s="1"/>
  <c r="M109" i="6"/>
  <c r="L109" i="6"/>
  <c r="E109" i="6"/>
  <c r="E110" i="6" s="1"/>
  <c r="C31" i="4" s="1"/>
  <c r="J107" i="6"/>
  <c r="I107" i="6"/>
  <c r="G107" i="6"/>
  <c r="E30" i="4" s="1"/>
  <c r="F107" i="6"/>
  <c r="M106" i="6"/>
  <c r="M107" i="6" s="1"/>
  <c r="L106" i="6"/>
  <c r="L107" i="6" s="1"/>
  <c r="H106" i="6"/>
  <c r="E106" i="6"/>
  <c r="E107" i="6" s="1"/>
  <c r="J104" i="6"/>
  <c r="G102" i="6"/>
  <c r="E29" i="4" s="1"/>
  <c r="F102" i="6"/>
  <c r="D29" i="4" s="1"/>
  <c r="M101" i="6"/>
  <c r="M102" i="6" s="1"/>
  <c r="L101" i="6"/>
  <c r="L102" i="6" s="1"/>
  <c r="E101" i="6"/>
  <c r="E102" i="6" s="1"/>
  <c r="C29" i="4" s="1"/>
  <c r="I99" i="6"/>
  <c r="G99" i="6"/>
  <c r="E28" i="4" s="1"/>
  <c r="F99" i="6"/>
  <c r="M98" i="6"/>
  <c r="M99" i="6" s="1"/>
  <c r="L98" i="6"/>
  <c r="L99" i="6" s="1"/>
  <c r="H98" i="6"/>
  <c r="E98" i="6"/>
  <c r="E99" i="6" s="1"/>
  <c r="J91" i="6"/>
  <c r="H26" i="4" s="1"/>
  <c r="I91" i="6"/>
  <c r="G26" i="4" s="1"/>
  <c r="G91" i="6"/>
  <c r="F91" i="6"/>
  <c r="D26" i="4" s="1"/>
  <c r="M90" i="6"/>
  <c r="L90" i="6"/>
  <c r="E90" i="6"/>
  <c r="M88" i="6"/>
  <c r="L88" i="6"/>
  <c r="E88" i="6"/>
  <c r="M87" i="6"/>
  <c r="L87" i="6"/>
  <c r="E87" i="6"/>
  <c r="H91" i="6"/>
  <c r="F26" i="4" s="1"/>
  <c r="G82" i="6"/>
  <c r="E25" i="4" s="1"/>
  <c r="F82" i="6"/>
  <c r="D25" i="4" s="1"/>
  <c r="M81" i="6"/>
  <c r="L81" i="6"/>
  <c r="E81" i="6"/>
  <c r="M80" i="6"/>
  <c r="L80" i="6"/>
  <c r="E80" i="6"/>
  <c r="J76" i="6"/>
  <c r="H24" i="4" s="1"/>
  <c r="I76" i="6"/>
  <c r="G24" i="4" s="1"/>
  <c r="G76" i="6"/>
  <c r="E24" i="4" s="1"/>
  <c r="F76" i="6"/>
  <c r="D24" i="4" s="1"/>
  <c r="M75" i="6"/>
  <c r="L75" i="6"/>
  <c r="E75" i="6"/>
  <c r="M74" i="6"/>
  <c r="L74" i="6"/>
  <c r="H74" i="6"/>
  <c r="E74" i="6"/>
  <c r="M73" i="6"/>
  <c r="L73" i="6"/>
  <c r="E73" i="6"/>
  <c r="M72" i="6"/>
  <c r="L72" i="6"/>
  <c r="E72" i="6"/>
  <c r="M71" i="6"/>
  <c r="L71" i="6"/>
  <c r="E71" i="6"/>
  <c r="M70" i="6"/>
  <c r="L70" i="6"/>
  <c r="H70" i="6"/>
  <c r="E70" i="6"/>
  <c r="M69" i="6"/>
  <c r="L69" i="6"/>
  <c r="H69" i="6"/>
  <c r="E69" i="6"/>
  <c r="J67" i="6"/>
  <c r="H23" i="4" s="1"/>
  <c r="I67" i="6"/>
  <c r="H67" i="6"/>
  <c r="F23" i="4" s="1"/>
  <c r="G67" i="6"/>
  <c r="E23" i="4" s="1"/>
  <c r="F67" i="6"/>
  <c r="D23" i="4" s="1"/>
  <c r="M66" i="6"/>
  <c r="L66" i="6"/>
  <c r="E66" i="6"/>
  <c r="M65" i="6"/>
  <c r="L65" i="6"/>
  <c r="E65" i="6"/>
  <c r="G63" i="6"/>
  <c r="E22" i="4" s="1"/>
  <c r="F63" i="6"/>
  <c r="D22" i="4" s="1"/>
  <c r="M62" i="6"/>
  <c r="L62" i="6"/>
  <c r="E62" i="6"/>
  <c r="M61" i="6"/>
  <c r="L61" i="6"/>
  <c r="E61" i="6"/>
  <c r="J59" i="6"/>
  <c r="G59" i="6"/>
  <c r="E21" i="4" s="1"/>
  <c r="F59" i="6"/>
  <c r="D21" i="4" s="1"/>
  <c r="M58" i="6"/>
  <c r="L58" i="6"/>
  <c r="E58" i="6"/>
  <c r="M57" i="6"/>
  <c r="L57" i="6"/>
  <c r="E57" i="6"/>
  <c r="M56" i="6"/>
  <c r="L56" i="6"/>
  <c r="E56" i="6"/>
  <c r="M54" i="6"/>
  <c r="L54" i="6"/>
  <c r="E54" i="6"/>
  <c r="M53" i="6"/>
  <c r="L53" i="6"/>
  <c r="H53" i="6"/>
  <c r="E53" i="6"/>
  <c r="M52" i="6"/>
  <c r="L52" i="6"/>
  <c r="E52" i="6"/>
  <c r="M51" i="6"/>
  <c r="L51" i="6"/>
  <c r="E51" i="6"/>
  <c r="M50" i="6"/>
  <c r="L50" i="6"/>
  <c r="E50" i="6"/>
  <c r="M49" i="6"/>
  <c r="L49" i="6"/>
  <c r="E49" i="6"/>
  <c r="M48" i="6"/>
  <c r="L48" i="6"/>
  <c r="E48" i="6"/>
  <c r="G46" i="6"/>
  <c r="F46" i="6"/>
  <c r="M43" i="6"/>
  <c r="L43" i="6"/>
  <c r="E43" i="6"/>
  <c r="M42" i="6"/>
  <c r="L42" i="6"/>
  <c r="E42" i="6"/>
  <c r="E18" i="4"/>
  <c r="D18" i="4"/>
  <c r="M33" i="6"/>
  <c r="M34" i="6" s="1"/>
  <c r="L33" i="6"/>
  <c r="H33" i="6"/>
  <c r="E33" i="6"/>
  <c r="M31" i="6"/>
  <c r="G30" i="6"/>
  <c r="E17" i="4" s="1"/>
  <c r="F30" i="6"/>
  <c r="D17" i="4" s="1"/>
  <c r="M29" i="6"/>
  <c r="L29" i="6"/>
  <c r="E29" i="6"/>
  <c r="M25" i="6"/>
  <c r="L25" i="6"/>
  <c r="E25" i="6"/>
  <c r="G23" i="6"/>
  <c r="E16" i="4" s="1"/>
  <c r="F23" i="6"/>
  <c r="D16" i="4" s="1"/>
  <c r="M22" i="6"/>
  <c r="L22" i="6"/>
  <c r="E22" i="6"/>
  <c r="M21" i="6"/>
  <c r="L21" i="6"/>
  <c r="E21" i="6"/>
  <c r="M20" i="6"/>
  <c r="L20" i="6"/>
  <c r="E20" i="6"/>
  <c r="G16" i="6"/>
  <c r="E15" i="4" s="1"/>
  <c r="F16" i="6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G9" i="6"/>
  <c r="E14" i="4" s="1"/>
  <c r="F9" i="6"/>
  <c r="D14" i="4" s="1"/>
  <c r="M8" i="6"/>
  <c r="M9" i="6" s="1"/>
  <c r="L8" i="6"/>
  <c r="E8" i="6"/>
  <c r="E9" i="6" s="1"/>
  <c r="C14" i="4" s="1"/>
  <c r="E47" i="5"/>
  <c r="F33" i="5"/>
  <c r="E33" i="5" s="1"/>
  <c r="E32" i="5"/>
  <c r="E25" i="5"/>
  <c r="E23" i="5"/>
  <c r="E22" i="5"/>
  <c r="E21" i="5"/>
  <c r="E20" i="5"/>
  <c r="E24" i="5"/>
  <c r="E19" i="5"/>
  <c r="E18" i="5"/>
  <c r="E10" i="5"/>
  <c r="E9" i="5"/>
  <c r="E8" i="5"/>
  <c r="D78" i="1"/>
  <c r="D69" i="1"/>
  <c r="D45" i="1"/>
  <c r="C18" i="2"/>
  <c r="D53" i="2"/>
  <c r="D48" i="2"/>
  <c r="C48" i="2"/>
  <c r="C31" i="2"/>
  <c r="D20" i="2"/>
  <c r="D14" i="2"/>
  <c r="D15" i="2" s="1"/>
  <c r="C14" i="2"/>
  <c r="F76" i="1"/>
  <c r="F84" i="1" s="1"/>
  <c r="E76" i="1"/>
  <c r="E84" i="1" s="1"/>
  <c r="D73" i="1"/>
  <c r="D75" i="1"/>
  <c r="F66" i="1"/>
  <c r="E66" i="1"/>
  <c r="D63" i="1"/>
  <c r="F62" i="1"/>
  <c r="D60" i="1"/>
  <c r="D59" i="1"/>
  <c r="D55" i="1"/>
  <c r="D54" i="1"/>
  <c r="D53" i="1"/>
  <c r="D52" i="1"/>
  <c r="D51" i="1"/>
  <c r="D50" i="1"/>
  <c r="D49" i="1"/>
  <c r="D48" i="1"/>
  <c r="D36" i="1"/>
  <c r="D35" i="1"/>
  <c r="D34" i="1"/>
  <c r="F30" i="1"/>
  <c r="E30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K198" i="8" l="1"/>
  <c r="E104" i="6"/>
  <c r="D28" i="4"/>
  <c r="F104" i="6"/>
  <c r="D30" i="4"/>
  <c r="F115" i="6"/>
  <c r="I84" i="6"/>
  <c r="H34" i="6"/>
  <c r="F18" i="4" s="1"/>
  <c r="E34" i="6"/>
  <c r="C18" i="4" s="1"/>
  <c r="O37" i="10"/>
  <c r="W37" i="10"/>
  <c r="AA37" i="10"/>
  <c r="P37" i="10"/>
  <c r="AB37" i="10"/>
  <c r="O34" i="10"/>
  <c r="W34" i="10"/>
  <c r="AA34" i="10"/>
  <c r="P34" i="10"/>
  <c r="AB34" i="10"/>
  <c r="J84" i="6"/>
  <c r="G84" i="6"/>
  <c r="F84" i="6"/>
  <c r="I104" i="6"/>
  <c r="H104" i="6" s="1"/>
  <c r="G28" i="4"/>
  <c r="E20" i="4"/>
  <c r="G23" i="4"/>
  <c r="J115" i="6"/>
  <c r="H30" i="4"/>
  <c r="D20" i="4"/>
  <c r="I115" i="6"/>
  <c r="G30" i="4"/>
  <c r="I40" i="6"/>
  <c r="G18" i="4"/>
  <c r="F18" i="6"/>
  <c r="D15" i="4"/>
  <c r="J40" i="6"/>
  <c r="H18" i="4"/>
  <c r="H59" i="6"/>
  <c r="F21" i="4" s="1"/>
  <c r="H21" i="4"/>
  <c r="G93" i="6"/>
  <c r="E26" i="4"/>
  <c r="K87" i="6"/>
  <c r="K71" i="6"/>
  <c r="K25" i="6"/>
  <c r="I93" i="6"/>
  <c r="J93" i="6"/>
  <c r="G40" i="6"/>
  <c r="M30" i="6"/>
  <c r="D54" i="2"/>
  <c r="G142" i="8"/>
  <c r="F142" i="8"/>
  <c r="F40" i="6"/>
  <c r="K80" i="6"/>
  <c r="K69" i="6"/>
  <c r="K22" i="6"/>
  <c r="E30" i="6"/>
  <c r="C17" i="4" s="1"/>
  <c r="H107" i="6"/>
  <c r="I49" i="8"/>
  <c r="D30" i="1"/>
  <c r="L67" i="6"/>
  <c r="K66" i="6"/>
  <c r="M115" i="6"/>
  <c r="K51" i="6"/>
  <c r="M67" i="6"/>
  <c r="M82" i="6"/>
  <c r="K42" i="6"/>
  <c r="K49" i="6"/>
  <c r="K81" i="6"/>
  <c r="K90" i="6"/>
  <c r="L104" i="6"/>
  <c r="G115" i="6"/>
  <c r="K106" i="6"/>
  <c r="K107" i="6" s="1"/>
  <c r="C28" i="4"/>
  <c r="K48" i="6"/>
  <c r="K52" i="6"/>
  <c r="K58" i="6"/>
  <c r="K62" i="6"/>
  <c r="K74" i="6"/>
  <c r="K112" i="6"/>
  <c r="K113" i="6" s="1"/>
  <c r="D12" i="1"/>
  <c r="D20" i="1" s="1"/>
  <c r="D76" i="1"/>
  <c r="D84" i="1" s="1"/>
  <c r="H10" i="7"/>
  <c r="J49" i="8"/>
  <c r="D10" i="7"/>
  <c r="F49" i="8"/>
  <c r="K193" i="8"/>
  <c r="G49" i="8"/>
  <c r="E12" i="7"/>
  <c r="M190" i="8"/>
  <c r="K26" i="7" s="1"/>
  <c r="Y22" i="10" s="1"/>
  <c r="K197" i="8"/>
  <c r="F20" i="7"/>
  <c r="D22" i="7"/>
  <c r="F166" i="8"/>
  <c r="E22" i="7"/>
  <c r="G166" i="8"/>
  <c r="H22" i="7"/>
  <c r="G22" i="7"/>
  <c r="I166" i="8"/>
  <c r="K171" i="8"/>
  <c r="K189" i="8"/>
  <c r="K172" i="8"/>
  <c r="K182" i="8"/>
  <c r="M200" i="8"/>
  <c r="K28" i="7" s="1"/>
  <c r="Y31" i="10" s="1"/>
  <c r="H194" i="8"/>
  <c r="H205" i="8" s="1"/>
  <c r="E200" i="8"/>
  <c r="E13" i="8"/>
  <c r="C9" i="7" s="1"/>
  <c r="K192" i="8"/>
  <c r="H14" i="7"/>
  <c r="J142" i="8"/>
  <c r="K101" i="6"/>
  <c r="K102" i="6" s="1"/>
  <c r="K98" i="6"/>
  <c r="K99" i="6" s="1"/>
  <c r="K88" i="6"/>
  <c r="M91" i="6"/>
  <c r="M93" i="6" s="1"/>
  <c r="L46" i="6"/>
  <c r="K57" i="6"/>
  <c r="K56" i="6"/>
  <c r="L63" i="6"/>
  <c r="L82" i="6"/>
  <c r="E91" i="6"/>
  <c r="C26" i="4" s="1"/>
  <c r="K21" i="6"/>
  <c r="K50" i="6"/>
  <c r="K54" i="6"/>
  <c r="E67" i="6"/>
  <c r="C23" i="4" s="1"/>
  <c r="K73" i="6"/>
  <c r="K75" i="6"/>
  <c r="L91" i="6"/>
  <c r="L93" i="6" s="1"/>
  <c r="E82" i="6"/>
  <c r="C25" i="4" s="1"/>
  <c r="K70" i="6"/>
  <c r="M59" i="6"/>
  <c r="K43" i="6"/>
  <c r="K13" i="6"/>
  <c r="F67" i="1"/>
  <c r="F82" i="1" s="1"/>
  <c r="F31" i="1"/>
  <c r="F43" i="1" s="1"/>
  <c r="F81" i="1" s="1"/>
  <c r="C20" i="7"/>
  <c r="G19" i="7"/>
  <c r="I142" i="8"/>
  <c r="D9" i="7"/>
  <c r="L194" i="8"/>
  <c r="J27" i="7" s="1"/>
  <c r="X39" i="10" s="1"/>
  <c r="I185" i="8"/>
  <c r="E116" i="8"/>
  <c r="C18" i="7" s="1"/>
  <c r="K187" i="8"/>
  <c r="M61" i="8"/>
  <c r="M67" i="8"/>
  <c r="D14" i="7"/>
  <c r="H91" i="8"/>
  <c r="F16" i="7" s="1"/>
  <c r="K140" i="8"/>
  <c r="I21" i="7" s="1"/>
  <c r="L21" i="7" s="1"/>
  <c r="K180" i="8"/>
  <c r="K202" i="8"/>
  <c r="K203" i="8" s="1"/>
  <c r="I29" i="7" s="1"/>
  <c r="L29" i="7" s="1"/>
  <c r="M164" i="8"/>
  <c r="H178" i="8"/>
  <c r="F24" i="7" s="1"/>
  <c r="K7" i="8"/>
  <c r="K13" i="8" s="1"/>
  <c r="G10" i="7"/>
  <c r="E115" i="6"/>
  <c r="C30" i="4"/>
  <c r="F93" i="6"/>
  <c r="K65" i="6"/>
  <c r="E63" i="6"/>
  <c r="C22" i="4" s="1"/>
  <c r="K53" i="6"/>
  <c r="L59" i="6"/>
  <c r="L30" i="6"/>
  <c r="K29" i="6"/>
  <c r="K15" i="6"/>
  <c r="E59" i="6"/>
  <c r="C21" i="4" s="1"/>
  <c r="K14" i="6"/>
  <c r="E23" i="6"/>
  <c r="E46" i="6"/>
  <c r="E16" i="6"/>
  <c r="E18" i="6" s="1"/>
  <c r="H99" i="6"/>
  <c r="F28" i="4" s="1"/>
  <c r="H76" i="6"/>
  <c r="F24" i="4" s="1"/>
  <c r="C20" i="2"/>
  <c r="D27" i="1"/>
  <c r="E31" i="1"/>
  <c r="I15" i="8"/>
  <c r="G9" i="7"/>
  <c r="M137" i="8"/>
  <c r="K20" i="7"/>
  <c r="Y38" i="10" s="1"/>
  <c r="L178" i="8"/>
  <c r="J24" i="7" s="1"/>
  <c r="X30" i="10" s="1"/>
  <c r="G17" i="7"/>
  <c r="H13" i="8"/>
  <c r="E85" i="8"/>
  <c r="C15" i="7" s="1"/>
  <c r="H103" i="8"/>
  <c r="F17" i="7" s="1"/>
  <c r="G185" i="8"/>
  <c r="E24" i="7"/>
  <c r="I205" i="8"/>
  <c r="G15" i="8"/>
  <c r="E9" i="7"/>
  <c r="K181" i="8"/>
  <c r="L200" i="8"/>
  <c r="J28" i="7" s="1"/>
  <c r="X31" i="10" s="1"/>
  <c r="K199" i="8"/>
  <c r="E22" i="8"/>
  <c r="L22" i="8"/>
  <c r="E35" i="8"/>
  <c r="C11" i="7" s="1"/>
  <c r="H43" i="8"/>
  <c r="F12" i="7" s="1"/>
  <c r="E14" i="7"/>
  <c r="E67" i="8"/>
  <c r="E103" i="8"/>
  <c r="C17" i="7" s="1"/>
  <c r="H134" i="8"/>
  <c r="E173" i="8"/>
  <c r="C23" i="7" s="1"/>
  <c r="H22" i="8"/>
  <c r="H35" i="8"/>
  <c r="F11" i="7" s="1"/>
  <c r="H173" i="8"/>
  <c r="F23" i="7" s="1"/>
  <c r="M173" i="8"/>
  <c r="K23" i="7" s="1"/>
  <c r="Y41" i="10" s="1"/>
  <c r="C24" i="7"/>
  <c r="M183" i="8"/>
  <c r="K25" i="7" s="1"/>
  <c r="Y36" i="10" s="1"/>
  <c r="H183" i="8"/>
  <c r="F25" i="7" s="1"/>
  <c r="L190" i="8"/>
  <c r="J26" i="7" s="1"/>
  <c r="X22" i="10" s="1"/>
  <c r="E194" i="8"/>
  <c r="C27" i="7" s="1"/>
  <c r="M194" i="8"/>
  <c r="K27" i="7" s="1"/>
  <c r="Y39" i="10" s="1"/>
  <c r="E48" i="5"/>
  <c r="E12" i="5"/>
  <c r="E50" i="5"/>
  <c r="E11" i="5"/>
  <c r="G13" i="5"/>
  <c r="G35" i="5" s="1"/>
  <c r="E5" i="4" s="1"/>
  <c r="E30" i="5"/>
  <c r="E27" i="5"/>
  <c r="K8" i="6"/>
  <c r="K9" i="6" s="1"/>
  <c r="L9" i="6"/>
  <c r="M104" i="6"/>
  <c r="L110" i="6"/>
  <c r="L115" i="6" s="1"/>
  <c r="K109" i="6"/>
  <c r="K110" i="6" s="1"/>
  <c r="M35" i="8"/>
  <c r="K11" i="7" s="1"/>
  <c r="Y20" i="10" s="1"/>
  <c r="L103" i="8"/>
  <c r="J17" i="7" s="1"/>
  <c r="X32" i="10" s="1"/>
  <c r="L134" i="8"/>
  <c r="E19" i="7"/>
  <c r="E15" i="5"/>
  <c r="F16" i="5"/>
  <c r="E16" i="5" s="1"/>
  <c r="G18" i="6"/>
  <c r="L34" i="6"/>
  <c r="K33" i="6"/>
  <c r="K34" i="6" s="1"/>
  <c r="M85" i="8"/>
  <c r="K15" i="7" s="1"/>
  <c r="Y23" i="10" s="1"/>
  <c r="E7" i="5"/>
  <c r="F13" i="5"/>
  <c r="K11" i="6"/>
  <c r="L16" i="6"/>
  <c r="M63" i="6"/>
  <c r="K61" i="6"/>
  <c r="E61" i="8"/>
  <c r="M116" i="8"/>
  <c r="K18" i="7" s="1"/>
  <c r="Y21" i="10" s="1"/>
  <c r="F205" i="8"/>
  <c r="D26" i="7"/>
  <c r="G55" i="5"/>
  <c r="G60" i="5" s="1"/>
  <c r="H11" i="7"/>
  <c r="L13" i="8"/>
  <c r="M22" i="8"/>
  <c r="E10" i="7"/>
  <c r="M43" i="8"/>
  <c r="M103" i="8"/>
  <c r="K17" i="7" s="1"/>
  <c r="Y32" i="10" s="1"/>
  <c r="L173" i="8"/>
  <c r="M16" i="6"/>
  <c r="G104" i="6"/>
  <c r="L35" i="8"/>
  <c r="J11" i="7" s="1"/>
  <c r="X20" i="10" s="1"/>
  <c r="E43" i="8"/>
  <c r="C12" i="7" s="1"/>
  <c r="L91" i="8"/>
  <c r="J16" i="7" s="1"/>
  <c r="X24" i="10" s="1"/>
  <c r="H116" i="8"/>
  <c r="F18" i="7" s="1"/>
  <c r="L183" i="8"/>
  <c r="J25" i="7" s="1"/>
  <c r="X36" i="10" s="1"/>
  <c r="M23" i="6"/>
  <c r="L23" i="6"/>
  <c r="M46" i="6"/>
  <c r="E76" i="6"/>
  <c r="C24" i="4" s="1"/>
  <c r="M76" i="6"/>
  <c r="H61" i="8"/>
  <c r="F14" i="7" s="1"/>
  <c r="M91" i="8"/>
  <c r="K16" i="7" s="1"/>
  <c r="Y24" i="10" s="1"/>
  <c r="J20" i="7"/>
  <c r="X38" i="10" s="1"/>
  <c r="L164" i="8"/>
  <c r="E164" i="8"/>
  <c r="J185" i="8"/>
  <c r="E190" i="8"/>
  <c r="K12" i="6"/>
  <c r="K20" i="6"/>
  <c r="K72" i="6"/>
  <c r="L76" i="6"/>
  <c r="H24" i="7"/>
  <c r="M13" i="8"/>
  <c r="L43" i="8"/>
  <c r="H85" i="8"/>
  <c r="F15" i="7" s="1"/>
  <c r="H19" i="7"/>
  <c r="F185" i="8"/>
  <c r="D23" i="7"/>
  <c r="M178" i="8"/>
  <c r="K24" i="7" s="1"/>
  <c r="Y30" i="10" s="1"/>
  <c r="E183" i="8"/>
  <c r="C25" i="7" s="1"/>
  <c r="K196" i="8"/>
  <c r="G205" i="8"/>
  <c r="L61" i="8"/>
  <c r="L67" i="8"/>
  <c r="L85" i="8"/>
  <c r="J15" i="7" s="1"/>
  <c r="X23" i="10" s="1"/>
  <c r="E91" i="8"/>
  <c r="C16" i="7" s="1"/>
  <c r="L116" i="8"/>
  <c r="J18" i="7" s="1"/>
  <c r="X21" i="10" s="1"/>
  <c r="E134" i="8"/>
  <c r="M134" i="8"/>
  <c r="H164" i="8"/>
  <c r="J205" i="8"/>
  <c r="D21" i="2"/>
  <c r="C37" i="2"/>
  <c r="C53" i="2"/>
  <c r="C54" i="2" s="1"/>
  <c r="C13" i="2"/>
  <c r="C15" i="2" s="1"/>
  <c r="E67" i="1"/>
  <c r="E82" i="1" s="1"/>
  <c r="D61" i="1"/>
  <c r="D65" i="1"/>
  <c r="D66" i="1" s="1"/>
  <c r="K190" i="8" l="1"/>
  <c r="I26" i="7" s="1"/>
  <c r="L26" i="7" s="1"/>
  <c r="H40" i="6"/>
  <c r="C28" i="7"/>
  <c r="W31" i="10"/>
  <c r="P31" i="10"/>
  <c r="AB30" i="10"/>
  <c r="P22" i="10"/>
  <c r="AB24" i="10"/>
  <c r="P21" i="10"/>
  <c r="AB22" i="10"/>
  <c r="P23" i="10"/>
  <c r="AB21" i="10"/>
  <c r="P24" i="10"/>
  <c r="AB23" i="10"/>
  <c r="O21" i="10"/>
  <c r="W22" i="10"/>
  <c r="AA22" i="10"/>
  <c r="P41" i="10"/>
  <c r="AB41" i="10"/>
  <c r="N34" i="10"/>
  <c r="Z34" i="10"/>
  <c r="P20" i="10"/>
  <c r="AB20" i="10"/>
  <c r="O31" i="10"/>
  <c r="W30" i="10"/>
  <c r="AA30" i="10"/>
  <c r="O40" i="10"/>
  <c r="W39" i="10"/>
  <c r="AA39" i="10"/>
  <c r="P29" i="10"/>
  <c r="AB31" i="10"/>
  <c r="N37" i="10"/>
  <c r="Z37" i="10"/>
  <c r="O23" i="10"/>
  <c r="W21" i="10"/>
  <c r="AA21" i="10"/>
  <c r="O38" i="10"/>
  <c r="W38" i="10"/>
  <c r="AA38" i="10"/>
  <c r="O35" i="10"/>
  <c r="W36" i="10"/>
  <c r="AA36" i="10"/>
  <c r="P32" i="10"/>
  <c r="AB32" i="10"/>
  <c r="P40" i="10"/>
  <c r="AB39" i="10"/>
  <c r="P35" i="10"/>
  <c r="AB36" i="10"/>
  <c r="O29" i="10"/>
  <c r="AA31" i="10"/>
  <c r="P38" i="10"/>
  <c r="AB38" i="10"/>
  <c r="O32" i="10"/>
  <c r="W32" i="10"/>
  <c r="AA32" i="10"/>
  <c r="O22" i="10"/>
  <c r="W24" i="10"/>
  <c r="AA24" i="10"/>
  <c r="O24" i="10"/>
  <c r="W23" i="10"/>
  <c r="AA23" i="10"/>
  <c r="O20" i="10"/>
  <c r="W20" i="10"/>
  <c r="AA20" i="10"/>
  <c r="E84" i="6"/>
  <c r="K30" i="6"/>
  <c r="H84" i="6"/>
  <c r="H115" i="6"/>
  <c r="F30" i="4"/>
  <c r="F33" i="4" s="1"/>
  <c r="C20" i="4"/>
  <c r="K67" i="6"/>
  <c r="H93" i="6"/>
  <c r="E8" i="4"/>
  <c r="J117" i="6"/>
  <c r="E7" i="4" s="1"/>
  <c r="H33" i="4"/>
  <c r="D33" i="4"/>
  <c r="D6" i="4" s="1"/>
  <c r="E142" i="8"/>
  <c r="F9" i="7"/>
  <c r="H15" i="8"/>
  <c r="C16" i="4"/>
  <c r="E40" i="6"/>
  <c r="K82" i="6"/>
  <c r="G33" i="4"/>
  <c r="D7" i="4" s="1"/>
  <c r="K46" i="6"/>
  <c r="K23" i="6"/>
  <c r="K104" i="6"/>
  <c r="I117" i="6"/>
  <c r="K63" i="6"/>
  <c r="K76" i="6"/>
  <c r="F83" i="1"/>
  <c r="D31" i="1"/>
  <c r="E15" i="8"/>
  <c r="K194" i="8"/>
  <c r="I27" i="7" s="1"/>
  <c r="L27" i="7" s="1"/>
  <c r="K10" i="7"/>
  <c r="Y35" i="10" s="1"/>
  <c r="M49" i="8"/>
  <c r="J10" i="7"/>
  <c r="X35" i="10" s="1"/>
  <c r="L49" i="8"/>
  <c r="C10" i="7"/>
  <c r="E49" i="8"/>
  <c r="F10" i="7"/>
  <c r="H49" i="8"/>
  <c r="K178" i="8"/>
  <c r="I24" i="7" s="1"/>
  <c r="L24" i="7" s="1"/>
  <c r="F22" i="7"/>
  <c r="H166" i="8"/>
  <c r="C22" i="7"/>
  <c r="E166" i="8"/>
  <c r="F27" i="7"/>
  <c r="J22" i="7"/>
  <c r="X28" i="10" s="1"/>
  <c r="L166" i="8"/>
  <c r="K22" i="7"/>
  <c r="Y28" i="10" s="1"/>
  <c r="M166" i="8"/>
  <c r="K173" i="8"/>
  <c r="I23" i="7" s="1"/>
  <c r="L23" i="7" s="1"/>
  <c r="K183" i="8"/>
  <c r="I25" i="7" s="1"/>
  <c r="L25" i="7" s="1"/>
  <c r="K91" i="6"/>
  <c r="K93" i="6" s="1"/>
  <c r="E93" i="6"/>
  <c r="K59" i="6"/>
  <c r="G117" i="6"/>
  <c r="E6" i="4" s="1"/>
  <c r="D62" i="1"/>
  <c r="D67" i="1" s="1"/>
  <c r="D82" i="1" s="1"/>
  <c r="K67" i="8"/>
  <c r="F19" i="7"/>
  <c r="H142" i="8"/>
  <c r="K35" i="8"/>
  <c r="I11" i="7" s="1"/>
  <c r="L11" i="7" s="1"/>
  <c r="K14" i="7"/>
  <c r="Y27" i="10" s="1"/>
  <c r="K91" i="8"/>
  <c r="I16" i="7" s="1"/>
  <c r="L16" i="7" s="1"/>
  <c r="K85" i="8"/>
  <c r="I15" i="7" s="1"/>
  <c r="L15" i="7" s="1"/>
  <c r="H185" i="8"/>
  <c r="J14" i="7"/>
  <c r="X27" i="10" s="1"/>
  <c r="I207" i="8"/>
  <c r="L205" i="8"/>
  <c r="K15" i="8"/>
  <c r="K200" i="8"/>
  <c r="I28" i="7" s="1"/>
  <c r="L28" i="7" s="1"/>
  <c r="M205" i="8"/>
  <c r="K43" i="8"/>
  <c r="K22" i="8"/>
  <c r="G30" i="7"/>
  <c r="C15" i="4"/>
  <c r="C21" i="2"/>
  <c r="K61" i="8"/>
  <c r="K103" i="8"/>
  <c r="I17" i="7" s="1"/>
  <c r="L17" i="7" s="1"/>
  <c r="C14" i="7"/>
  <c r="E30" i="7"/>
  <c r="D30" i="7"/>
  <c r="E33" i="4"/>
  <c r="K19" i="7"/>
  <c r="Y25" i="10" s="1"/>
  <c r="M142" i="8"/>
  <c r="L40" i="6"/>
  <c r="K12" i="7"/>
  <c r="Y26" i="10" s="1"/>
  <c r="M84" i="6"/>
  <c r="L142" i="8"/>
  <c r="J19" i="7"/>
  <c r="X25" i="10" s="1"/>
  <c r="C19" i="7"/>
  <c r="M15" i="8"/>
  <c r="K9" i="7"/>
  <c r="Y40" i="10" s="1"/>
  <c r="E205" i="8"/>
  <c r="C26" i="7"/>
  <c r="K164" i="8"/>
  <c r="K166" i="8" s="1"/>
  <c r="K137" i="8"/>
  <c r="I20" i="7"/>
  <c r="L20" i="7" s="1"/>
  <c r="M40" i="6"/>
  <c r="M18" i="6"/>
  <c r="J9" i="7"/>
  <c r="X40" i="10" s="1"/>
  <c r="L15" i="8"/>
  <c r="L18" i="6"/>
  <c r="H30" i="7"/>
  <c r="F207" i="8"/>
  <c r="K16" i="6"/>
  <c r="L84" i="6"/>
  <c r="J207" i="8"/>
  <c r="K134" i="8"/>
  <c r="G207" i="8"/>
  <c r="J12" i="7"/>
  <c r="X26" i="10" s="1"/>
  <c r="F117" i="6"/>
  <c r="L185" i="8"/>
  <c r="J23" i="7"/>
  <c r="X41" i="10" s="1"/>
  <c r="K116" i="8"/>
  <c r="I18" i="7" s="1"/>
  <c r="L18" i="7" s="1"/>
  <c r="F35" i="5"/>
  <c r="D5" i="4" s="1"/>
  <c r="E13" i="5"/>
  <c r="E35" i="5" s="1"/>
  <c r="C5" i="4" s="1"/>
  <c r="N5" i="4" s="1"/>
  <c r="M185" i="8"/>
  <c r="E185" i="8"/>
  <c r="K115" i="6"/>
  <c r="N29" i="10" l="1"/>
  <c r="N5" i="10" s="1"/>
  <c r="Z31" i="10"/>
  <c r="F30" i="7"/>
  <c r="K40" i="6"/>
  <c r="X43" i="10"/>
  <c r="Y43" i="10"/>
  <c r="P39" i="10"/>
  <c r="AB40" i="10"/>
  <c r="P25" i="10"/>
  <c r="AB28" i="10"/>
  <c r="P36" i="10"/>
  <c r="AB35" i="10"/>
  <c r="N23" i="10"/>
  <c r="Z21" i="10"/>
  <c r="N21" i="10"/>
  <c r="Q21" i="10" s="1"/>
  <c r="Z22" i="10"/>
  <c r="P26" i="10"/>
  <c r="AB25" i="10"/>
  <c r="N38" i="10"/>
  <c r="Z38" i="10"/>
  <c r="P27" i="10"/>
  <c r="AB27" i="10"/>
  <c r="O25" i="10"/>
  <c r="W28" i="10"/>
  <c r="AA28" i="10"/>
  <c r="N35" i="10"/>
  <c r="Z36" i="10"/>
  <c r="N31" i="10"/>
  <c r="Z30" i="10"/>
  <c r="P28" i="10"/>
  <c r="AB26" i="10"/>
  <c r="O41" i="10"/>
  <c r="W41" i="10"/>
  <c r="AA41" i="10"/>
  <c r="O26" i="10"/>
  <c r="W25" i="10"/>
  <c r="AA25" i="10"/>
  <c r="N40" i="10"/>
  <c r="Z39" i="10"/>
  <c r="N32" i="10"/>
  <c r="Z32" i="10"/>
  <c r="N22" i="10"/>
  <c r="Z24" i="10"/>
  <c r="N24" i="10"/>
  <c r="Z23" i="10"/>
  <c r="O27" i="10"/>
  <c r="W27" i="10"/>
  <c r="AA27" i="10"/>
  <c r="O28" i="10"/>
  <c r="W26" i="10"/>
  <c r="AA26" i="10"/>
  <c r="N20" i="10"/>
  <c r="Z20" i="10"/>
  <c r="O36" i="10"/>
  <c r="W35" i="10"/>
  <c r="AA35" i="10"/>
  <c r="O39" i="10"/>
  <c r="W40" i="10"/>
  <c r="AA40" i="10"/>
  <c r="H117" i="6"/>
  <c r="C7" i="4" s="1"/>
  <c r="N7" i="4" s="1"/>
  <c r="C33" i="4"/>
  <c r="E9" i="4"/>
  <c r="E117" i="6"/>
  <c r="C6" i="4" s="1"/>
  <c r="N6" i="4" s="1"/>
  <c r="K84" i="6"/>
  <c r="I10" i="7"/>
  <c r="L10" i="7" s="1"/>
  <c r="K49" i="8"/>
  <c r="K185" i="8"/>
  <c r="I14" i="7"/>
  <c r="L14" i="7" s="1"/>
  <c r="I9" i="7"/>
  <c r="K205" i="8"/>
  <c r="I12" i="7"/>
  <c r="L12" i="7" s="1"/>
  <c r="H207" i="8"/>
  <c r="L207" i="8"/>
  <c r="C30" i="7"/>
  <c r="M117" i="6"/>
  <c r="L117" i="6"/>
  <c r="M207" i="8"/>
  <c r="K30" i="7"/>
  <c r="K142" i="8"/>
  <c r="I19" i="7"/>
  <c r="L19" i="7" s="1"/>
  <c r="K18" i="6"/>
  <c r="I22" i="7"/>
  <c r="L22" i="7" s="1"/>
  <c r="J30" i="7"/>
  <c r="E207" i="8"/>
  <c r="P43" i="10" l="1"/>
  <c r="P30" i="10" s="1"/>
  <c r="P33" i="10" s="1"/>
  <c r="O43" i="10"/>
  <c r="O30" i="10" s="1"/>
  <c r="O33" i="10" s="1"/>
  <c r="N41" i="10"/>
  <c r="Z41" i="10"/>
  <c r="Q23" i="10"/>
  <c r="N11" i="10"/>
  <c r="N26" i="10"/>
  <c r="Z25" i="10"/>
  <c r="N3" i="10"/>
  <c r="Q31" i="10"/>
  <c r="N25" i="10"/>
  <c r="Z28" i="10"/>
  <c r="Q32" i="10"/>
  <c r="N2" i="10"/>
  <c r="Q22" i="10"/>
  <c r="N12" i="10"/>
  <c r="Q24" i="10"/>
  <c r="N10" i="10"/>
  <c r="N27" i="10"/>
  <c r="Z27" i="10"/>
  <c r="N28" i="10"/>
  <c r="Z26" i="10"/>
  <c r="N14" i="10"/>
  <c r="Q20" i="10"/>
  <c r="S20" i="10" s="1"/>
  <c r="N36" i="10"/>
  <c r="Z35" i="10"/>
  <c r="N39" i="10"/>
  <c r="W43" i="10"/>
  <c r="Z40" i="10"/>
  <c r="L9" i="7"/>
  <c r="L30" i="7" s="1"/>
  <c r="I30" i="7"/>
  <c r="K117" i="6"/>
  <c r="K207" i="8"/>
  <c r="N13" i="10"/>
  <c r="D33" i="1"/>
  <c r="D43" i="1" s="1"/>
  <c r="D81" i="1" s="1"/>
  <c r="D83" i="1" s="1"/>
  <c r="E43" i="1"/>
  <c r="E81" i="1" s="1"/>
  <c r="E83" i="1" s="1"/>
  <c r="F60" i="5"/>
  <c r="N43" i="10" l="1"/>
  <c r="N30" i="10" s="1"/>
  <c r="N4" i="10" s="1"/>
  <c r="Q25" i="10"/>
  <c r="N9" i="10"/>
  <c r="N8" i="10"/>
  <c r="Q26" i="10"/>
  <c r="Q27" i="10"/>
  <c r="N7" i="10"/>
  <c r="N6" i="10"/>
  <c r="Q28" i="10"/>
  <c r="D8" i="4"/>
  <c r="D9" i="4" s="1"/>
  <c r="E45" i="5"/>
  <c r="E55" i="5" s="1"/>
  <c r="E60" i="5" s="1"/>
  <c r="Q29" i="10"/>
  <c r="Q30" i="10" l="1"/>
  <c r="N33" i="10"/>
  <c r="Q33" i="10" s="1"/>
  <c r="N15" i="10"/>
  <c r="C8" i="4"/>
  <c r="N8" i="4" s="1"/>
  <c r="N9" i="4" s="1"/>
  <c r="C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Trnečka Jiří</author>
  </authors>
  <commentList>
    <comment ref="G106" authorId="0" shapeId="0" xr:uid="{AFF1C023-8CF6-4BF3-83B7-AC831A2C3C1D}">
      <text>
        <r>
          <rPr>
            <b/>
            <sz val="9"/>
            <color indexed="81"/>
            <rFont val="Tahoma"/>
            <charset val="1"/>
          </rPr>
          <t>Trnečka Jiří:</t>
        </r>
        <r>
          <rPr>
            <sz val="9"/>
            <color indexed="81"/>
            <rFont val="Tahoma"/>
            <charset val="1"/>
          </rPr>
          <t xml:space="preserve">
-1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Trnečka Jiří</author>
  </authors>
  <commentList>
    <comment ref="G189" authorId="0" shapeId="0" xr:uid="{9659100E-FA49-4806-8FFB-B3DB8BAD7D7C}">
      <text>
        <r>
          <rPr>
            <b/>
            <sz val="9"/>
            <color indexed="81"/>
            <rFont val="Tahoma"/>
            <charset val="1"/>
          </rPr>
          <t>Trnečka Jiří:</t>
        </r>
        <r>
          <rPr>
            <sz val="9"/>
            <color indexed="81"/>
            <rFont val="Tahoma"/>
            <charset val="1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<sst xmlns="http://schemas.openxmlformats.org/spreadsheetml/2006/main" count="760" uniqueCount="471">
  <si>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</si>
  <si>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</si>
  <si>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</si>
  <si>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</si>
  <si>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</si>
  <si>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</si>
  <si>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</si>
  <si>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</si>
  <si>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>Daňové výnosy (ř.1 až ř.6)</t>
  </si>
  <si>
    <t>Daň z příjmů právnických osob za obce - rozpočtová činnost</t>
  </si>
  <si>
    <t>133x</t>
  </si>
  <si>
    <t>134x</t>
  </si>
  <si>
    <t>135x</t>
  </si>
  <si>
    <t>tř. 1</t>
  </si>
  <si>
    <t>211x</t>
  </si>
  <si>
    <t>212x</t>
  </si>
  <si>
    <t>213x</t>
  </si>
  <si>
    <t>214x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</si>
  <si>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</si>
  <si>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</si>
  <si>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</si>
  <si>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</si>
  <si>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</si>
  <si>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</si>
  <si>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</si>
  <si>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</si>
  <si>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</si>
  <si>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</si>
  <si>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>Ostatní neinvestiční přijaté transfery ze státního rozpočtu</t>
  </si>
  <si>
    <t xml:space="preserve"> *)</t>
  </si>
  <si>
    <t>tř. 4</t>
  </si>
  <si>
    <t>tř. 1 až tř. 4</t>
  </si>
  <si>
    <t>VÝDAJE</t>
  </si>
  <si>
    <t>502x</t>
  </si>
  <si>
    <t>514x</t>
  </si>
  <si>
    <t>Úroky a ostatní finanční výdaje</t>
  </si>
  <si>
    <t>516x</t>
  </si>
  <si>
    <t>Opravy a udržování</t>
  </si>
  <si>
    <t>522x</t>
  </si>
  <si>
    <t>Neinvestiční příspěvky zřízeným příspěvkovým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</si>
  <si>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</si>
  <si>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</si>
  <si>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</si>
  <si>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</si>
  <si>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</si>
  <si>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</si>
  <si>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</si>
  <si>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</si>
  <si>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</si>
  <si>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Uhrazené splátky dlouhodobých přijatých půjček a úvěrů</t>
  </si>
  <si>
    <t>Uhrazené splátky dlouhodobých přijatých úvěrů - EIB</t>
  </si>
  <si>
    <t>tř. 8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</si>
  <si>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</si>
  <si>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</si>
  <si>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</si>
  <si>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</si>
  <si>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</si>
  <si>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</si>
  <si>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</si>
  <si>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</si>
  <si>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</si>
  <si>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</si>
  <si>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</si>
  <si>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</si>
  <si>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</si>
  <si>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</si>
  <si>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</si>
  <si>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</si>
  <si>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</si>
  <si>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</si>
  <si>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</si>
  <si>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</si>
  <si>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</si>
  <si>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</si>
  <si>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</si>
  <si>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</si>
  <si>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</si>
  <si>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</si>
  <si>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</si>
  <si>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</si>
  <si>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</si>
  <si>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</si>
  <si>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</si>
  <si>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</si>
  <si>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</si>
  <si>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</si>
  <si>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</si>
  <si>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</si>
  <si>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</si>
  <si>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</si>
  <si>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</si>
  <si>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</si>
  <si>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</si>
  <si>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</si>
  <si>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</si>
  <si>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</si>
  <si>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</si>
  <si>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</si>
  <si>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</si>
  <si>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</si>
  <si>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</si>
  <si>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</si>
  <si>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</si>
  <si>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</si>
  <si>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</si>
  <si>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</si>
  <si>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</si>
  <si>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</si>
  <si>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</si>
  <si>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</si>
  <si>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</si>
  <si>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</si>
  <si>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</si>
  <si>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</si>
  <si>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</si>
  <si>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</si>
  <si>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</si>
  <si>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</si>
  <si>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</si>
  <si>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</si>
  <si>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</si>
  <si>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</si>
  <si>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</si>
  <si>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</si>
  <si>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</si>
  <si>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</si>
  <si>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11 Daně z příjmů, zisku a kapitálových výnosů</t>
  </si>
  <si>
    <t>13 Daně a poplatky z vybraných činností a služeb</t>
  </si>
  <si>
    <t>*)</t>
  </si>
  <si>
    <t>41 Neinvestiční přijaté transfery</t>
  </si>
  <si>
    <t>Členěno dle skupin, oddílů a paragrafů rozpočtové skladby</t>
  </si>
  <si>
    <t>Oddíl</t>
  </si>
  <si>
    <t>§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</si>
  <si>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</si>
  <si>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</si>
  <si>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</si>
  <si>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</si>
  <si>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</si>
  <si>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</si>
  <si>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Ostatní zemědělská a potravinářská činnost a rozvoj</t>
  </si>
  <si>
    <t>Pěstební činnost</t>
  </si>
  <si>
    <t>Podpora ostatních produkčních činností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</si>
  <si>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</si>
  <si>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</si>
  <si>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</si>
  <si>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</si>
  <si>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</si>
  <si>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</si>
  <si>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</si>
  <si>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</si>
  <si>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</si>
  <si>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</si>
  <si>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</si>
  <si>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</si>
  <si>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</si>
  <si>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31 a 32 Vzdělávání a školské služby</t>
  </si>
  <si>
    <t>Divadelní činnost</t>
  </si>
  <si>
    <t>Hudební činnost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</si>
  <si>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</si>
  <si>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</si>
  <si>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</si>
  <si>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</si>
  <si>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</si>
  <si>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</si>
  <si>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</si>
  <si>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</si>
  <si>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</si>
  <si>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Využití volného času dětí a mládeže</t>
  </si>
  <si>
    <t>Ostatní zájmová činnost a rekreace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</si>
  <si>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</si>
  <si>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</si>
  <si>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</si>
  <si>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</si>
  <si>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</si>
  <si>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</si>
  <si>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</si>
  <si>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</si>
  <si>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</si>
  <si>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36 Bydlení, komunální služby a územní rozvoj</t>
  </si>
  <si>
    <t>Sběr a svoz komunálních odpadů</t>
  </si>
  <si>
    <t>Péče o vzhled obcí a veřejnou zeleň</t>
  </si>
  <si>
    <t>Ostatní správa v ochraně životního prostředí</t>
  </si>
  <si>
    <t>37 Ochrana životního prostředí</t>
  </si>
  <si>
    <t>Domovy pro seniory</t>
  </si>
  <si>
    <t>Domovy pro osoby se zdr. postižením a domovy se zvl. režimem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</si>
  <si>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</si>
  <si>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</si>
  <si>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</si>
  <si>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</si>
  <si>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</si>
  <si>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 Bezpečnost státu a právní ochrana</t>
  </si>
  <si>
    <t>Činnost místní správy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</si>
  <si>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</si>
  <si>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</si>
  <si>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</si>
  <si>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</si>
  <si>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</si>
  <si>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</si>
  <si>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</si>
  <si>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</si>
  <si>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</si>
  <si>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</si>
  <si>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</si>
  <si>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</si>
  <si>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</si>
  <si>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</si>
  <si>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</si>
  <si>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</si>
  <si>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</si>
  <si>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</si>
  <si>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</si>
  <si>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</si>
  <si>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Celospolečenské funkce lesů 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</si>
  <si>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</si>
  <si>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</si>
  <si>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</si>
  <si>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</si>
  <si>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</si>
  <si>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</si>
  <si>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</si>
  <si>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</si>
  <si>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</si>
  <si>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>Úpravy drobných vodních toků</t>
  </si>
  <si>
    <t xml:space="preserve">Základní školy 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</si>
  <si>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</si>
  <si>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</si>
  <si>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</si>
  <si>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</si>
  <si>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</si>
  <si>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</si>
  <si>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</si>
  <si>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</si>
  <si>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</si>
  <si>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</si>
  <si>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</si>
  <si>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</si>
  <si>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</si>
  <si>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</si>
  <si>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</si>
  <si>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>Ostatní záležitosti ochrany památek a péče o kulturní dědictví</t>
  </si>
  <si>
    <t>Rozhlas a televize</t>
  </si>
  <si>
    <t xml:space="preserve">Ostatní záležitosti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</si>
  <si>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</si>
  <si>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</si>
  <si>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</si>
  <si>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</si>
  <si>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</si>
  <si>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</si>
  <si>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</si>
  <si>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</si>
  <si>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</si>
  <si>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</si>
  <si>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</si>
  <si>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</si>
  <si>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</si>
  <si>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</si>
  <si>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</si>
  <si>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</si>
  <si>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</si>
  <si>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</si>
  <si>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</si>
  <si>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Péče o vzhled obcí a veřejnou zeleň </t>
  </si>
  <si>
    <t>Ostatní činnosti k ochraně přírody a krajiny</t>
  </si>
  <si>
    <t xml:space="preserve">Ekologická výchova a osvěta </t>
  </si>
  <si>
    <t>38 Ostatní výzkum a vývoj</t>
  </si>
  <si>
    <t>Zařízení pro děti vyžadující okamžitou pomoc</t>
  </si>
  <si>
    <t>Ostatní sociální pomoc dětem a mládeži</t>
  </si>
  <si>
    <t>Ostatní sociální péče a pomoc rodině a manželství</t>
  </si>
  <si>
    <t>Ostatní služby a činnosti v oblasti sociální péče</t>
  </si>
  <si>
    <t>Azylové domy, nízkoprahová denní centra a noclehárny</t>
  </si>
  <si>
    <t>Ostatní záležitosti sociálních věcí a politiky zaměstnanosti</t>
  </si>
  <si>
    <t>Ochrana obyvatelstva</t>
  </si>
  <si>
    <t>Ostatní správa v oblasti krizového řízení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</si>
  <si>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</si>
  <si>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</si>
  <si>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</si>
  <si>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</si>
  <si>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</si>
  <si>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</si>
  <si>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</si>
  <si>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</si>
  <si>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</si>
  <si>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</si>
  <si>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</si>
  <si>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</si>
  <si>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</si>
  <si>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</si>
  <si>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</si>
  <si>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</si>
  <si>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</si>
  <si>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</si>
  <si>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</si>
  <si>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</si>
  <si>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</si>
  <si>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</si>
  <si>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</si>
  <si>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</si>
  <si>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</si>
  <si>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</si>
  <si>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</si>
  <si>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</si>
  <si>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</si>
  <si>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</si>
  <si>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</si>
  <si>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</si>
  <si>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</si>
  <si>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</si>
  <si>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</si>
  <si>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</si>
  <si>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</si>
  <si>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</si>
  <si>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Ostatní činnosti k ochraně ovzduší</t>
  </si>
  <si>
    <t>Rezervy rozpočtu</t>
  </si>
  <si>
    <t>24 Spoje</t>
  </si>
  <si>
    <t>Ostatní záležitosti spojů</t>
  </si>
  <si>
    <t xml:space="preserve"> Spoje</t>
  </si>
  <si>
    <t>Podpora podnikání a inovací</t>
  </si>
  <si>
    <t>Krizová pomoc</t>
  </si>
  <si>
    <t>43 Sociální služby a pomoc a společné činnosti v sociálním zabezpečení</t>
  </si>
  <si>
    <t>Ozdravování hospodářských zvířat a plodin a zvl. veterinární péče</t>
  </si>
  <si>
    <t>Zdravotnická záchranná služba</t>
  </si>
  <si>
    <t>Krizová opatření</t>
  </si>
  <si>
    <t>24  Spoje</t>
  </si>
  <si>
    <t>Záležitosti pošt</t>
  </si>
  <si>
    <t>Střední školy poskytující střední vzdělání s výučním listem</t>
  </si>
  <si>
    <t xml:space="preserve"> Bydlení, komunální služ. a územ. rozvoj</t>
  </si>
  <si>
    <t>Dopravní obslužnost veřejnými službami - linková</t>
  </si>
  <si>
    <t>Ostatní záležitosti základního vzdělávání</t>
  </si>
  <si>
    <t>Ostatní sportovní činnost</t>
  </si>
  <si>
    <t>501x+503x</t>
  </si>
  <si>
    <t>Vodní díla v zemědělské krajině</t>
  </si>
  <si>
    <t>Provoz veřejné silniční dopravy</t>
  </si>
  <si>
    <t>Neinvestiční převody mezi městem a městskými částmi - transfery</t>
  </si>
  <si>
    <t>Neinvestiční převody mezi městskými částmi - transfery</t>
  </si>
  <si>
    <t>Neinvestiční převody mezi městem a městskými částmi - splátky zápůjček</t>
  </si>
  <si>
    <t>Investiční převody mezi městem a městskými částmi - transfery</t>
  </si>
  <si>
    <t xml:space="preserve">Financování statutárního města Brna celkem (ř.1 až ř.4) </t>
  </si>
  <si>
    <t>5901+5903</t>
  </si>
  <si>
    <t>Neinvestiční převody mezi městem a městskými částmi - zápůjčky</t>
  </si>
  <si>
    <t>42 Investiční přijaté transfery</t>
  </si>
  <si>
    <t xml:space="preserve">Běžné výdaje celkem  (ř.1 až ř.14) </t>
  </si>
  <si>
    <t xml:space="preserve">Kapitálové výdaje celkem (ř.16 až ř.18) </t>
  </si>
  <si>
    <t>Výdaje statutárního města Brna celkem  (ř.15 + ř.19)</t>
  </si>
  <si>
    <t>4137,4251</t>
  </si>
  <si>
    <t>Poskytnuté transfery městským částem - neinvestiční</t>
  </si>
  <si>
    <t>Poskytnuté transfery městským částem - investiční</t>
  </si>
  <si>
    <t>Přijaté transfery</t>
  </si>
  <si>
    <t>Poskytnuté transfery</t>
  </si>
  <si>
    <t>Ostatní služby a činnosti v oblasti sociální prevence</t>
  </si>
  <si>
    <t>Dopravní obslužnost mimo veřejnou službu</t>
  </si>
  <si>
    <t>Dopravní obslužnost veřejnými službami - drážní</t>
  </si>
  <si>
    <t>Programy paliativní péče</t>
  </si>
  <si>
    <t>Sociální rehabilitace</t>
  </si>
  <si>
    <t>Příjem z daně z příjmů fyzických osob placené plátci</t>
  </si>
  <si>
    <t>Příjem z daně z příjmů fyzických osob placené poplatníky</t>
  </si>
  <si>
    <t>Příjem z daně z příjmů fyzických osob vybírané srážkou</t>
  </si>
  <si>
    <t xml:space="preserve">Příjem z daně z příjmů právnických osob </t>
  </si>
  <si>
    <t>Příjem z daně z přidané hodnoty</t>
  </si>
  <si>
    <t>Příjem z daně z nemovitých věcí</t>
  </si>
  <si>
    <t>Příjem z daně z příjmů právnických osob za obce - rozpočtová činnost</t>
  </si>
  <si>
    <t>Příjem z poplatků a odvodů v oblasti životního prostředí</t>
  </si>
  <si>
    <t>Příjem z místních poplatků z vybraných činností a služeb</t>
  </si>
  <si>
    <t>Příjem z ostatních odvodů z vybraných činností a služeb</t>
  </si>
  <si>
    <t>Příjem ze správních poplatků</t>
  </si>
  <si>
    <t>Příjem z daní, poplatků a jiných obd. peněžitých plnění v oblasti hazardních her</t>
  </si>
  <si>
    <t xml:space="preserve">Příjem z vlastní činnosti </t>
  </si>
  <si>
    <t xml:space="preserve">Příjem z pronájmu nebo pachtu majetku </t>
  </si>
  <si>
    <t>Přijaté výnosy z finančního majetku</t>
  </si>
  <si>
    <t>Převody z vlastních fondů podnikatelské činnosti</t>
  </si>
  <si>
    <t>Neinvestiční přijaté transfery od obcí</t>
  </si>
  <si>
    <t xml:space="preserve">Neinvestiční přijaté transfery ze SR v rámci souhrnného dotačního vztahu </t>
  </si>
  <si>
    <t>Platy, povinné a zákonné pojistné</t>
  </si>
  <si>
    <t>Výdaje na ostatní platby za provedenou práci</t>
  </si>
  <si>
    <t>Výdaje na nákup služeb</t>
  </si>
  <si>
    <t>Neinvestiční transfery nefinančním podnikatelům - DPmB</t>
  </si>
  <si>
    <t>Neinvestiční transfery neziskovým a podobným osobám</t>
  </si>
  <si>
    <t>Kapitálové příjmy celkem (ř.23 + ř.24)</t>
  </si>
  <si>
    <t>Vlastní příjmy (ř.15 + ř.22 + ř.25)</t>
  </si>
  <si>
    <r>
      <t>Příjem z daně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</si>
  <si>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Příjem z odvodů za odnětí půdy ze zemědělského půdního fondu</t>
  </si>
  <si>
    <t>Příjem z poplatků za odnětí pozemků podle lesního zákona</t>
  </si>
  <si>
    <t>Příjem z poplatku za obecní systém odpadového hospodářství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</si>
  <si>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</si>
  <si>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</si>
  <si>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</si>
  <si>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</si>
  <si>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za zkoušky z odb. způsobilosti od žadatelů o řidičské oprávnění</t>
  </si>
  <si>
    <t>Příjem z úhrad za dobývání nerostů a poplatků za geologické práce</t>
  </si>
  <si>
    <t>Střední odborné školy</t>
  </si>
  <si>
    <t>Ostatní záležitosti lesního hospodářství</t>
  </si>
  <si>
    <t xml:space="preserve">Využívání a zneškodňování komunálních odpadů </t>
  </si>
  <si>
    <t xml:space="preserve"> Zemědělství, lesní hospodářství a rybářství</t>
  </si>
  <si>
    <t xml:space="preserve"> Sport a zájmová činnost</t>
  </si>
  <si>
    <t xml:space="preserve"> Sociální služby a společné činnosti v sociálním zabezpečení</t>
  </si>
  <si>
    <t xml:space="preserve"> Státní moc, státní správa, územní samospráva a pol. strany</t>
  </si>
  <si>
    <t>10 Zemědělství, lesní hospodářství a rybářství</t>
  </si>
  <si>
    <t>1 Zemědělství, lesní hospodářství a rybářství</t>
  </si>
  <si>
    <t>3 Služby pro fyzické osoby</t>
  </si>
  <si>
    <t>34 Sport a zájmová činnost</t>
  </si>
  <si>
    <t>43 Sociální služby a společné činnosti v sociálním zabezpečení</t>
  </si>
  <si>
    <t>61  Státní moc, státní správa, územní samospráva a pol. strany</t>
  </si>
  <si>
    <t>12 Daně, poplatky a jiná obdobná peněžitá plnění ze zboží a služeb v tuzemsku</t>
  </si>
  <si>
    <t>15 Příjem z majetkových daní</t>
  </si>
  <si>
    <t>Podnikání a restrukturalizace v zemědělství a potravinářství</t>
  </si>
  <si>
    <t xml:space="preserve">Ostatní záležitosti v silniční dopravě </t>
  </si>
  <si>
    <t>Zařízení výchovného poradenství</t>
  </si>
  <si>
    <t>Sportovní zařízení ve vlastnictví obce</t>
  </si>
  <si>
    <t>Soc. pomoc osobám v hmotné nouzi a soc. nepřizpůsobivým</t>
  </si>
  <si>
    <t>Rybářství a myslivost</t>
  </si>
  <si>
    <t xml:space="preserve">Úpravy vodohospodářsky významných a vodárenských toků    </t>
  </si>
  <si>
    <t>Základní školy pro žáky se speciálními vzdělávacími potřebami</t>
  </si>
  <si>
    <t>Záležitosti zájmového vzdělávání j.n.</t>
  </si>
  <si>
    <t>Pořízení, zachování a obnova hodnot místního kulturního povědomí</t>
  </si>
  <si>
    <t>Činnosti registrovaných církví a náboženských společností</t>
  </si>
  <si>
    <t>Ostatní rozvoj bydlení a bytového hospodářství</t>
  </si>
  <si>
    <t>Sběr a svoz ostatních odpadů jiných než nebezpečných a komunálních</t>
  </si>
  <si>
    <t xml:space="preserve">Protierozní, protilavinová a protipožární ochrana </t>
  </si>
  <si>
    <t>Ostatní výzkum a vývoj odvětvově nespecifikovaný</t>
  </si>
  <si>
    <t>Ostatní činnosti související se službami pro fyzické osoby</t>
  </si>
  <si>
    <t xml:space="preserve">Sociální péče a pomoc přistěhovalcům a vybraným etnikům </t>
  </si>
  <si>
    <t>Ost. sociální péče a pomoc ostatním skupinám fyzických osob</t>
  </si>
  <si>
    <t>Osobní asistence, pečovatel. služba a podpora samostatného bydlení</t>
  </si>
  <si>
    <t>Záležitosti krizového řízení j.n.</t>
  </si>
  <si>
    <t xml:space="preserve"> Soc. služby a spol. činnosti v soc. zabezpečení</t>
  </si>
  <si>
    <t xml:space="preserve"> Soc. služby a spol. činnosti v soc. zab.</t>
  </si>
  <si>
    <t>Ostatní záležitosti bydlení, komunálních služeb a úz. rozvoje</t>
  </si>
  <si>
    <t>Ostatní správa v oblasti hosp. opatření pro krizové stavy</t>
  </si>
  <si>
    <t>Hospice</t>
  </si>
  <si>
    <t>Mezinárodní spolupráce v dopravě</t>
  </si>
  <si>
    <t>Lokální zásobování teplem</t>
  </si>
  <si>
    <t>Poskytnuté transfery jiným městským částem - neinvestiční</t>
  </si>
  <si>
    <t xml:space="preserve"> Ostatní výdaje</t>
  </si>
  <si>
    <t xml:space="preserve"> Ostatní činnosti související se službami pro fyzické osoby</t>
  </si>
  <si>
    <t>39 Ostatní činnosti související se službami pro fyzické osoby</t>
  </si>
  <si>
    <t xml:space="preserve"> Civilní připravenost na krizové stavy</t>
  </si>
  <si>
    <t>Ozdravování hospodářských zvířat, plodin a zvl. veterinární péče</t>
  </si>
  <si>
    <t>Příjem z odvodů přebytků organizací s přímým vztahem</t>
  </si>
  <si>
    <t>Zabezpečení služeb ozbrojených sil</t>
  </si>
  <si>
    <t>51 Obrana</t>
  </si>
  <si>
    <t xml:space="preserve"> Obrana</t>
  </si>
  <si>
    <t>Ostatní záležitosti těžebního průmyslu a energetiky</t>
  </si>
  <si>
    <t>Ostatní záležitosti vzdělávání</t>
  </si>
  <si>
    <t>Nepřevedené částky, vyrovnávající schodek - kontokorentní úvěry</t>
  </si>
  <si>
    <t>Změna stavu krátkodobých prostředků na ban. účtech, operace řízení likvidity</t>
  </si>
  <si>
    <t>Ostatní záležitosti bezpečnosti, veřejného pořádku</t>
  </si>
  <si>
    <t xml:space="preserve">Příjem z daně z příjmů právnických osob za obce - VPČ </t>
  </si>
  <si>
    <t>Příjem z daně z příjmů právnických osob za obce - VPČ</t>
  </si>
  <si>
    <t>SCHVÁLENÝ ROZPOČET 2025</t>
  </si>
  <si>
    <t>SCHVÁLENÝ ROZPOČET NA ROK 2025</t>
  </si>
  <si>
    <t>PŘÍJMY STATUTÁRNÍHO MĚSTA BRNA - SCHVÁLENÝ ROZPOČET NA ROK 2025 - rekapitulace dle druhů příjmů a dle oddílů (tis. Kč)</t>
  </si>
  <si>
    <t>DAŇOVÉ PŘÍJMY STATUTÁRNÍHO MĚSTA BRNA - SCHVÁLENÝ ROZPOČET NA ROK 2025</t>
  </si>
  <si>
    <t>TRANSFERY, PŘIJATÉ STATUTÁRNÍM MĚSTEM BRNEM - SCHVÁLENÝ ROZPOČET NA ROK 2025</t>
  </si>
  <si>
    <t>NEDAŇOVÉ A KAPITÁLOVÉ PŘÍJMY STATUTÁRNÍHO MĚSTA BRNA - SCHVÁLENÝ ROZPOČET NA ROK 2025</t>
  </si>
  <si>
    <t>VÝDAJE STATUTÁRNÍHO MĚSTA BRNA - SCHVÁLENÝ ROZPOČET NA ROK 2025 - rekapitulace dle druhů výdajů a dle oddílů (tis. Kč)</t>
  </si>
  <si>
    <t>BĚŽNÉ A KAPITÁLOVÉ VÝDAJE STATUTÁRNÍHO MĚSTA BRNA - SCHVÁLENÝ ROZPOČET NA ROK 2025</t>
  </si>
  <si>
    <t>Neinvestiční přijaté transfery od obcí, krajů</t>
  </si>
  <si>
    <t>Příjem z daně z hazardních her s výjimkou technických her</t>
  </si>
  <si>
    <t>Příjem z daně z technických her neprovozovaných prostřednictvím internetu</t>
  </si>
  <si>
    <t>Neinvestiční přijaté transfery od krajů</t>
  </si>
  <si>
    <t>Týdenní stacionáře</t>
  </si>
  <si>
    <t>Denní stacionáře a centra denních služeb</t>
  </si>
  <si>
    <t>Nízkoprahová zařízení pro děti a mládež</t>
  </si>
  <si>
    <t>Terénní programy</t>
  </si>
  <si>
    <t>Odborné sociální poradenství</t>
  </si>
  <si>
    <t>Přijaté transfery celkem (ř.27 až ř.36)</t>
  </si>
  <si>
    <t>Příjmy statutárního města Brna celkem (ř.26 + ř.37)</t>
  </si>
  <si>
    <t>Neinvestiční přijaté transfery z všeobecné pokladní správy státního rozpočtu</t>
  </si>
  <si>
    <t>Příjem náhrad za nezpůsobenou újmu</t>
  </si>
  <si>
    <t>Prevence vzniku odpadů</t>
  </si>
  <si>
    <t>Ostatní činnosti k omezení hluku a vibrací</t>
  </si>
  <si>
    <t>Volby do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</si>
</sst>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3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.5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43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1" fontId="1" fillId="0" borderId="11" xfId="0" applyNumberFormat="1" applyFont="1" applyBorder="1"/>
    <xf numFmtId="164" fontId="1" fillId="0" borderId="11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1" fillId="0" borderId="12" xfId="0" applyFont="1" applyBorder="1"/>
    <xf numFmtId="1" fontId="1" fillId="0" borderId="13" xfId="0" applyNumberFormat="1" applyFont="1" applyBorder="1"/>
    <xf numFmtId="164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left"/>
    </xf>
    <xf numFmtId="1" fontId="1" fillId="0" borderId="15" xfId="0" applyNumberFormat="1" applyFont="1" applyBorder="1"/>
    <xf numFmtId="165" fontId="1" fillId="0" borderId="15" xfId="0" applyNumberFormat="1" applyFont="1" applyBorder="1" applyAlignment="1">
      <alignment horizontal="left"/>
    </xf>
    <xf numFmtId="3" fontId="1" fillId="0" borderId="16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" fontId="1" fillId="0" borderId="9" xfId="0" applyNumberFormat="1" applyFont="1" applyBorder="1"/>
    <xf numFmtId="165" fontId="2" fillId="0" borderId="9" xfId="0" applyNumberFormat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left"/>
    </xf>
    <xf numFmtId="3" fontId="1" fillId="0" borderId="23" xfId="0" applyNumberFormat="1" applyFont="1" applyBorder="1" applyAlignment="1">
      <alignment horizontal="center"/>
    </xf>
    <xf numFmtId="0" fontId="1" fillId="0" borderId="24" xfId="0" applyFont="1" applyBorder="1"/>
    <xf numFmtId="1" fontId="2" fillId="2" borderId="15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left"/>
    </xf>
    <xf numFmtId="3" fontId="2" fillId="2" borderId="15" xfId="0" applyNumberFormat="1" applyFont="1" applyFill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25" xfId="0" applyFont="1" applyBorder="1"/>
    <xf numFmtId="1" fontId="1" fillId="0" borderId="26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3" fontId="1" fillId="0" borderId="23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1" fillId="0" borderId="27" xfId="0" applyFont="1" applyBorder="1"/>
    <xf numFmtId="1" fontId="1" fillId="0" borderId="18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8" xfId="0" applyNumberFormat="1" applyFont="1" applyBorder="1"/>
    <xf numFmtId="165" fontId="1" fillId="0" borderId="18" xfId="0" applyNumberFormat="1" applyFont="1" applyBorder="1" applyAlignment="1">
      <alignment horizontal="left"/>
    </xf>
    <xf numFmtId="1" fontId="1" fillId="0" borderId="18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left"/>
    </xf>
    <xf numFmtId="1" fontId="1" fillId="0" borderId="23" xfId="0" applyNumberFormat="1" applyFont="1" applyBorder="1"/>
    <xf numFmtId="165" fontId="1" fillId="0" borderId="23" xfId="0" applyNumberFormat="1" applyFont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3" fontId="1" fillId="0" borderId="13" xfId="0" applyNumberFormat="1" applyFont="1" applyBorder="1"/>
    <xf numFmtId="1" fontId="2" fillId="2" borderId="29" xfId="0" applyNumberFormat="1" applyFont="1" applyFill="1" applyBorder="1" applyAlignment="1">
      <alignment horizontal="right"/>
    </xf>
    <xf numFmtId="164" fontId="2" fillId="2" borderId="29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26" xfId="0" applyFont="1" applyBorder="1" applyAlignment="1">
      <alignment horizontal="right"/>
    </xf>
    <xf numFmtId="1" fontId="1" fillId="0" borderId="32" xfId="0" applyNumberFormat="1" applyFont="1" applyBorder="1"/>
    <xf numFmtId="3" fontId="1" fillId="0" borderId="26" xfId="0" applyNumberFormat="1" applyFont="1" applyBorder="1"/>
    <xf numFmtId="0" fontId="1" fillId="0" borderId="11" xfId="0" applyFont="1" applyBorder="1" applyAlignment="1">
      <alignment horizontal="right"/>
    </xf>
    <xf numFmtId="1" fontId="1" fillId="0" borderId="33" xfId="0" applyNumberFormat="1" applyFont="1" applyBorder="1"/>
    <xf numFmtId="3" fontId="1" fillId="0" borderId="11" xfId="0" applyNumberFormat="1" applyFont="1" applyBorder="1"/>
    <xf numFmtId="0" fontId="2" fillId="0" borderId="15" xfId="0" applyFont="1" applyBorder="1" applyAlignment="1">
      <alignment horizontal="right"/>
    </xf>
    <xf numFmtId="1" fontId="1" fillId="0" borderId="34" xfId="0" applyNumberFormat="1" applyFont="1" applyBorder="1"/>
    <xf numFmtId="3" fontId="1" fillId="0" borderId="15" xfId="0" applyNumberFormat="1" applyFont="1" applyBorder="1"/>
    <xf numFmtId="0" fontId="1" fillId="0" borderId="35" xfId="0" applyFont="1" applyBorder="1"/>
    <xf numFmtId="0" fontId="1" fillId="0" borderId="29" xfId="0" applyFont="1" applyBorder="1" applyAlignment="1">
      <alignment horizontal="right"/>
    </xf>
    <xf numFmtId="1" fontId="1" fillId="0" borderId="36" xfId="0" applyNumberFormat="1" applyFont="1" applyBorder="1"/>
    <xf numFmtId="3" fontId="1" fillId="0" borderId="29" xfId="0" applyNumberFormat="1" applyFont="1" applyBorder="1"/>
    <xf numFmtId="0" fontId="1" fillId="0" borderId="0" xfId="0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>
      <alignment horizontal="center"/>
    </xf>
    <xf numFmtId="0" fontId="2" fillId="0" borderId="0" xfId="1" applyFont="1"/>
    <xf numFmtId="3" fontId="1" fillId="0" borderId="38" xfId="1" applyNumberFormat="1" applyFont="1" applyBorder="1"/>
    <xf numFmtId="3" fontId="1" fillId="0" borderId="39" xfId="1" applyNumberFormat="1" applyFont="1" applyBorder="1"/>
    <xf numFmtId="3" fontId="1" fillId="0" borderId="40" xfId="1" applyNumberFormat="1" applyFont="1" applyBorder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/>
    <xf numFmtId="0" fontId="7" fillId="0" borderId="46" xfId="1" applyFont="1" applyBorder="1"/>
    <xf numFmtId="0" fontId="1" fillId="0" borderId="0" xfId="1" applyFont="1" applyAlignment="1">
      <alignment horizontal="left"/>
    </xf>
    <xf numFmtId="3" fontId="2" fillId="0" borderId="37" xfId="1" applyNumberFormat="1" applyFont="1" applyBorder="1"/>
    <xf numFmtId="0" fontId="2" fillId="0" borderId="0" xfId="1" applyFont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>
      <alignment horizontal="center"/>
    </xf>
    <xf numFmtId="3" fontId="2" fillId="0" borderId="40" xfId="1" applyNumberFormat="1" applyFont="1" applyBorder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>
      <alignment horizontal="right"/>
    </xf>
    <xf numFmtId="3" fontId="2" fillId="0" borderId="62" xfId="1" applyNumberFormat="1" applyFont="1" applyBorder="1" applyAlignment="1">
      <alignment horizontal="right"/>
    </xf>
    <xf numFmtId="3" fontId="2" fillId="3" borderId="64" xfId="1" applyNumberFormat="1" applyFont="1" applyFill="1" applyBorder="1" applyAlignment="1">
      <alignment horizontal="right"/>
    </xf>
    <xf numFmtId="0" fontId="1" fillId="0" borderId="65" xfId="1" applyFont="1" applyBorder="1"/>
    <xf numFmtId="0" fontId="1" fillId="0" borderId="66" xfId="1" applyFont="1" applyBorder="1"/>
    <xf numFmtId="3" fontId="2" fillId="0" borderId="67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Alignment="1">
      <alignment horizontal="right"/>
    </xf>
    <xf numFmtId="0" fontId="13" fillId="0" borderId="0" xfId="1" applyFont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/>
    </xf>
    <xf numFmtId="3" fontId="1" fillId="0" borderId="37" xfId="1" applyNumberFormat="1" applyFont="1" applyBorder="1" applyAlignment="1">
      <alignment horizontal="right"/>
    </xf>
    <xf numFmtId="0" fontId="2" fillId="3" borderId="37" xfId="1" applyFont="1" applyFill="1" applyBorder="1"/>
    <xf numFmtId="3" fontId="2" fillId="3" borderId="37" xfId="1" applyNumberFormat="1" applyFont="1" applyFill="1" applyBorder="1" applyAlignment="1">
      <alignment horizontal="right"/>
    </xf>
    <xf numFmtId="0" fontId="2" fillId="0" borderId="37" xfId="1" applyFont="1" applyBorder="1"/>
    <xf numFmtId="3" fontId="2" fillId="0" borderId="37" xfId="1" applyNumberFormat="1" applyFont="1" applyBorder="1" applyAlignment="1">
      <alignment horizontal="right"/>
    </xf>
    <xf numFmtId="0" fontId="1" fillId="0" borderId="37" xfId="1" applyFont="1" applyBorder="1" applyAlignment="1">
      <alignment shrinkToFit="1"/>
    </xf>
    <xf numFmtId="0" fontId="1" fillId="0" borderId="37" xfId="1" applyFont="1" applyBorder="1" applyAlignment="1">
      <alignment horizontal="right"/>
    </xf>
    <xf numFmtId="0" fontId="1" fillId="3" borderId="37" xfId="1" applyFont="1" applyFill="1" applyBorder="1" applyAlignment="1">
      <alignment horizontal="left"/>
    </xf>
    <xf numFmtId="3" fontId="1" fillId="0" borderId="38" xfId="1" applyNumberFormat="1" applyFont="1" applyBorder="1" applyAlignment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>
      <alignment horizontal="center"/>
    </xf>
    <xf numFmtId="3" fontId="1" fillId="0" borderId="68" xfId="1" applyNumberFormat="1" applyFont="1" applyBorder="1" applyAlignment="1">
      <alignment horizontal="right"/>
    </xf>
    <xf numFmtId="3" fontId="2" fillId="0" borderId="68" xfId="1" applyNumberFormat="1" applyFont="1" applyBorder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>
      <alignment horizontal="center"/>
    </xf>
    <xf numFmtId="0" fontId="1" fillId="0" borderId="75" xfId="1" applyFont="1" applyBorder="1"/>
    <xf numFmtId="164" fontId="2" fillId="0" borderId="76" xfId="1" applyNumberFormat="1" applyFont="1" applyBorder="1" applyAlignment="1">
      <alignment horizontal="right"/>
    </xf>
    <xf numFmtId="0" fontId="1" fillId="3" borderId="75" xfId="1" applyFont="1" applyFill="1" applyBorder="1"/>
    <xf numFmtId="0" fontId="1" fillId="0" borderId="77" xfId="1" applyFont="1" applyBorder="1"/>
    <xf numFmtId="0" fontId="1" fillId="0" borderId="78" xfId="1" applyFont="1" applyBorder="1"/>
    <xf numFmtId="0" fontId="2" fillId="0" borderId="40" xfId="1" applyFont="1" applyBorder="1"/>
    <xf numFmtId="0" fontId="1" fillId="0" borderId="74" xfId="1" applyFont="1" applyBorder="1"/>
    <xf numFmtId="0" fontId="1" fillId="0" borderId="74" xfId="1" applyFont="1" applyBorder="1" applyAlignment="1">
      <alignment shrinkToFit="1"/>
    </xf>
    <xf numFmtId="0" fontId="1" fillId="3" borderId="75" xfId="1" applyFont="1" applyFill="1" applyBorder="1" applyAlignment="1">
      <alignment horizontal="left"/>
    </xf>
    <xf numFmtId="0" fontId="1" fillId="0" borderId="75" xfId="1" applyFont="1" applyBorder="1" applyAlignment="1">
      <alignment horizontal="left"/>
    </xf>
    <xf numFmtId="0" fontId="1" fillId="0" borderId="42" xfId="1" applyFont="1" applyBorder="1"/>
    <xf numFmtId="49" fontId="1" fillId="0" borderId="37" xfId="2" applyNumberFormat="1" applyFont="1" applyBorder="1" applyAlignment="1">
      <alignment horizontal="left"/>
    </xf>
    <xf numFmtId="3" fontId="2" fillId="0" borderId="79" xfId="1" applyNumberFormat="1" applyFont="1" applyBorder="1" applyAlignment="1">
      <alignment horizontal="center"/>
    </xf>
    <xf numFmtId="3" fontId="2" fillId="0" borderId="80" xfId="1" applyNumberFormat="1" applyFont="1" applyBorder="1" applyAlignment="1">
      <alignment horizontal="center"/>
    </xf>
    <xf numFmtId="3" fontId="1" fillId="0" borderId="79" xfId="1" applyNumberFormat="1" applyFont="1" applyBorder="1" applyAlignment="1">
      <alignment horizontal="right"/>
    </xf>
    <xf numFmtId="3" fontId="1" fillId="0" borderId="80" xfId="1" applyNumberFormat="1" applyFont="1" applyBorder="1" applyAlignment="1">
      <alignment horizontal="right"/>
    </xf>
    <xf numFmtId="3" fontId="2" fillId="0" borderId="81" xfId="1" applyNumberFormat="1" applyFont="1" applyBorder="1" applyAlignment="1">
      <alignment horizontal="right"/>
    </xf>
    <xf numFmtId="3" fontId="2" fillId="0" borderId="76" xfId="1" applyNumberFormat="1" applyFont="1" applyBorder="1" applyAlignment="1">
      <alignment horizontal="right"/>
    </xf>
    <xf numFmtId="3" fontId="2" fillId="0" borderId="79" xfId="1" applyNumberFormat="1" applyFont="1" applyBorder="1" applyAlignment="1">
      <alignment horizontal="right"/>
    </xf>
    <xf numFmtId="3" fontId="2" fillId="0" borderId="80" xfId="1" applyNumberFormat="1" applyFont="1" applyBorder="1" applyAlignment="1">
      <alignment horizontal="right"/>
    </xf>
    <xf numFmtId="3" fontId="2" fillId="3" borderId="79" xfId="1" applyNumberFormat="1" applyFont="1" applyFill="1" applyBorder="1" applyAlignment="1">
      <alignment horizontal="right"/>
    </xf>
    <xf numFmtId="3" fontId="2" fillId="3" borderId="80" xfId="1" applyNumberFormat="1" applyFont="1" applyFill="1" applyBorder="1" applyAlignment="1">
      <alignment horizontal="right"/>
    </xf>
    <xf numFmtId="3" fontId="1" fillId="0" borderId="82" xfId="1" applyNumberFormat="1" applyFont="1" applyBorder="1" applyAlignment="1">
      <alignment horizontal="right"/>
    </xf>
    <xf numFmtId="3" fontId="1" fillId="0" borderId="83" xfId="1" applyNumberFormat="1" applyFont="1" applyBorder="1" applyAlignment="1">
      <alignment horizontal="right"/>
    </xf>
    <xf numFmtId="3" fontId="1" fillId="0" borderId="84" xfId="1" applyNumberFormat="1" applyFont="1" applyBorder="1" applyAlignment="1">
      <alignment horizontal="right"/>
    </xf>
    <xf numFmtId="3" fontId="2" fillId="3" borderId="84" xfId="1" applyNumberFormat="1" applyFont="1" applyFill="1" applyBorder="1" applyAlignment="1">
      <alignment horizontal="right"/>
    </xf>
    <xf numFmtId="3" fontId="2" fillId="3" borderId="85" xfId="1" applyNumberFormat="1" applyFont="1" applyFill="1" applyBorder="1" applyAlignment="1">
      <alignment horizontal="right"/>
    </xf>
    <xf numFmtId="3" fontId="2" fillId="0" borderId="82" xfId="1" applyNumberFormat="1" applyFont="1" applyBorder="1" applyAlignment="1">
      <alignment horizontal="right"/>
    </xf>
    <xf numFmtId="3" fontId="2" fillId="0" borderId="83" xfId="1" applyNumberFormat="1" applyFont="1" applyBorder="1" applyAlignment="1">
      <alignment horizontal="right"/>
    </xf>
    <xf numFmtId="3" fontId="1" fillId="0" borderId="86" xfId="1" applyNumberFormat="1" applyFont="1" applyBorder="1" applyAlignment="1">
      <alignment horizontal="right"/>
    </xf>
    <xf numFmtId="3" fontId="2" fillId="0" borderId="84" xfId="1" applyNumberFormat="1" applyFont="1" applyBorder="1" applyAlignment="1">
      <alignment horizontal="right"/>
    </xf>
    <xf numFmtId="3" fontId="1" fillId="0" borderId="87" xfId="1" applyNumberFormat="1" applyFont="1" applyBorder="1" applyAlignment="1">
      <alignment horizontal="right"/>
    </xf>
    <xf numFmtId="3" fontId="1" fillId="0" borderId="88" xfId="1" applyNumberFormat="1" applyFont="1" applyBorder="1" applyAlignment="1">
      <alignment horizontal="right"/>
    </xf>
    <xf numFmtId="3" fontId="1" fillId="0" borderId="89" xfId="1" applyNumberFormat="1" applyFont="1" applyBorder="1" applyAlignment="1">
      <alignment horizontal="right"/>
    </xf>
    <xf numFmtId="3" fontId="2" fillId="3" borderId="87" xfId="1" applyNumberFormat="1" applyFont="1" applyFill="1" applyBorder="1" applyAlignment="1">
      <alignment horizontal="right"/>
    </xf>
    <xf numFmtId="3" fontId="2" fillId="3" borderId="88" xfId="1" applyNumberFormat="1" applyFont="1" applyFill="1" applyBorder="1" applyAlignment="1">
      <alignment horizontal="right"/>
    </xf>
    <xf numFmtId="3" fontId="2" fillId="3" borderId="89" xfId="1" applyNumberFormat="1" applyFont="1" applyFill="1" applyBorder="1" applyAlignment="1">
      <alignment horizontal="right"/>
    </xf>
    <xf numFmtId="0" fontId="3" fillId="4" borderId="66" xfId="1" applyFont="1" applyFill="1" applyBorder="1"/>
    <xf numFmtId="0" fontId="3" fillId="4" borderId="78" xfId="1" applyFont="1" applyFill="1" applyBorder="1"/>
    <xf numFmtId="3" fontId="12" fillId="4" borderId="81" xfId="1" applyNumberFormat="1" applyFont="1" applyFill="1" applyBorder="1" applyAlignment="1">
      <alignment horizontal="right"/>
    </xf>
    <xf numFmtId="3" fontId="12" fillId="4" borderId="67" xfId="1" applyNumberFormat="1" applyFont="1" applyFill="1" applyBorder="1" applyAlignment="1">
      <alignment horizontal="right"/>
    </xf>
    <xf numFmtId="3" fontId="12" fillId="4" borderId="76" xfId="1" applyNumberFormat="1" applyFont="1" applyFill="1" applyBorder="1" applyAlignment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/>
    <xf numFmtId="0" fontId="1" fillId="0" borderId="0" xfId="3" applyFont="1"/>
    <xf numFmtId="0" fontId="1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/>
    <xf numFmtId="3" fontId="1" fillId="0" borderId="0" xfId="3" applyNumberFormat="1" applyFont="1"/>
    <xf numFmtId="0" fontId="1" fillId="0" borderId="54" xfId="3" applyFont="1" applyBorder="1" applyAlignment="1">
      <alignment horizontal="left"/>
    </xf>
    <xf numFmtId="4" fontId="2" fillId="0" borderId="0" xfId="3" applyNumberFormat="1" applyFont="1"/>
    <xf numFmtId="3" fontId="2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40" xfId="2" applyNumberFormat="1" applyFont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Border="1"/>
    <xf numFmtId="3" fontId="2" fillId="0" borderId="72" xfId="2" applyNumberFormat="1" applyFont="1" applyBorder="1"/>
    <xf numFmtId="3" fontId="2" fillId="0" borderId="91" xfId="2" applyNumberFormat="1" applyFont="1" applyBorder="1"/>
    <xf numFmtId="3" fontId="2" fillId="0" borderId="52" xfId="2" applyNumberFormat="1" applyFont="1" applyBorder="1"/>
    <xf numFmtId="3" fontId="2" fillId="0" borderId="43" xfId="2" applyNumberFormat="1" applyFont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Border="1"/>
    <xf numFmtId="3" fontId="1" fillId="0" borderId="44" xfId="2" applyNumberFormat="1" applyFont="1" applyBorder="1"/>
    <xf numFmtId="3" fontId="2" fillId="0" borderId="49" xfId="2" applyNumberFormat="1" applyFont="1" applyBorder="1"/>
    <xf numFmtId="3" fontId="2" fillId="0" borderId="41" xfId="2" applyNumberFormat="1" applyFont="1" applyBorder="1"/>
    <xf numFmtId="3" fontId="2" fillId="0" borderId="30" xfId="2" applyNumberFormat="1" applyFont="1" applyBorder="1"/>
    <xf numFmtId="3" fontId="2" fillId="0" borderId="42" xfId="2" applyNumberFormat="1" applyFont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3" fontId="2" fillId="4" borderId="65" xfId="1" applyNumberFormat="1" applyFont="1" applyFill="1" applyBorder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167" fontId="0" fillId="5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Alignment="1">
      <alignment horizontal="center"/>
    </xf>
    <xf numFmtId="3" fontId="0" fillId="0" borderId="0" xfId="0" applyNumberFormat="1"/>
    <xf numFmtId="0" fontId="1" fillId="0" borderId="45" xfId="1" applyFont="1" applyBorder="1"/>
    <xf numFmtId="3" fontId="1" fillId="0" borderId="92" xfId="1" applyNumberFormat="1" applyFont="1" applyBorder="1" applyAlignment="1">
      <alignment horizontal="right"/>
    </xf>
    <xf numFmtId="3" fontId="1" fillId="0" borderId="93" xfId="1" applyNumberFormat="1" applyFont="1" applyBorder="1" applyAlignment="1">
      <alignment horizontal="right"/>
    </xf>
    <xf numFmtId="3" fontId="1" fillId="0" borderId="94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0" fillId="0" borderId="37" xfId="2" applyNumberFormat="1" applyFont="1" applyBorder="1" applyAlignment="1">
      <alignment horizontal="left"/>
    </xf>
    <xf numFmtId="3" fontId="2" fillId="0" borderId="38" xfId="1" applyNumberFormat="1" applyFont="1" applyBorder="1" applyAlignment="1">
      <alignment horizontal="right"/>
    </xf>
    <xf numFmtId="49" fontId="1" fillId="0" borderId="40" xfId="1" applyNumberFormat="1" applyFont="1" applyBorder="1" applyAlignment="1">
      <alignment shrinkToFit="1"/>
    </xf>
    <xf numFmtId="0" fontId="1" fillId="0" borderId="39" xfId="1" applyFont="1" applyBorder="1" applyAlignment="1">
      <alignment horizontal="right" shrinkToFit="1"/>
    </xf>
    <xf numFmtId="3" fontId="17" fillId="0" borderId="0" xfId="0" applyNumberFormat="1" applyFont="1"/>
    <xf numFmtId="3" fontId="18" fillId="5" borderId="0" xfId="0" applyNumberFormat="1" applyFont="1" applyFill="1"/>
    <xf numFmtId="165" fontId="1" fillId="0" borderId="13" xfId="0" applyNumberFormat="1" applyFont="1" applyBorder="1" applyAlignment="1">
      <alignment horizontal="left" shrinkToFit="1"/>
    </xf>
    <xf numFmtId="164" fontId="1" fillId="0" borderId="13" xfId="0" applyNumberFormat="1" applyFont="1" applyBorder="1" applyAlignment="1">
      <alignment horizontal="left" shrinkToFit="1"/>
    </xf>
    <xf numFmtId="0" fontId="1" fillId="3" borderId="45" xfId="1" applyFont="1" applyFill="1" applyBorder="1"/>
    <xf numFmtId="3" fontId="2" fillId="3" borderId="92" xfId="1" applyNumberFormat="1" applyFont="1" applyFill="1" applyBorder="1" applyAlignment="1">
      <alignment horizontal="right"/>
    </xf>
    <xf numFmtId="3" fontId="2" fillId="3" borderId="93" xfId="1" applyNumberFormat="1" applyFont="1" applyFill="1" applyBorder="1" applyAlignment="1">
      <alignment horizontal="right"/>
    </xf>
    <xf numFmtId="3" fontId="2" fillId="3" borderId="94" xfId="1" applyNumberFormat="1" applyFont="1" applyFill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3" fontId="1" fillId="6" borderId="0" xfId="3" applyNumberFormat="1" applyFont="1" applyFill="1"/>
    <xf numFmtId="3" fontId="1" fillId="0" borderId="2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12" xfId="0" applyFont="1" applyFill="1" applyBorder="1"/>
    <xf numFmtId="0" fontId="1" fillId="0" borderId="10" xfId="0" applyFont="1" applyFill="1" applyBorder="1"/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2" fillId="0" borderId="49" xfId="1" applyNumberFormat="1" applyFont="1" applyBorder="1" applyAlignment="1">
      <alignment horizontal="center"/>
    </xf>
    <xf numFmtId="164" fontId="2" fillId="0" borderId="41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>
      <alignment horizontal="center"/>
    </xf>
    <xf numFmtId="164" fontId="2" fillId="0" borderId="45" xfId="1" applyNumberFormat="1" applyFont="1" applyBorder="1" applyAlignment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2" fillId="4" borderId="37" xfId="1" applyFont="1" applyFill="1" applyBorder="1" applyAlignment="1">
      <alignment horizontal="center" vertical="center" wrapText="1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_Příjmy město oddíly SR 2000" xfId="3" xr:uid="{00000000-0005-0000-0000-000003000000}"/>
    <cellStyle name="normální_Výdaje SR 200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2025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16850.627</c:v>
                </c:pt>
                <c:pt idx="1">
                  <c:v>1107.5329999999999</c:v>
                </c:pt>
                <c:pt idx="2">
                  <c:v>656.15</c:v>
                </c:pt>
                <c:pt idx="3">
                  <c:v>2619.4789999999998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7073488"/>
        <c:axId val="167073880"/>
      </c:barChart>
      <c:catAx>
        <c:axId val="1670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880"/>
        <c:crosses val="autoZero"/>
        <c:auto val="1"/>
        <c:lblAlgn val="ctr"/>
        <c:lblOffset val="100"/>
        <c:noMultiLvlLbl val="0"/>
      </c:catAx>
      <c:valAx>
        <c:axId val="16707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2025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0-451C-B58F-B72785BAFB4C}"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0-451C-B58F-B72785BAFB4C}"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0-451C-B58F-B72785BAFB4C}"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0-451C-B58F-B72785BAF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16850.627</c:v>
                </c:pt>
                <c:pt idx="1">
                  <c:v>1107.5329999999999</c:v>
                </c:pt>
                <c:pt idx="2">
                  <c:v>656.15</c:v>
                </c:pt>
                <c:pt idx="3">
                  <c:v>2619.4789999999998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2025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Výdaje_G!$M$2:$M$14</c:f>
              <c:strCache>
                <c:ptCount val="13"/>
                <c:pt idx="0">
                  <c:v> Zdravotnictví</c:v>
                </c:pt>
                <c:pt idx="1">
                  <c:v> Bezpečnost a veřejný pořádek</c:v>
                </c:pt>
                <c:pt idx="2">
                  <c:v> Ostatní výdaje</c:v>
                </c:pt>
                <c:pt idx="3">
                  <c:v> Finanční operace *)</c:v>
                </c:pt>
                <c:pt idx="4">
                  <c:v> Vodní hospodářství</c:v>
                </c:pt>
                <c:pt idx="5">
                  <c:v> Vzdělávání a školské služby</c:v>
                </c:pt>
                <c:pt idx="6">
                  <c:v> Ochrana životního prostředí</c:v>
                </c:pt>
                <c:pt idx="7">
                  <c:v> Soc. služby a spol. činnosti v soc. zab.</c:v>
                </c:pt>
                <c:pt idx="8">
                  <c:v> Kultura, církve a sdělovací prostředky</c:v>
                </c:pt>
                <c:pt idx="9">
                  <c:v> Bydlení, komunální služ. a územ. rozvoj</c:v>
                </c:pt>
                <c:pt idx="10">
                  <c:v> Sport a zájmová činnost</c:v>
                </c:pt>
                <c:pt idx="11">
                  <c:v> Státní správa a územní samospráva</c:v>
                </c:pt>
                <c:pt idx="12">
                  <c:v> Doprava</c:v>
                </c:pt>
              </c:strCache>
            </c:strRef>
          </c:cat>
          <c:val>
            <c:numRef>
              <c:f>Výdaje_G!$N$2:$N$14</c:f>
              <c:numCache>
                <c:formatCode>#\ ##0.0</c:formatCode>
                <c:ptCount val="13"/>
                <c:pt idx="0">
                  <c:v>387.37099999999998</c:v>
                </c:pt>
                <c:pt idx="1">
                  <c:v>650.09699999999998</c:v>
                </c:pt>
                <c:pt idx="2">
                  <c:v>661.346</c:v>
                </c:pt>
                <c:pt idx="3">
                  <c:v>698.20899999999995</c:v>
                </c:pt>
                <c:pt idx="4">
                  <c:v>1105.8130000000001</c:v>
                </c:pt>
                <c:pt idx="5">
                  <c:v>1514.6949999999999</c:v>
                </c:pt>
                <c:pt idx="6">
                  <c:v>1534.452</c:v>
                </c:pt>
                <c:pt idx="7">
                  <c:v>1601.2159999999999</c:v>
                </c:pt>
                <c:pt idx="8">
                  <c:v>2158.9229999999998</c:v>
                </c:pt>
                <c:pt idx="9">
                  <c:v>3043.4540000000002</c:v>
                </c:pt>
                <c:pt idx="10">
                  <c:v>3109.5169999999998</c:v>
                </c:pt>
                <c:pt idx="11">
                  <c:v>3214.9</c:v>
                </c:pt>
                <c:pt idx="12">
                  <c:v>6764.6909999999998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69312"/>
        <c:axId val="255069704"/>
      </c:barChart>
      <c:catAx>
        <c:axId val="25506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70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55069704"/>
        <c:scaling>
          <c:orientation val="minMax"/>
          <c:max val="7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2025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Sport a zájmová činnost</c:v>
                </c:pt>
                <c:pt idx="3">
                  <c:v> Bydlení, komunální služ. a územ. rozvoj</c:v>
                </c:pt>
                <c:pt idx="4">
                  <c:v> Kultura, církve a sdělovací prostředky</c:v>
                </c:pt>
                <c:pt idx="5">
                  <c:v> Soc. služby a spol. činnosti v soc. zab.</c:v>
                </c:pt>
                <c:pt idx="6">
                  <c:v> Ochrana životního prostředí</c:v>
                </c:pt>
                <c:pt idx="7">
                  <c:v> Vzdělávání a školské služby</c:v>
                </c:pt>
                <c:pt idx="8">
                  <c:v> Vodní hospodářství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Výdaje_G!$O$20:$O$32</c:f>
              <c:numCache>
                <c:formatCode>#\ ##0.0</c:formatCode>
                <c:ptCount val="13"/>
                <c:pt idx="0">
                  <c:v>6332.4780000000001</c:v>
                </c:pt>
                <c:pt idx="1">
                  <c:v>1926.982</c:v>
                </c:pt>
                <c:pt idx="2">
                  <c:v>2890.5250000000001</c:v>
                </c:pt>
                <c:pt idx="3">
                  <c:v>1905.117</c:v>
                </c:pt>
                <c:pt idx="4">
                  <c:v>1978.7329999999999</c:v>
                </c:pt>
                <c:pt idx="5">
                  <c:v>1508.915</c:v>
                </c:pt>
                <c:pt idx="6">
                  <c:v>952.54899999999998</c:v>
                </c:pt>
                <c:pt idx="7">
                  <c:v>227.76400000000001</c:v>
                </c:pt>
                <c:pt idx="8">
                  <c:v>1093.3499999999999</c:v>
                </c:pt>
                <c:pt idx="9">
                  <c:v>3718.3870000000002</c:v>
                </c:pt>
                <c:pt idx="10">
                  <c:v>503.35700000000003</c:v>
                </c:pt>
                <c:pt idx="11">
                  <c:v>645.32500000000005</c:v>
                </c:pt>
                <c:pt idx="12">
                  <c:v>361.02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Sport a zájmová činnost</c:v>
                </c:pt>
                <c:pt idx="3">
                  <c:v> Bydlení, komunální služ. a územ. rozvoj</c:v>
                </c:pt>
                <c:pt idx="4">
                  <c:v> Kultura, církve a sdělovací prostředky</c:v>
                </c:pt>
                <c:pt idx="5">
                  <c:v> Soc. služby a spol. činnosti v soc. zab.</c:v>
                </c:pt>
                <c:pt idx="6">
                  <c:v> Ochrana životního prostředí</c:v>
                </c:pt>
                <c:pt idx="7">
                  <c:v> Vzdělávání a školské služby</c:v>
                </c:pt>
                <c:pt idx="8">
                  <c:v> Vodní hospodářství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Výdaje_G!$P$20:$P$32</c:f>
              <c:numCache>
                <c:formatCode>#\ ##0.0</c:formatCode>
                <c:ptCount val="13"/>
                <c:pt idx="0">
                  <c:v>432.21300000000002</c:v>
                </c:pt>
                <c:pt idx="1">
                  <c:v>1287.9179999999999</c:v>
                </c:pt>
                <c:pt idx="2">
                  <c:v>218.99199999999999</c:v>
                </c:pt>
                <c:pt idx="3">
                  <c:v>1138.337</c:v>
                </c:pt>
                <c:pt idx="4">
                  <c:v>180.19</c:v>
                </c:pt>
                <c:pt idx="5">
                  <c:v>92.301000000000002</c:v>
                </c:pt>
                <c:pt idx="6">
                  <c:v>581.90300000000002</c:v>
                </c:pt>
                <c:pt idx="7">
                  <c:v>1286.931</c:v>
                </c:pt>
                <c:pt idx="8">
                  <c:v>12.462999999999999</c:v>
                </c:pt>
                <c:pt idx="9">
                  <c:v>130.89099999999999</c:v>
                </c:pt>
                <c:pt idx="10">
                  <c:v>157.989</c:v>
                </c:pt>
                <c:pt idx="11">
                  <c:v>4.7720000000000002</c:v>
                </c:pt>
                <c:pt idx="12">
                  <c:v>26.350999999999999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55070488"/>
        <c:axId val="255070880"/>
      </c:barChart>
      <c:lineChart>
        <c:grouping val="stacked"/>
        <c:varyColors val="0"/>
        <c:ser>
          <c:idx val="0"/>
          <c:order val="0"/>
          <c:tx>
            <c:strRef>
              <c:f>Výdaje_G!$N$19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Sport a zájmová činnost</c:v>
                </c:pt>
                <c:pt idx="3">
                  <c:v> Bydlení, komunální služ. a územ. rozvoj</c:v>
                </c:pt>
                <c:pt idx="4">
                  <c:v> Kultura, církve a sdělovací prostředky</c:v>
                </c:pt>
                <c:pt idx="5">
                  <c:v> Soc. služby a spol. činnosti v soc. zab.</c:v>
                </c:pt>
                <c:pt idx="6">
                  <c:v> Ochrana životního prostředí</c:v>
                </c:pt>
                <c:pt idx="7">
                  <c:v> Vzdělávání a školské služby</c:v>
                </c:pt>
                <c:pt idx="8">
                  <c:v> Vodní hospodářství</c:v>
                </c:pt>
                <c:pt idx="9">
                  <c:v> Finanční operace *)</c:v>
                </c:pt>
                <c:pt idx="10">
                  <c:v> Ostatní výdaje</c:v>
                </c:pt>
                <c:pt idx="11">
                  <c:v> Bezpečnost a veřejný pořádek</c:v>
                </c:pt>
                <c:pt idx="12">
                  <c:v> Zdravotnictví</c:v>
                </c:pt>
              </c:strCache>
            </c:strRef>
          </c:cat>
          <c:val>
            <c:numRef>
              <c:f>Výdaje_G!$N$20:$N$32</c:f>
              <c:numCache>
                <c:formatCode>#\ ##0.0</c:formatCode>
                <c:ptCount val="13"/>
                <c:pt idx="0">
                  <c:v>6764.6909999999998</c:v>
                </c:pt>
                <c:pt idx="1">
                  <c:v>3214.9</c:v>
                </c:pt>
                <c:pt idx="2">
                  <c:v>3109.5169999999998</c:v>
                </c:pt>
                <c:pt idx="3">
                  <c:v>3043.4540000000002</c:v>
                </c:pt>
                <c:pt idx="4">
                  <c:v>2158.9229999999998</c:v>
                </c:pt>
                <c:pt idx="5">
                  <c:v>1601.2159999999999</c:v>
                </c:pt>
                <c:pt idx="6">
                  <c:v>1534.452</c:v>
                </c:pt>
                <c:pt idx="7">
                  <c:v>1514.6949999999999</c:v>
                </c:pt>
                <c:pt idx="8">
                  <c:v>1105.8130000000001</c:v>
                </c:pt>
                <c:pt idx="9">
                  <c:v>698.20899999999995</c:v>
                </c:pt>
                <c:pt idx="10">
                  <c:v>661.346</c:v>
                </c:pt>
                <c:pt idx="11">
                  <c:v>650.09699999999998</c:v>
                </c:pt>
                <c:pt idx="12">
                  <c:v>387.37099999999998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70488"/>
        <c:axId val="255070880"/>
      </c:lineChart>
      <c:catAx>
        <c:axId val="255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880"/>
        <c:crosses val="autoZero"/>
        <c:auto val="1"/>
        <c:lblAlgn val="ctr"/>
        <c:lblOffset val="100"/>
        <c:noMultiLvlLbl val="0"/>
      </c:catAx>
      <c:valAx>
        <c:axId val="25507088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4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4.42578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399" t="s">
        <v>0</v>
      </c>
      <c r="B1" s="399"/>
      <c r="C1" s="399"/>
      <c r="D1" s="399"/>
      <c r="E1" s="399"/>
      <c r="F1" s="399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05" t="s">
        <v>4</v>
      </c>
      <c r="D3" s="402" t="s">
        <v>447</v>
      </c>
      <c r="E3" s="403"/>
      <c r="F3" s="404"/>
    </row>
    <row r="4" spans="1:6" x14ac:dyDescent="0.2">
      <c r="A4" s="6" t="s">
        <v>2</v>
      </c>
      <c r="B4" s="7" t="s">
        <v>3</v>
      </c>
      <c r="C4" s="406"/>
      <c r="D4" s="400" t="s">
        <v>80</v>
      </c>
      <c r="E4" s="400" t="s">
        <v>6</v>
      </c>
      <c r="F4" s="400" t="s">
        <v>7</v>
      </c>
    </row>
    <row r="5" spans="1:6" ht="13.5" thickBot="1" x14ac:dyDescent="0.25">
      <c r="A5" s="8"/>
      <c r="B5" s="9" t="s">
        <v>5</v>
      </c>
      <c r="C5" s="407"/>
      <c r="D5" s="401"/>
      <c r="E5" s="401"/>
      <c r="F5" s="401"/>
    </row>
    <row r="6" spans="1:6" x14ac:dyDescent="0.2">
      <c r="A6" s="10">
        <v>1</v>
      </c>
      <c r="B6" s="11">
        <v>1111</v>
      </c>
      <c r="C6" s="12" t="s">
        <v>353</v>
      </c>
      <c r="D6" s="13">
        <f t="shared" ref="D6:D11" si="0">+E6+F6</f>
        <v>2980000</v>
      </c>
      <c r="E6" s="13">
        <v>2980000</v>
      </c>
      <c r="F6" s="13"/>
    </row>
    <row r="7" spans="1:6" x14ac:dyDescent="0.2">
      <c r="A7" s="14">
        <v>2</v>
      </c>
      <c r="B7" s="15">
        <v>1112</v>
      </c>
      <c r="C7" s="16" t="s">
        <v>354</v>
      </c>
      <c r="D7" s="17">
        <f t="shared" si="0"/>
        <v>240000</v>
      </c>
      <c r="E7" s="18">
        <v>240000</v>
      </c>
      <c r="F7" s="18"/>
    </row>
    <row r="8" spans="1:6" x14ac:dyDescent="0.2">
      <c r="A8" s="10">
        <v>3</v>
      </c>
      <c r="B8" s="15">
        <v>1113</v>
      </c>
      <c r="C8" s="16" t="s">
        <v>355</v>
      </c>
      <c r="D8" s="17">
        <f t="shared" si="0"/>
        <v>540000</v>
      </c>
      <c r="E8" s="18">
        <v>540000</v>
      </c>
      <c r="F8" s="18"/>
    </row>
    <row r="9" spans="1:6" x14ac:dyDescent="0.2">
      <c r="A9" s="14">
        <v>4</v>
      </c>
      <c r="B9" s="15">
        <v>1121</v>
      </c>
      <c r="C9" s="16" t="s">
        <v>356</v>
      </c>
      <c r="D9" s="17">
        <f t="shared" si="0"/>
        <v>3940000</v>
      </c>
      <c r="E9" s="18">
        <v>3940000</v>
      </c>
      <c r="F9" s="18"/>
    </row>
    <row r="10" spans="1:6" x14ac:dyDescent="0.2">
      <c r="A10" s="10">
        <v>5</v>
      </c>
      <c r="B10" s="15">
        <v>1211</v>
      </c>
      <c r="C10" s="16" t="s">
        <v>357</v>
      </c>
      <c r="D10" s="17">
        <f t="shared" si="0"/>
        <v>7700000</v>
      </c>
      <c r="E10" s="18">
        <v>7700000</v>
      </c>
      <c r="F10" s="18"/>
    </row>
    <row r="11" spans="1:6" x14ac:dyDescent="0.2">
      <c r="A11" s="14">
        <v>6</v>
      </c>
      <c r="B11" s="15">
        <v>1511</v>
      </c>
      <c r="C11" s="19" t="s">
        <v>358</v>
      </c>
      <c r="D11" s="17">
        <f t="shared" si="0"/>
        <v>400000</v>
      </c>
      <c r="E11" s="18">
        <v>400000</v>
      </c>
      <c r="F11" s="18"/>
    </row>
    <row r="12" spans="1:6" ht="13.5" thickBot="1" x14ac:dyDescent="0.25">
      <c r="A12" s="10">
        <v>7</v>
      </c>
      <c r="B12" s="20"/>
      <c r="C12" s="21" t="s">
        <v>8</v>
      </c>
      <c r="D12" s="22">
        <f>SUM(D6:D11)</f>
        <v>15800000</v>
      </c>
      <c r="E12" s="23">
        <f>SUM(E6:E11)</f>
        <v>15800000</v>
      </c>
      <c r="F12" s="23"/>
    </row>
    <row r="13" spans="1:6" x14ac:dyDescent="0.2">
      <c r="A13" s="14">
        <v>8</v>
      </c>
      <c r="B13" s="15">
        <v>1122</v>
      </c>
      <c r="C13" s="16" t="s">
        <v>445</v>
      </c>
      <c r="D13" s="17">
        <f t="shared" ref="D13:D19" si="1">+E13+F13</f>
        <v>92352</v>
      </c>
      <c r="E13" s="18"/>
      <c r="F13" s="24">
        <v>92352</v>
      </c>
    </row>
    <row r="14" spans="1:6" x14ac:dyDescent="0.2">
      <c r="A14" s="10">
        <v>9</v>
      </c>
      <c r="B14" s="15">
        <v>1122</v>
      </c>
      <c r="C14" s="16" t="s">
        <v>359</v>
      </c>
      <c r="D14" s="17">
        <f t="shared" si="1"/>
        <v>280226</v>
      </c>
      <c r="E14" s="18">
        <v>250000</v>
      </c>
      <c r="F14" s="24">
        <v>30226</v>
      </c>
    </row>
    <row r="15" spans="1:6" x14ac:dyDescent="0.2">
      <c r="A15" s="14">
        <v>10</v>
      </c>
      <c r="B15" s="25" t="s">
        <v>10</v>
      </c>
      <c r="C15" s="26" t="s">
        <v>360</v>
      </c>
      <c r="D15" s="17">
        <f t="shared" si="1"/>
        <v>2545</v>
      </c>
      <c r="E15" s="18">
        <v>2545</v>
      </c>
      <c r="F15" s="24"/>
    </row>
    <row r="16" spans="1:6" x14ac:dyDescent="0.2">
      <c r="A16" s="10">
        <v>11</v>
      </c>
      <c r="B16" s="25" t="s">
        <v>11</v>
      </c>
      <c r="C16" s="19" t="s">
        <v>361</v>
      </c>
      <c r="D16" s="17">
        <f t="shared" si="1"/>
        <v>418315</v>
      </c>
      <c r="E16" s="18">
        <v>301382</v>
      </c>
      <c r="F16" s="24">
        <v>116933</v>
      </c>
    </row>
    <row r="17" spans="1:6" x14ac:dyDescent="0.2">
      <c r="A17" s="14">
        <v>12</v>
      </c>
      <c r="B17" s="25" t="s">
        <v>12</v>
      </c>
      <c r="C17" s="19" t="s">
        <v>362</v>
      </c>
      <c r="D17" s="17">
        <f t="shared" si="1"/>
        <v>4300</v>
      </c>
      <c r="E17" s="27">
        <v>4300</v>
      </c>
      <c r="F17" s="28"/>
    </row>
    <row r="18" spans="1:6" x14ac:dyDescent="0.2">
      <c r="A18" s="10">
        <v>13</v>
      </c>
      <c r="B18" s="15">
        <v>1361</v>
      </c>
      <c r="C18" s="19" t="s">
        <v>363</v>
      </c>
      <c r="D18" s="17">
        <f t="shared" ref="D18" si="2">+E18+F18</f>
        <v>92889</v>
      </c>
      <c r="E18" s="27">
        <v>83857</v>
      </c>
      <c r="F18" s="28">
        <v>9032</v>
      </c>
    </row>
    <row r="19" spans="1:6" x14ac:dyDescent="0.2">
      <c r="A19" s="10">
        <v>14</v>
      </c>
      <c r="B19" s="25" t="s">
        <v>308</v>
      </c>
      <c r="C19" s="387" t="s">
        <v>364</v>
      </c>
      <c r="D19" s="17">
        <f t="shared" si="1"/>
        <v>160000</v>
      </c>
      <c r="E19" s="27">
        <v>160000</v>
      </c>
      <c r="F19" s="28"/>
    </row>
    <row r="20" spans="1:6" ht="13.5" thickBot="1" x14ac:dyDescent="0.25">
      <c r="A20" s="14">
        <v>15</v>
      </c>
      <c r="B20" s="29" t="s">
        <v>13</v>
      </c>
      <c r="C20" s="30" t="s">
        <v>309</v>
      </c>
      <c r="D20" s="31">
        <f>SUM(D12:D19)</f>
        <v>16850627</v>
      </c>
      <c r="E20" s="32">
        <f>SUM(E12:E19)</f>
        <v>16602084</v>
      </c>
      <c r="F20" s="32">
        <f>SUM(F13:F19)</f>
        <v>248543</v>
      </c>
    </row>
    <row r="21" spans="1:6" x14ac:dyDescent="0.2">
      <c r="A21" s="10">
        <v>16</v>
      </c>
      <c r="B21" s="33" t="s">
        <v>14</v>
      </c>
      <c r="C21" s="34" t="s">
        <v>365</v>
      </c>
      <c r="D21" s="17">
        <f t="shared" ref="D21:D26" si="3">+E21+F21</f>
        <v>305119</v>
      </c>
      <c r="E21" s="13">
        <v>251354</v>
      </c>
      <c r="F21" s="35">
        <v>53765</v>
      </c>
    </row>
    <row r="22" spans="1:6" x14ac:dyDescent="0.2">
      <c r="A22" s="14">
        <v>17</v>
      </c>
      <c r="B22" s="33" t="s">
        <v>15</v>
      </c>
      <c r="C22" s="34" t="s">
        <v>436</v>
      </c>
      <c r="D22" s="17">
        <f t="shared" si="3"/>
        <v>119229</v>
      </c>
      <c r="E22" s="13">
        <v>100444</v>
      </c>
      <c r="F22" s="35">
        <v>18785</v>
      </c>
    </row>
    <row r="23" spans="1:6" x14ac:dyDescent="0.2">
      <c r="A23" s="10">
        <v>18</v>
      </c>
      <c r="B23" s="25" t="s">
        <v>16</v>
      </c>
      <c r="C23" s="26" t="s">
        <v>366</v>
      </c>
      <c r="D23" s="17">
        <f t="shared" si="3"/>
        <v>292925</v>
      </c>
      <c r="E23" s="18">
        <v>169588</v>
      </c>
      <c r="F23" s="24">
        <v>123337</v>
      </c>
    </row>
    <row r="24" spans="1:6" x14ac:dyDescent="0.2">
      <c r="A24" s="14">
        <v>19</v>
      </c>
      <c r="B24" s="25" t="s">
        <v>17</v>
      </c>
      <c r="C24" s="26" t="s">
        <v>367</v>
      </c>
      <c r="D24" s="17">
        <f t="shared" si="3"/>
        <v>87918</v>
      </c>
      <c r="E24" s="18">
        <v>43410</v>
      </c>
      <c r="F24" s="24">
        <v>44508</v>
      </c>
    </row>
    <row r="25" spans="1:6" x14ac:dyDescent="0.2">
      <c r="A25" s="10">
        <v>20</v>
      </c>
      <c r="B25" s="25" t="s">
        <v>18</v>
      </c>
      <c r="C25" s="26" t="s">
        <v>19</v>
      </c>
      <c r="D25" s="17">
        <f t="shared" si="3"/>
        <v>96043</v>
      </c>
      <c r="E25" s="18">
        <v>93500</v>
      </c>
      <c r="F25" s="24">
        <v>2543</v>
      </c>
    </row>
    <row r="26" spans="1:6" x14ac:dyDescent="0.2">
      <c r="A26" s="10">
        <v>21</v>
      </c>
      <c r="B26" s="36" t="s">
        <v>20</v>
      </c>
      <c r="C26" s="19" t="s">
        <v>21</v>
      </c>
      <c r="D26" s="17">
        <f t="shared" si="3"/>
        <v>206299</v>
      </c>
      <c r="E26" s="18">
        <v>174684</v>
      </c>
      <c r="F26" s="24">
        <v>31615</v>
      </c>
    </row>
    <row r="27" spans="1:6" ht="13.5" thickBot="1" x14ac:dyDescent="0.25">
      <c r="A27" s="14">
        <v>22</v>
      </c>
      <c r="B27" s="29" t="s">
        <v>22</v>
      </c>
      <c r="C27" s="30" t="s">
        <v>310</v>
      </c>
      <c r="D27" s="31">
        <f>SUM(D21:D26)</f>
        <v>1107533</v>
      </c>
      <c r="E27" s="32">
        <f>SUM(E21:E26)</f>
        <v>832980</v>
      </c>
      <c r="F27" s="32">
        <f>SUM(F21:F26)</f>
        <v>274553</v>
      </c>
    </row>
    <row r="28" spans="1:6" x14ac:dyDescent="0.2">
      <c r="A28" s="10">
        <v>23</v>
      </c>
      <c r="B28" s="33" t="s">
        <v>23</v>
      </c>
      <c r="C28" s="37" t="s">
        <v>24</v>
      </c>
      <c r="D28" s="17">
        <f>+E28+F28</f>
        <v>566150</v>
      </c>
      <c r="E28" s="13">
        <v>566100</v>
      </c>
      <c r="F28" s="35">
        <v>50</v>
      </c>
    </row>
    <row r="29" spans="1:6" x14ac:dyDescent="0.2">
      <c r="A29" s="56">
        <v>24</v>
      </c>
      <c r="B29" s="25" t="s">
        <v>25</v>
      </c>
      <c r="C29" s="26" t="s">
        <v>26</v>
      </c>
      <c r="D29" s="54">
        <f>+E29+F29</f>
        <v>90000</v>
      </c>
      <c r="E29" s="18">
        <v>90000</v>
      </c>
      <c r="F29" s="24"/>
    </row>
    <row r="30" spans="1:6" ht="13.5" thickBot="1" x14ac:dyDescent="0.25">
      <c r="A30" s="397">
        <v>25</v>
      </c>
      <c r="B30" s="29" t="s">
        <v>27</v>
      </c>
      <c r="C30" s="30" t="s">
        <v>376</v>
      </c>
      <c r="D30" s="31">
        <f>SUM(D28:D29)</f>
        <v>656150</v>
      </c>
      <c r="E30" s="32">
        <f>SUM(E28:E29)</f>
        <v>656100</v>
      </c>
      <c r="F30" s="32">
        <f>SUM(F28:F29)</f>
        <v>50</v>
      </c>
    </row>
    <row r="31" spans="1:6" ht="13.5" thickBot="1" x14ac:dyDescent="0.25">
      <c r="A31" s="397">
        <v>26</v>
      </c>
      <c r="B31" s="38"/>
      <c r="C31" s="39" t="s">
        <v>377</v>
      </c>
      <c r="D31" s="40">
        <f>+D20+D27+D30</f>
        <v>18614310</v>
      </c>
      <c r="E31" s="41">
        <f>+E20+E27+E30</f>
        <v>18091164</v>
      </c>
      <c r="F31" s="41">
        <f>+F20+F27+F30</f>
        <v>523146</v>
      </c>
    </row>
    <row r="32" spans="1:6" x14ac:dyDescent="0.2">
      <c r="A32" s="397">
        <v>27</v>
      </c>
      <c r="B32" s="11">
        <v>4111</v>
      </c>
      <c r="C32" s="34" t="s">
        <v>466</v>
      </c>
      <c r="D32" s="17">
        <f>+E32+F32</f>
        <v>11299</v>
      </c>
      <c r="E32" s="13"/>
      <c r="F32" s="35">
        <v>11299</v>
      </c>
    </row>
    <row r="33" spans="1:7" x14ac:dyDescent="0.2">
      <c r="A33" s="398">
        <v>28</v>
      </c>
      <c r="B33" s="11">
        <v>4112</v>
      </c>
      <c r="C33" s="34" t="s">
        <v>370</v>
      </c>
      <c r="D33" s="17">
        <f>+E33+F33</f>
        <v>407948</v>
      </c>
      <c r="E33" s="13">
        <v>250537</v>
      </c>
      <c r="F33" s="35">
        <v>157411</v>
      </c>
    </row>
    <row r="34" spans="1:7" x14ac:dyDescent="0.2">
      <c r="A34" s="397">
        <v>29</v>
      </c>
      <c r="B34" s="11">
        <v>4116</v>
      </c>
      <c r="C34" s="34" t="s">
        <v>28</v>
      </c>
      <c r="D34" s="17">
        <f>+E34+F34</f>
        <v>101037</v>
      </c>
      <c r="E34" s="13">
        <v>31200</v>
      </c>
      <c r="F34" s="35">
        <v>69837</v>
      </c>
    </row>
    <row r="35" spans="1:7" x14ac:dyDescent="0.2">
      <c r="A35" s="398">
        <v>30</v>
      </c>
      <c r="B35" s="11">
        <v>4121</v>
      </c>
      <c r="C35" s="34" t="s">
        <v>455</v>
      </c>
      <c r="D35" s="17">
        <f>+E35+F35</f>
        <v>410730</v>
      </c>
      <c r="E35" s="13">
        <f>25+410640</f>
        <v>410665</v>
      </c>
      <c r="F35" s="35">
        <v>65</v>
      </c>
    </row>
    <row r="36" spans="1:7" x14ac:dyDescent="0.2">
      <c r="A36" s="397">
        <v>31</v>
      </c>
      <c r="B36" s="11">
        <v>4131</v>
      </c>
      <c r="C36" s="34" t="s">
        <v>368</v>
      </c>
      <c r="D36" s="17">
        <f>+E36+F36</f>
        <v>1688425</v>
      </c>
      <c r="E36" s="13">
        <v>1037050</v>
      </c>
      <c r="F36" s="35">
        <v>651375</v>
      </c>
    </row>
    <row r="37" spans="1:7" x14ac:dyDescent="0.2">
      <c r="A37" s="10">
        <v>32</v>
      </c>
      <c r="B37" s="11">
        <v>4137</v>
      </c>
      <c r="C37" s="42" t="s">
        <v>332</v>
      </c>
      <c r="D37" s="43" t="s">
        <v>29</v>
      </c>
      <c r="E37" s="13"/>
      <c r="F37" s="35">
        <f>E56</f>
        <v>2830607</v>
      </c>
    </row>
    <row r="38" spans="1:7" x14ac:dyDescent="0.2">
      <c r="A38" s="14">
        <v>33</v>
      </c>
      <c r="B38" s="11">
        <v>4137</v>
      </c>
      <c r="C38" s="42" t="s">
        <v>333</v>
      </c>
      <c r="D38" s="43" t="s">
        <v>29</v>
      </c>
      <c r="E38" s="13"/>
      <c r="F38" s="35">
        <v>580</v>
      </c>
    </row>
    <row r="39" spans="1:7" x14ac:dyDescent="0.2">
      <c r="A39" s="10">
        <v>34</v>
      </c>
      <c r="B39" s="11">
        <v>4137</v>
      </c>
      <c r="C39" s="16" t="s">
        <v>338</v>
      </c>
      <c r="D39" s="43" t="s">
        <v>29</v>
      </c>
      <c r="E39" s="13">
        <v>73242</v>
      </c>
      <c r="F39" s="35"/>
    </row>
    <row r="40" spans="1:7" x14ac:dyDescent="0.2">
      <c r="A40" s="10">
        <v>35</v>
      </c>
      <c r="B40" s="11">
        <v>4171</v>
      </c>
      <c r="C40" s="16" t="s">
        <v>467</v>
      </c>
      <c r="D40" s="17">
        <f>+E40+F40</f>
        <v>40</v>
      </c>
      <c r="E40" s="13"/>
      <c r="F40" s="35">
        <v>40</v>
      </c>
    </row>
    <row r="41" spans="1:7" x14ac:dyDescent="0.2">
      <c r="A41" s="10">
        <v>36</v>
      </c>
      <c r="B41" s="11">
        <v>4251</v>
      </c>
      <c r="C41" s="16" t="s">
        <v>335</v>
      </c>
      <c r="D41" s="43" t="s">
        <v>29</v>
      </c>
      <c r="E41" s="13"/>
      <c r="F41" s="35">
        <f>E64</f>
        <v>246640</v>
      </c>
    </row>
    <row r="42" spans="1:7" ht="13.5" thickBot="1" x14ac:dyDescent="0.25">
      <c r="A42" s="14">
        <v>37</v>
      </c>
      <c r="B42" s="29" t="s">
        <v>30</v>
      </c>
      <c r="C42" s="30" t="s">
        <v>464</v>
      </c>
      <c r="D42" s="32">
        <f>SUM(D32:D41)</f>
        <v>2619479</v>
      </c>
      <c r="E42" s="32">
        <f>SUM(E32:E41)</f>
        <v>1802694</v>
      </c>
      <c r="F42" s="32">
        <f>SUM(F32:F41)</f>
        <v>3967854</v>
      </c>
    </row>
    <row r="43" spans="1:7" ht="13.5" thickBot="1" x14ac:dyDescent="0.25">
      <c r="A43" s="44">
        <v>38</v>
      </c>
      <c r="B43" s="45" t="s">
        <v>31</v>
      </c>
      <c r="C43" s="46" t="s">
        <v>465</v>
      </c>
      <c r="D43" s="47">
        <f>+D31+D42</f>
        <v>21233789</v>
      </c>
      <c r="E43" s="47">
        <f>+E31+E42</f>
        <v>19893858</v>
      </c>
      <c r="F43" s="47">
        <f>+F31+F42</f>
        <v>4491000</v>
      </c>
      <c r="G43" s="373"/>
    </row>
    <row r="44" spans="1:7" ht="13.5" thickBot="1" x14ac:dyDescent="0.25">
      <c r="A44" s="48"/>
      <c r="B44" s="49"/>
      <c r="C44" s="50"/>
      <c r="D44" s="50"/>
      <c r="E44" s="50"/>
      <c r="F44" s="50"/>
    </row>
    <row r="45" spans="1:7" ht="13.5" thickBot="1" x14ac:dyDescent="0.25">
      <c r="A45" s="4"/>
      <c r="B45" s="5" t="s">
        <v>1</v>
      </c>
      <c r="C45" s="405" t="s">
        <v>32</v>
      </c>
      <c r="D45" s="402" t="str">
        <f>$D$3</f>
        <v>SCHVÁLENÝ ROZPOČET 2025</v>
      </c>
      <c r="E45" s="403"/>
      <c r="F45" s="404"/>
    </row>
    <row r="46" spans="1:7" x14ac:dyDescent="0.2">
      <c r="A46" s="6" t="s">
        <v>2</v>
      </c>
      <c r="B46" s="7" t="s">
        <v>3</v>
      </c>
      <c r="C46" s="406"/>
      <c r="D46" s="400" t="s">
        <v>80</v>
      </c>
      <c r="E46" s="400" t="s">
        <v>6</v>
      </c>
      <c r="F46" s="400" t="s">
        <v>7</v>
      </c>
    </row>
    <row r="47" spans="1:7" ht="13.5" thickBot="1" x14ac:dyDescent="0.25">
      <c r="A47" s="8"/>
      <c r="B47" s="9" t="s">
        <v>5</v>
      </c>
      <c r="C47" s="407"/>
      <c r="D47" s="401"/>
      <c r="E47" s="401"/>
      <c r="F47" s="401"/>
    </row>
    <row r="48" spans="1:7" x14ac:dyDescent="0.2">
      <c r="A48" s="51">
        <v>1</v>
      </c>
      <c r="B48" s="52" t="s">
        <v>329</v>
      </c>
      <c r="C48" s="53" t="s">
        <v>371</v>
      </c>
      <c r="D48" s="54">
        <f t="shared" ref="D48:D54" si="4">+E48+F48</f>
        <v>2515543</v>
      </c>
      <c r="E48" s="395">
        <f>1223707+444219</f>
        <v>1667926</v>
      </c>
      <c r="F48" s="55">
        <f>602288+245329</f>
        <v>847617</v>
      </c>
    </row>
    <row r="49" spans="1:6" x14ac:dyDescent="0.2">
      <c r="A49" s="14">
        <v>2</v>
      </c>
      <c r="B49" s="25" t="s">
        <v>33</v>
      </c>
      <c r="C49" s="26" t="s">
        <v>372</v>
      </c>
      <c r="D49" s="54">
        <f t="shared" si="4"/>
        <v>251493</v>
      </c>
      <c r="E49" s="18">
        <v>64396</v>
      </c>
      <c r="F49" s="24">
        <v>187097</v>
      </c>
    </row>
    <row r="50" spans="1:6" x14ac:dyDescent="0.2">
      <c r="A50" s="56">
        <v>3</v>
      </c>
      <c r="B50" s="57" t="s">
        <v>34</v>
      </c>
      <c r="C50" s="42" t="s">
        <v>35</v>
      </c>
      <c r="D50" s="54">
        <f t="shared" si="4"/>
        <v>391788</v>
      </c>
      <c r="E50" s="396">
        <v>388700</v>
      </c>
      <c r="F50" s="55">
        <v>3088</v>
      </c>
    </row>
    <row r="51" spans="1:6" x14ac:dyDescent="0.2">
      <c r="A51" s="14">
        <v>4</v>
      </c>
      <c r="B51" s="25" t="s">
        <v>36</v>
      </c>
      <c r="C51" s="16" t="s">
        <v>373</v>
      </c>
      <c r="D51" s="54">
        <f t="shared" si="4"/>
        <v>3220413</v>
      </c>
      <c r="E51" s="18">
        <v>2386770</v>
      </c>
      <c r="F51" s="24">
        <v>833643</v>
      </c>
    </row>
    <row r="52" spans="1:6" x14ac:dyDescent="0.2">
      <c r="A52" s="56">
        <v>5</v>
      </c>
      <c r="B52" s="25">
        <v>5171</v>
      </c>
      <c r="C52" s="16" t="s">
        <v>37</v>
      </c>
      <c r="D52" s="54">
        <f t="shared" si="4"/>
        <v>1231544</v>
      </c>
      <c r="E52" s="18">
        <v>853057</v>
      </c>
      <c r="F52" s="24">
        <v>378487</v>
      </c>
    </row>
    <row r="53" spans="1:6" x14ac:dyDescent="0.2">
      <c r="A53" s="14">
        <v>6</v>
      </c>
      <c r="B53" s="57">
        <v>5213</v>
      </c>
      <c r="C53" s="42" t="s">
        <v>374</v>
      </c>
      <c r="D53" s="54">
        <f t="shared" si="4"/>
        <v>2718705</v>
      </c>
      <c r="E53" s="58">
        <v>2718705</v>
      </c>
      <c r="F53" s="59"/>
    </row>
    <row r="54" spans="1:6" x14ac:dyDescent="0.2">
      <c r="A54" s="14">
        <v>7</v>
      </c>
      <c r="B54" s="57" t="s">
        <v>38</v>
      </c>
      <c r="C54" s="42" t="s">
        <v>375</v>
      </c>
      <c r="D54" s="17">
        <f t="shared" si="4"/>
        <v>662008</v>
      </c>
      <c r="E54" s="27">
        <v>638690</v>
      </c>
      <c r="F54" s="28">
        <v>23318</v>
      </c>
    </row>
    <row r="55" spans="1:6" x14ac:dyDescent="0.2">
      <c r="A55" s="56">
        <v>8</v>
      </c>
      <c r="B55" s="60">
        <v>5331</v>
      </c>
      <c r="C55" s="42" t="s">
        <v>39</v>
      </c>
      <c r="D55" s="17">
        <f>+E55+F55</f>
        <v>3109718</v>
      </c>
      <c r="E55" s="27">
        <v>2420606</v>
      </c>
      <c r="F55" s="28">
        <v>689112</v>
      </c>
    </row>
    <row r="56" spans="1:6" x14ac:dyDescent="0.2">
      <c r="A56" s="56">
        <v>9</v>
      </c>
      <c r="B56" s="57">
        <v>5347</v>
      </c>
      <c r="C56" s="42" t="s">
        <v>332</v>
      </c>
      <c r="D56" s="43" t="s">
        <v>29</v>
      </c>
      <c r="E56" s="27">
        <v>2830607</v>
      </c>
      <c r="F56" s="28"/>
    </row>
    <row r="57" spans="1:6" x14ac:dyDescent="0.2">
      <c r="A57" s="14">
        <v>10</v>
      </c>
      <c r="B57" s="57">
        <v>5347</v>
      </c>
      <c r="C57" s="42" t="s">
        <v>333</v>
      </c>
      <c r="D57" s="43" t="s">
        <v>29</v>
      </c>
      <c r="E57" s="27"/>
      <c r="F57" s="28">
        <f>F38</f>
        <v>580</v>
      </c>
    </row>
    <row r="58" spans="1:6" x14ac:dyDescent="0.2">
      <c r="A58" s="56">
        <v>11</v>
      </c>
      <c r="B58" s="57">
        <v>5347</v>
      </c>
      <c r="C58" s="42" t="s">
        <v>334</v>
      </c>
      <c r="D58" s="43" t="s">
        <v>29</v>
      </c>
      <c r="E58" s="27"/>
      <c r="F58" s="28">
        <f>E39</f>
        <v>73242</v>
      </c>
    </row>
    <row r="59" spans="1:6" x14ac:dyDescent="0.2">
      <c r="A59" s="14">
        <v>12</v>
      </c>
      <c r="B59" s="57">
        <v>5365</v>
      </c>
      <c r="C59" s="42" t="s">
        <v>9</v>
      </c>
      <c r="D59" s="17">
        <f>+E59+F59</f>
        <v>280226</v>
      </c>
      <c r="E59" s="27">
        <v>250000</v>
      </c>
      <c r="F59" s="28">
        <f>F14</f>
        <v>30226</v>
      </c>
    </row>
    <row r="60" spans="1:6" x14ac:dyDescent="0.2">
      <c r="A60" s="56">
        <v>13</v>
      </c>
      <c r="B60" s="57" t="s">
        <v>337</v>
      </c>
      <c r="C60" s="61" t="s">
        <v>312</v>
      </c>
      <c r="D60" s="17">
        <f>+E60+F60</f>
        <v>109525</v>
      </c>
      <c r="E60" s="18">
        <f>66331+1400</f>
        <v>67731</v>
      </c>
      <c r="F60" s="28">
        <v>41794</v>
      </c>
    </row>
    <row r="61" spans="1:6" x14ac:dyDescent="0.2">
      <c r="A61" s="14">
        <v>14</v>
      </c>
      <c r="B61" s="62" t="s">
        <v>40</v>
      </c>
      <c r="C61" s="61" t="s">
        <v>41</v>
      </c>
      <c r="D61" s="13">
        <f>+E61+F61</f>
        <v>1602029</v>
      </c>
      <c r="E61" s="27">
        <f>15530468-SUM(E48:E60)</f>
        <v>1243280</v>
      </c>
      <c r="F61" s="28">
        <f>3466953-F48-F49-F50-F51-F52-F53-F54-F55-F56-F57-F58-F59-F60</f>
        <v>358749</v>
      </c>
    </row>
    <row r="62" spans="1:6" ht="13.5" thickBot="1" x14ac:dyDescent="0.25">
      <c r="A62" s="56">
        <v>15</v>
      </c>
      <c r="B62" s="29" t="s">
        <v>42</v>
      </c>
      <c r="C62" s="63" t="s">
        <v>340</v>
      </c>
      <c r="D62" s="32">
        <f>SUM(D48:D61)</f>
        <v>16092992</v>
      </c>
      <c r="E62" s="32">
        <f>SUM(E48:E61)</f>
        <v>15530468</v>
      </c>
      <c r="F62" s="32">
        <f>SUM(F48:F61)</f>
        <v>3466953</v>
      </c>
    </row>
    <row r="63" spans="1:6" x14ac:dyDescent="0.2">
      <c r="A63" s="14">
        <v>16</v>
      </c>
      <c r="B63" s="64">
        <v>6351</v>
      </c>
      <c r="C63" s="65" t="s">
        <v>43</v>
      </c>
      <c r="D63" s="13">
        <f>+E63+F63</f>
        <v>320399</v>
      </c>
      <c r="E63" s="18">
        <v>299001</v>
      </c>
      <c r="F63" s="18">
        <v>21398</v>
      </c>
    </row>
    <row r="64" spans="1:6" x14ac:dyDescent="0.2">
      <c r="A64" s="56">
        <v>17</v>
      </c>
      <c r="B64" s="57">
        <v>6363</v>
      </c>
      <c r="C64" s="42" t="s">
        <v>335</v>
      </c>
      <c r="D64" s="43" t="s">
        <v>29</v>
      </c>
      <c r="E64" s="18">
        <v>246640</v>
      </c>
      <c r="F64" s="24"/>
    </row>
    <row r="65" spans="1:6" x14ac:dyDescent="0.2">
      <c r="A65" s="56">
        <v>18</v>
      </c>
      <c r="B65" s="66" t="s">
        <v>44</v>
      </c>
      <c r="C65" s="67" t="s">
        <v>45</v>
      </c>
      <c r="D65" s="13">
        <f>+E65+F65</f>
        <v>10031293</v>
      </c>
      <c r="E65" s="18">
        <f>8514034-E63-E64</f>
        <v>7968393</v>
      </c>
      <c r="F65" s="24">
        <f>2084298-F63</f>
        <v>2062900</v>
      </c>
    </row>
    <row r="66" spans="1:6" ht="13.5" thickBot="1" x14ac:dyDescent="0.25">
      <c r="A66" s="14">
        <v>19</v>
      </c>
      <c r="B66" s="68" t="s">
        <v>46</v>
      </c>
      <c r="C66" s="69" t="s">
        <v>341</v>
      </c>
      <c r="D66" s="41">
        <f>SUM(D63:D65)</f>
        <v>10351692</v>
      </c>
      <c r="E66" s="41">
        <f>SUM(E63:E65)</f>
        <v>8514034</v>
      </c>
      <c r="F66" s="41">
        <f>SUM(F63:F65)</f>
        <v>2084298</v>
      </c>
    </row>
    <row r="67" spans="1:6" ht="13.5" thickBot="1" x14ac:dyDescent="0.25">
      <c r="A67" s="44">
        <v>20</v>
      </c>
      <c r="B67" s="45" t="s">
        <v>47</v>
      </c>
      <c r="C67" s="46" t="s">
        <v>342</v>
      </c>
      <c r="D67" s="47">
        <f>+D62+D66</f>
        <v>26444684</v>
      </c>
      <c r="E67" s="47">
        <f>+E62+E66</f>
        <v>24044502</v>
      </c>
      <c r="F67" s="47">
        <f>+F62+F66</f>
        <v>5551251</v>
      </c>
    </row>
    <row r="68" spans="1:6" ht="13.5" thickBot="1" x14ac:dyDescent="0.25">
      <c r="A68" s="48"/>
      <c r="B68" s="49"/>
      <c r="C68" s="70"/>
      <c r="D68" s="70"/>
      <c r="E68" s="70"/>
      <c r="F68" s="70"/>
    </row>
    <row r="69" spans="1:6" ht="13.5" thickBot="1" x14ac:dyDescent="0.25">
      <c r="A69" s="4"/>
      <c r="B69" s="5" t="s">
        <v>1</v>
      </c>
      <c r="C69" s="405" t="s">
        <v>48</v>
      </c>
      <c r="D69" s="402" t="str">
        <f>$D$3</f>
        <v>SCHVÁLENÝ ROZPOČET 2025</v>
      </c>
      <c r="E69" s="403"/>
      <c r="F69" s="404"/>
    </row>
    <row r="70" spans="1:6" x14ac:dyDescent="0.2">
      <c r="A70" s="6" t="s">
        <v>2</v>
      </c>
      <c r="B70" s="7" t="s">
        <v>3</v>
      </c>
      <c r="C70" s="406"/>
      <c r="D70" s="400" t="s">
        <v>80</v>
      </c>
      <c r="E70" s="400" t="s">
        <v>6</v>
      </c>
      <c r="F70" s="400" t="s">
        <v>7</v>
      </c>
    </row>
    <row r="71" spans="1:6" ht="13.5" thickBot="1" x14ac:dyDescent="0.25">
      <c r="A71" s="8"/>
      <c r="B71" s="9" t="s">
        <v>5</v>
      </c>
      <c r="C71" s="407"/>
      <c r="D71" s="401"/>
      <c r="E71" s="401"/>
      <c r="F71" s="401"/>
    </row>
    <row r="72" spans="1:6" x14ac:dyDescent="0.2">
      <c r="A72" s="14">
        <v>1</v>
      </c>
      <c r="B72" s="393">
        <v>8115.8127000000004</v>
      </c>
      <c r="C72" s="16" t="s">
        <v>443</v>
      </c>
      <c r="D72" s="54">
        <f>+E72+F72</f>
        <v>1250655</v>
      </c>
      <c r="E72" s="71">
        <v>184707</v>
      </c>
      <c r="F72" s="71">
        <v>1065948</v>
      </c>
    </row>
    <row r="73" spans="1:6" x14ac:dyDescent="0.2">
      <c r="A73" s="10">
        <v>2</v>
      </c>
      <c r="B73" s="15">
        <v>8124</v>
      </c>
      <c r="C73" s="16" t="s">
        <v>49</v>
      </c>
      <c r="D73" s="18">
        <f>+E73+F73</f>
        <v>-5697</v>
      </c>
      <c r="E73" s="18"/>
      <c r="F73" s="18">
        <v>-5697</v>
      </c>
    </row>
    <row r="74" spans="1:6" x14ac:dyDescent="0.2">
      <c r="A74" s="10">
        <v>3</v>
      </c>
      <c r="B74" s="60">
        <v>8224</v>
      </c>
      <c r="C74" s="16" t="s">
        <v>50</v>
      </c>
      <c r="D74" s="27">
        <f>+E74+F74</f>
        <v>-310527</v>
      </c>
      <c r="E74" s="27">
        <v>-310527</v>
      </c>
      <c r="F74" s="27"/>
    </row>
    <row r="75" spans="1:6" ht="13.5" thickBot="1" x14ac:dyDescent="0.25">
      <c r="A75" s="14">
        <v>4</v>
      </c>
      <c r="B75" s="25">
        <v>8905</v>
      </c>
      <c r="C75" s="388" t="s">
        <v>442</v>
      </c>
      <c r="D75" s="54">
        <f>+E75+F75</f>
        <v>4276464</v>
      </c>
      <c r="E75" s="71">
        <v>4276464</v>
      </c>
      <c r="F75" s="71"/>
    </row>
    <row r="76" spans="1:6" ht="13.5" thickBot="1" x14ac:dyDescent="0.25">
      <c r="A76" s="8">
        <v>5</v>
      </c>
      <c r="B76" s="72" t="s">
        <v>51</v>
      </c>
      <c r="C76" s="73" t="s">
        <v>336</v>
      </c>
      <c r="D76" s="74">
        <f>SUM(D72:D75)</f>
        <v>5210895</v>
      </c>
      <c r="E76" s="74">
        <f>SUM(E72:E75)</f>
        <v>4150644</v>
      </c>
      <c r="F76" s="74">
        <f>SUM(F72:F75)</f>
        <v>1060251</v>
      </c>
    </row>
    <row r="77" spans="1:6" ht="13.5" thickBot="1" x14ac:dyDescent="0.25">
      <c r="A77" s="48"/>
      <c r="B77" s="48"/>
      <c r="C77" s="50"/>
      <c r="D77" s="50"/>
      <c r="E77" s="50"/>
      <c r="F77" s="50"/>
    </row>
    <row r="78" spans="1:6" ht="13.5" thickBot="1" x14ac:dyDescent="0.25">
      <c r="A78" s="4"/>
      <c r="B78" s="5" t="s">
        <v>5</v>
      </c>
      <c r="C78" s="405" t="s">
        <v>52</v>
      </c>
      <c r="D78" s="402" t="str">
        <f>$D$3</f>
        <v>SCHVÁLENÝ ROZPOČET 2025</v>
      </c>
      <c r="E78" s="403"/>
      <c r="F78" s="404"/>
    </row>
    <row r="79" spans="1:6" x14ac:dyDescent="0.2">
      <c r="A79" s="75" t="s">
        <v>2</v>
      </c>
      <c r="B79" s="7"/>
      <c r="C79" s="406"/>
      <c r="D79" s="400" t="s">
        <v>80</v>
      </c>
      <c r="E79" s="400" t="s">
        <v>6</v>
      </c>
      <c r="F79" s="400" t="s">
        <v>7</v>
      </c>
    </row>
    <row r="80" spans="1:6" ht="13.5" thickBot="1" x14ac:dyDescent="0.25">
      <c r="A80" s="76"/>
      <c r="B80" s="9"/>
      <c r="C80" s="407"/>
      <c r="D80" s="401"/>
      <c r="E80" s="401"/>
      <c r="F80" s="401"/>
    </row>
    <row r="81" spans="1:6" x14ac:dyDescent="0.2">
      <c r="A81" s="51">
        <v>1</v>
      </c>
      <c r="B81" s="77" t="s">
        <v>53</v>
      </c>
      <c r="C81" s="78" t="s">
        <v>54</v>
      </c>
      <c r="D81" s="79">
        <f>+D43</f>
        <v>21233789</v>
      </c>
      <c r="E81" s="79">
        <f>+E43</f>
        <v>19893858</v>
      </c>
      <c r="F81" s="79">
        <f>+F43</f>
        <v>4491000</v>
      </c>
    </row>
    <row r="82" spans="1:6" x14ac:dyDescent="0.2">
      <c r="A82" s="10">
        <v>2</v>
      </c>
      <c r="B82" s="80" t="s">
        <v>55</v>
      </c>
      <c r="C82" s="81" t="s">
        <v>56</v>
      </c>
      <c r="D82" s="82">
        <f>+D67</f>
        <v>26444684</v>
      </c>
      <c r="E82" s="82">
        <f>+E67</f>
        <v>24044502</v>
      </c>
      <c r="F82" s="82">
        <f>+F67</f>
        <v>5551251</v>
      </c>
    </row>
    <row r="83" spans="1:6" ht="13.5" thickBot="1" x14ac:dyDescent="0.25">
      <c r="A83" s="44">
        <v>3</v>
      </c>
      <c r="B83" s="83"/>
      <c r="C83" s="84" t="s">
        <v>57</v>
      </c>
      <c r="D83" s="85">
        <f>+D81-D82</f>
        <v>-5210895</v>
      </c>
      <c r="E83" s="85">
        <f>+E81-E82</f>
        <v>-4150644</v>
      </c>
      <c r="F83" s="85">
        <f>+F81-F82</f>
        <v>-1060251</v>
      </c>
    </row>
    <row r="84" spans="1:6" ht="13.5" thickBot="1" x14ac:dyDescent="0.25">
      <c r="A84" s="86">
        <v>4</v>
      </c>
      <c r="B84" s="87" t="s">
        <v>51</v>
      </c>
      <c r="C84" s="88" t="s">
        <v>58</v>
      </c>
      <c r="D84" s="89">
        <f>+D76</f>
        <v>5210895</v>
      </c>
      <c r="E84" s="89">
        <f>+E76</f>
        <v>4150644</v>
      </c>
      <c r="F84" s="89">
        <f>+F76</f>
        <v>1060251</v>
      </c>
    </row>
    <row r="85" spans="1:6" ht="7.5" customHeight="1" x14ac:dyDescent="0.2">
      <c r="A85" s="48"/>
      <c r="B85" s="48"/>
      <c r="C85" s="50"/>
      <c r="D85" s="50"/>
      <c r="E85" s="3"/>
      <c r="F85" s="3"/>
    </row>
    <row r="86" spans="1:6" x14ac:dyDescent="0.2">
      <c r="A86" s="90" t="s">
        <v>29</v>
      </c>
      <c r="B86" s="48" t="s">
        <v>59</v>
      </c>
      <c r="C86" s="50"/>
      <c r="D86" s="50"/>
      <c r="E86" s="3"/>
      <c r="F86" s="3"/>
    </row>
  </sheetData>
  <mergeCells count="21">
    <mergeCell ref="D69:F69"/>
    <mergeCell ref="D78:F78"/>
    <mergeCell ref="C3:C5"/>
    <mergeCell ref="C45:C47"/>
    <mergeCell ref="C69:C71"/>
    <mergeCell ref="C78:C80"/>
    <mergeCell ref="D70:D71"/>
    <mergeCell ref="E70:E71"/>
    <mergeCell ref="F70:F71"/>
    <mergeCell ref="D79:D80"/>
    <mergeCell ref="E79:E80"/>
    <mergeCell ref="F79:F80"/>
    <mergeCell ref="A1:F1"/>
    <mergeCell ref="D4:D5"/>
    <mergeCell ref="E4:E5"/>
    <mergeCell ref="F4:F5"/>
    <mergeCell ref="D46:D47"/>
    <mergeCell ref="E46:E47"/>
    <mergeCell ref="F46:F47"/>
    <mergeCell ref="D3:F3"/>
    <mergeCell ref="D45:F45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6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Zeros="0" zoomScaleNormal="100" workbookViewId="0">
      <selection activeCell="A2" sqref="A2"/>
    </sheetView>
  </sheetViews>
  <sheetFormatPr defaultRowHeight="12.75" x14ac:dyDescent="0.2"/>
  <cols>
    <col min="1" max="1" width="8" style="91" customWidth="1"/>
    <col min="2" max="2" width="49.7109375" style="91" customWidth="1"/>
    <col min="3" max="4" width="15.28515625" style="91" customWidth="1"/>
    <col min="5" max="16384" width="9.140625" style="91"/>
  </cols>
  <sheetData>
    <row r="1" spans="1:9" ht="18.75" x14ac:dyDescent="0.3">
      <c r="A1" s="410" t="s">
        <v>79</v>
      </c>
      <c r="B1" s="410"/>
      <c r="C1" s="410"/>
      <c r="D1" s="410"/>
    </row>
    <row r="2" spans="1:9" x14ac:dyDescent="0.2">
      <c r="A2" s="412"/>
      <c r="B2" s="412"/>
      <c r="C2" s="412"/>
      <c r="D2" s="412"/>
    </row>
    <row r="3" spans="1:9" ht="15" x14ac:dyDescent="0.25">
      <c r="A3" s="411" t="s">
        <v>448</v>
      </c>
      <c r="B3" s="411"/>
      <c r="C3" s="411"/>
      <c r="D3" s="411"/>
    </row>
    <row r="5" spans="1:9" x14ac:dyDescent="0.2">
      <c r="A5" s="412" t="s">
        <v>59</v>
      </c>
      <c r="B5" s="412"/>
      <c r="C5" s="412"/>
      <c r="D5" s="412"/>
    </row>
    <row r="7" spans="1:9" x14ac:dyDescent="0.2">
      <c r="D7" s="93" t="s">
        <v>60</v>
      </c>
      <c r="I7" s="91">
        <f>17739+9616+17113+3000</f>
        <v>47468</v>
      </c>
    </row>
    <row r="8" spans="1:9" x14ac:dyDescent="0.2">
      <c r="A8" s="95"/>
      <c r="B8" s="101"/>
      <c r="C8" s="413" t="s">
        <v>61</v>
      </c>
      <c r="D8" s="414"/>
    </row>
    <row r="9" spans="1:9" x14ac:dyDescent="0.2">
      <c r="A9" s="96" t="s">
        <v>1</v>
      </c>
      <c r="B9" s="102" t="s">
        <v>62</v>
      </c>
      <c r="C9" s="105" t="s">
        <v>63</v>
      </c>
      <c r="D9" s="105" t="s">
        <v>63</v>
      </c>
    </row>
    <row r="10" spans="1:9" x14ac:dyDescent="0.2">
      <c r="A10" s="103"/>
      <c r="B10" s="104"/>
      <c r="C10" s="106" t="s">
        <v>64</v>
      </c>
      <c r="D10" s="106" t="s">
        <v>65</v>
      </c>
    </row>
    <row r="11" spans="1:9" x14ac:dyDescent="0.2">
      <c r="A11" s="97"/>
      <c r="C11" s="108"/>
      <c r="D11" s="108"/>
    </row>
    <row r="12" spans="1:9" x14ac:dyDescent="0.2">
      <c r="A12" s="98"/>
      <c r="B12" s="107" t="s">
        <v>4</v>
      </c>
      <c r="C12" s="109"/>
      <c r="D12" s="109"/>
    </row>
    <row r="13" spans="1:9" x14ac:dyDescent="0.2">
      <c r="A13" s="99">
        <v>4137</v>
      </c>
      <c r="B13" s="91" t="s">
        <v>66</v>
      </c>
      <c r="C13" s="109">
        <f>C30</f>
        <v>73242</v>
      </c>
      <c r="D13" s="109"/>
    </row>
    <row r="14" spans="1:9" x14ac:dyDescent="0.2">
      <c r="A14" s="383" t="s">
        <v>343</v>
      </c>
      <c r="B14" s="91" t="s">
        <v>346</v>
      </c>
      <c r="C14" s="109">
        <f>C47</f>
        <v>3077247</v>
      </c>
      <c r="D14" s="109">
        <f>D47</f>
        <v>580</v>
      </c>
    </row>
    <row r="15" spans="1:9" x14ac:dyDescent="0.2">
      <c r="A15" s="111"/>
      <c r="B15" s="113" t="s">
        <v>54</v>
      </c>
      <c r="C15" s="115">
        <f>SUM(C13:C14)</f>
        <v>3150489</v>
      </c>
      <c r="D15" s="112">
        <f>SUM(D11:D14)</f>
        <v>580</v>
      </c>
    </row>
    <row r="16" spans="1:9" x14ac:dyDescent="0.2">
      <c r="A16" s="99"/>
      <c r="C16" s="109"/>
      <c r="D16" s="108"/>
    </row>
    <row r="17" spans="1:4" x14ac:dyDescent="0.2">
      <c r="A17" s="100"/>
      <c r="B17" s="107" t="s">
        <v>32</v>
      </c>
      <c r="C17" s="109"/>
      <c r="D17" s="109"/>
    </row>
    <row r="18" spans="1:4" x14ac:dyDescent="0.2">
      <c r="A18" s="99">
        <v>5347</v>
      </c>
      <c r="B18" s="114" t="s">
        <v>67</v>
      </c>
      <c r="C18" s="109">
        <f>C52</f>
        <v>73242</v>
      </c>
      <c r="D18" s="109"/>
    </row>
    <row r="19" spans="1:4" x14ac:dyDescent="0.2">
      <c r="A19" s="384">
        <v>5347.6363000000001</v>
      </c>
      <c r="B19" s="114" t="s">
        <v>347</v>
      </c>
      <c r="C19" s="109">
        <f>C34+C35</f>
        <v>3077247</v>
      </c>
      <c r="D19" s="109">
        <f>D51</f>
        <v>580</v>
      </c>
    </row>
    <row r="20" spans="1:4" x14ac:dyDescent="0.2">
      <c r="A20" s="111"/>
      <c r="B20" s="113" t="s">
        <v>56</v>
      </c>
      <c r="C20" s="115">
        <f>SUM(C16:C19)</f>
        <v>3150489</v>
      </c>
      <c r="D20" s="112">
        <f>SUM(D16:D19)</f>
        <v>580</v>
      </c>
    </row>
    <row r="21" spans="1:4" x14ac:dyDescent="0.2">
      <c r="A21" s="111"/>
      <c r="B21" s="113" t="s">
        <v>68</v>
      </c>
      <c r="C21" s="115">
        <f>C15-C20</f>
        <v>0</v>
      </c>
      <c r="D21" s="112">
        <f>D15-D20</f>
        <v>0</v>
      </c>
    </row>
    <row r="22" spans="1:4" x14ac:dyDescent="0.2">
      <c r="B22" s="91" t="s">
        <v>69</v>
      </c>
    </row>
    <row r="24" spans="1:4" x14ac:dyDescent="0.2">
      <c r="C24" s="93" t="s">
        <v>60</v>
      </c>
    </row>
    <row r="25" spans="1:4" x14ac:dyDescent="0.2">
      <c r="A25" s="95"/>
      <c r="B25" s="120"/>
      <c r="C25" s="118" t="s">
        <v>70</v>
      </c>
    </row>
    <row r="26" spans="1:4" x14ac:dyDescent="0.2">
      <c r="A26" s="96" t="s">
        <v>1</v>
      </c>
      <c r="B26" s="116" t="s">
        <v>71</v>
      </c>
      <c r="C26" s="96" t="s">
        <v>63</v>
      </c>
    </row>
    <row r="27" spans="1:4" x14ac:dyDescent="0.2">
      <c r="A27" s="103"/>
      <c r="B27" s="121"/>
      <c r="C27" s="106" t="s">
        <v>72</v>
      </c>
    </row>
    <row r="28" spans="1:4" x14ac:dyDescent="0.2">
      <c r="A28" s="95"/>
      <c r="B28" s="120"/>
      <c r="C28" s="108"/>
    </row>
    <row r="29" spans="1:4" x14ac:dyDescent="0.2">
      <c r="A29" s="98"/>
      <c r="B29" s="107" t="s">
        <v>4</v>
      </c>
      <c r="C29" s="109"/>
    </row>
    <row r="30" spans="1:4" x14ac:dyDescent="0.2">
      <c r="A30" s="103">
        <v>4137</v>
      </c>
      <c r="B30" s="121" t="s">
        <v>73</v>
      </c>
      <c r="C30" s="110">
        <f>Bilance!E39</f>
        <v>73242</v>
      </c>
    </row>
    <row r="31" spans="1:4" x14ac:dyDescent="0.2">
      <c r="A31" s="117"/>
      <c r="B31" s="122" t="s">
        <v>54</v>
      </c>
      <c r="C31" s="119">
        <f>SUM(C30:C30)</f>
        <v>73242</v>
      </c>
    </row>
    <row r="32" spans="1:4" x14ac:dyDescent="0.2">
      <c r="A32" s="97"/>
      <c r="C32" s="109"/>
    </row>
    <row r="33" spans="1:4" x14ac:dyDescent="0.2">
      <c r="A33" s="98"/>
      <c r="B33" s="107" t="s">
        <v>32</v>
      </c>
      <c r="C33" s="109"/>
    </row>
    <row r="34" spans="1:4" x14ac:dyDescent="0.2">
      <c r="A34" s="97">
        <v>5347</v>
      </c>
      <c r="B34" s="91" t="s">
        <v>344</v>
      </c>
      <c r="C34" s="109">
        <f>Bilance!E56</f>
        <v>2830607</v>
      </c>
    </row>
    <row r="35" spans="1:4" x14ac:dyDescent="0.2">
      <c r="A35" s="103">
        <v>6363</v>
      </c>
      <c r="B35" s="121" t="s">
        <v>345</v>
      </c>
      <c r="C35" s="110">
        <f>Bilance!E64</f>
        <v>246640</v>
      </c>
    </row>
    <row r="36" spans="1:4" x14ac:dyDescent="0.2">
      <c r="A36" s="117"/>
      <c r="B36" s="122" t="s">
        <v>56</v>
      </c>
      <c r="C36" s="119">
        <f>SUM(C34:C35)</f>
        <v>3077247</v>
      </c>
    </row>
    <row r="37" spans="1:4" x14ac:dyDescent="0.2">
      <c r="A37" s="117"/>
      <c r="B37" s="122" t="s">
        <v>74</v>
      </c>
      <c r="C37" s="119">
        <f>C31-C36</f>
        <v>-3004005</v>
      </c>
    </row>
    <row r="41" spans="1:4" x14ac:dyDescent="0.2">
      <c r="D41" s="93" t="s">
        <v>60</v>
      </c>
    </row>
    <row r="42" spans="1:4" x14ac:dyDescent="0.2">
      <c r="A42" s="95"/>
      <c r="B42" s="95"/>
      <c r="C42" s="408" t="s">
        <v>61</v>
      </c>
      <c r="D42" s="409"/>
    </row>
    <row r="43" spans="1:4" x14ac:dyDescent="0.2">
      <c r="A43" s="96" t="s">
        <v>1</v>
      </c>
      <c r="B43" s="96" t="s">
        <v>75</v>
      </c>
      <c r="C43" s="118" t="s">
        <v>63</v>
      </c>
      <c r="D43" s="118" t="s">
        <v>63</v>
      </c>
    </row>
    <row r="44" spans="1:4" x14ac:dyDescent="0.2">
      <c r="A44" s="103"/>
      <c r="B44" s="103"/>
      <c r="C44" s="106" t="s">
        <v>72</v>
      </c>
      <c r="D44" s="106" t="s">
        <v>76</v>
      </c>
    </row>
    <row r="45" spans="1:4" x14ac:dyDescent="0.2">
      <c r="A45" s="97"/>
      <c r="B45" s="97"/>
      <c r="C45" s="109"/>
      <c r="D45" s="109"/>
    </row>
    <row r="46" spans="1:4" x14ac:dyDescent="0.2">
      <c r="A46" s="98"/>
      <c r="B46" s="98" t="s">
        <v>4</v>
      </c>
      <c r="C46" s="109"/>
      <c r="D46" s="109"/>
    </row>
    <row r="47" spans="1:4" x14ac:dyDescent="0.2">
      <c r="A47" s="383" t="s">
        <v>343</v>
      </c>
      <c r="B47" s="103" t="s">
        <v>77</v>
      </c>
      <c r="C47" s="110">
        <f>Bilance!F37+Bilance!F41</f>
        <v>3077247</v>
      </c>
      <c r="D47" s="110">
        <f>Bilance!F38</f>
        <v>580</v>
      </c>
    </row>
    <row r="48" spans="1:4" x14ac:dyDescent="0.2">
      <c r="A48" s="117"/>
      <c r="B48" s="117" t="s">
        <v>54</v>
      </c>
      <c r="C48" s="119">
        <f>SUM(C47:C47)</f>
        <v>3077247</v>
      </c>
      <c r="D48" s="119">
        <f>SUM(D47:D47)</f>
        <v>580</v>
      </c>
    </row>
    <row r="49" spans="1:4" x14ac:dyDescent="0.2">
      <c r="A49" s="97"/>
      <c r="B49" s="97"/>
      <c r="C49" s="109"/>
      <c r="D49" s="109"/>
    </row>
    <row r="50" spans="1:4" x14ac:dyDescent="0.2">
      <c r="A50" s="98"/>
      <c r="B50" s="98" t="s">
        <v>32</v>
      </c>
      <c r="C50" s="109"/>
      <c r="D50" s="109"/>
    </row>
    <row r="51" spans="1:4" x14ac:dyDescent="0.2">
      <c r="A51" s="97">
        <v>5347</v>
      </c>
      <c r="B51" s="97" t="s">
        <v>430</v>
      </c>
      <c r="C51" s="109"/>
      <c r="D51" s="109">
        <f>Bilance!F57</f>
        <v>580</v>
      </c>
    </row>
    <row r="52" spans="1:4" x14ac:dyDescent="0.2">
      <c r="A52" s="103">
        <v>5347</v>
      </c>
      <c r="B52" s="103" t="s">
        <v>78</v>
      </c>
      <c r="C52" s="110">
        <f>Bilance!F58</f>
        <v>73242</v>
      </c>
      <c r="D52" s="110"/>
    </row>
    <row r="53" spans="1:4" x14ac:dyDescent="0.2">
      <c r="A53" s="117"/>
      <c r="B53" s="117" t="s">
        <v>56</v>
      </c>
      <c r="C53" s="119">
        <f>SUM(C51:C52)</f>
        <v>73242</v>
      </c>
      <c r="D53" s="119">
        <f>SUM(D51:D52)</f>
        <v>580</v>
      </c>
    </row>
    <row r="54" spans="1:4" x14ac:dyDescent="0.2">
      <c r="A54" s="117"/>
      <c r="B54" s="117" t="s">
        <v>74</v>
      </c>
      <c r="C54" s="119">
        <f>C48-C53</f>
        <v>3004005</v>
      </c>
      <c r="D54" s="119">
        <f>D48-D53</f>
        <v>0</v>
      </c>
    </row>
    <row r="56" spans="1:4" x14ac:dyDescent="0.2">
      <c r="C56" s="94"/>
    </row>
  </sheetData>
  <mergeCells count="6">
    <mergeCell ref="C42:D42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72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showZeros="0" zoomScaleNormal="100" zoomScaleSheetLayoutView="100" workbookViewId="0">
      <selection activeCell="C41" sqref="C41"/>
    </sheetView>
  </sheetViews>
  <sheetFormatPr defaultRowHeight="12.75" x14ac:dyDescent="0.2"/>
  <cols>
    <col min="1" max="1" width="8.28515625" style="91" customWidth="1"/>
    <col min="2" max="2" width="49.28515625" style="91" customWidth="1"/>
    <col min="3" max="3" width="15.85546875" style="91" customWidth="1"/>
    <col min="4" max="5" width="14.7109375" style="91" customWidth="1"/>
    <col min="6" max="6" width="15.42578125" style="91" customWidth="1"/>
    <col min="7" max="7" width="13.42578125" style="91" customWidth="1"/>
    <col min="8" max="8" width="14" style="91" customWidth="1"/>
    <col min="9" max="12" width="9.140625" style="91"/>
    <col min="13" max="13" width="21.42578125" style="91" bestFit="1" customWidth="1"/>
    <col min="14" max="16384" width="9.140625" style="91"/>
  </cols>
  <sheetData>
    <row r="1" spans="1:14" ht="18.75" x14ac:dyDescent="0.3">
      <c r="A1" s="410" t="s">
        <v>449</v>
      </c>
      <c r="B1" s="410"/>
      <c r="C1" s="410"/>
      <c r="D1" s="410"/>
      <c r="E1" s="410"/>
      <c r="F1" s="410"/>
      <c r="G1" s="410"/>
      <c r="H1" s="410"/>
    </row>
    <row r="2" spans="1:14" ht="9" customHeight="1" x14ac:dyDescent="0.2">
      <c r="A2" s="123"/>
      <c r="B2" s="92"/>
      <c r="C2" s="92"/>
    </row>
    <row r="3" spans="1:14" ht="13.5" thickBot="1" x14ac:dyDescent="0.25"/>
    <row r="4" spans="1:14" ht="26.25" thickBot="1" x14ac:dyDescent="0.25">
      <c r="A4" s="148" t="s">
        <v>81</v>
      </c>
      <c r="B4" s="124" t="s">
        <v>82</v>
      </c>
      <c r="C4" s="125" t="s">
        <v>80</v>
      </c>
      <c r="D4" s="126" t="s">
        <v>6</v>
      </c>
      <c r="E4" s="127" t="s">
        <v>7</v>
      </c>
      <c r="F4" s="107"/>
      <c r="M4" s="360" t="s">
        <v>299</v>
      </c>
      <c r="N4" s="360" t="s">
        <v>300</v>
      </c>
    </row>
    <row r="5" spans="1:14" ht="15" x14ac:dyDescent="0.25">
      <c r="A5" s="158">
        <v>1</v>
      </c>
      <c r="B5" s="159" t="s">
        <v>83</v>
      </c>
      <c r="C5" s="160">
        <f>+'Daňové a Transfery'!E35</f>
        <v>16850627</v>
      </c>
      <c r="D5" s="161">
        <f>+'Daňové a Transfery'!F35</f>
        <v>16602084</v>
      </c>
      <c r="E5" s="162">
        <f>+'Daňové a Transfery'!G35</f>
        <v>248543</v>
      </c>
      <c r="F5" s="132"/>
      <c r="G5" s="94"/>
      <c r="M5" s="361" t="s">
        <v>83</v>
      </c>
      <c r="N5" s="362">
        <f>C5/1000</f>
        <v>16850.627</v>
      </c>
    </row>
    <row r="6" spans="1:14" ht="15" x14ac:dyDescent="0.25">
      <c r="A6" s="163">
        <v>2</v>
      </c>
      <c r="B6" s="164" t="s">
        <v>84</v>
      </c>
      <c r="C6" s="165">
        <f>+'N a K'!E117</f>
        <v>1107533</v>
      </c>
      <c r="D6" s="166">
        <f>+D33</f>
        <v>832980</v>
      </c>
      <c r="E6" s="167">
        <f>+'N a K'!G117</f>
        <v>274553</v>
      </c>
      <c r="F6" s="132"/>
      <c r="G6" s="94"/>
      <c r="M6" s="361" t="s">
        <v>84</v>
      </c>
      <c r="N6" s="362">
        <f t="shared" ref="N6:N8" si="0">C6/1000</f>
        <v>1107.5329999999999</v>
      </c>
    </row>
    <row r="7" spans="1:14" ht="15" x14ac:dyDescent="0.25">
      <c r="A7" s="163">
        <v>3</v>
      </c>
      <c r="B7" s="164" t="s">
        <v>85</v>
      </c>
      <c r="C7" s="165">
        <f>+'N a K'!H117</f>
        <v>656150</v>
      </c>
      <c r="D7" s="166">
        <f>+G33</f>
        <v>656100</v>
      </c>
      <c r="E7" s="167">
        <f>+'N a K'!J117</f>
        <v>50</v>
      </c>
      <c r="F7" s="132"/>
      <c r="G7" s="94"/>
      <c r="M7" s="361" t="s">
        <v>85</v>
      </c>
      <c r="N7" s="362">
        <f t="shared" si="0"/>
        <v>656.15</v>
      </c>
    </row>
    <row r="8" spans="1:14" ht="15.75" thickBot="1" x14ac:dyDescent="0.3">
      <c r="A8" s="168">
        <v>4</v>
      </c>
      <c r="B8" s="169" t="s">
        <v>86</v>
      </c>
      <c r="C8" s="170">
        <f>+'Daňové a Transfery'!E60</f>
        <v>2619479</v>
      </c>
      <c r="D8" s="171">
        <f>+'Daňové a Transfery'!F60</f>
        <v>1802694</v>
      </c>
      <c r="E8" s="172">
        <f>+'Daňové a Transfery'!G60</f>
        <v>3967854</v>
      </c>
      <c r="F8" s="132"/>
      <c r="G8" s="94"/>
      <c r="M8" s="361" t="s">
        <v>298</v>
      </c>
      <c r="N8" s="362">
        <f t="shared" si="0"/>
        <v>2619.4789999999998</v>
      </c>
    </row>
    <row r="9" spans="1:14" ht="15.75" thickBot="1" x14ac:dyDescent="0.3">
      <c r="A9" s="173"/>
      <c r="B9" s="174" t="s">
        <v>87</v>
      </c>
      <c r="C9" s="175">
        <f>SUM(C5:C8)</f>
        <v>21233789</v>
      </c>
      <c r="D9" s="176">
        <f>SUM(D5:D8)</f>
        <v>19893858</v>
      </c>
      <c r="E9" s="177">
        <f>SUM(E5:E8)</f>
        <v>4491000</v>
      </c>
      <c r="F9" s="137"/>
      <c r="G9" s="94"/>
      <c r="M9" s="361"/>
      <c r="N9" s="362">
        <f>SUM(N5:N8)</f>
        <v>21233.789000000001</v>
      </c>
    </row>
    <row r="10" spans="1:14" x14ac:dyDescent="0.2">
      <c r="D10" s="94"/>
    </row>
    <row r="11" spans="1:14" ht="13.5" thickBot="1" x14ac:dyDescent="0.25"/>
    <row r="12" spans="1:14" x14ac:dyDescent="0.2">
      <c r="A12" s="415" t="s">
        <v>88</v>
      </c>
      <c r="B12" s="417" t="s">
        <v>89</v>
      </c>
      <c r="C12" s="138" t="s">
        <v>90</v>
      </c>
      <c r="D12" s="139"/>
      <c r="E12" s="140"/>
      <c r="F12" s="138" t="s">
        <v>91</v>
      </c>
      <c r="G12" s="139"/>
      <c r="H12" s="141"/>
    </row>
    <row r="13" spans="1:14" ht="26.25" thickBot="1" x14ac:dyDescent="0.25">
      <c r="A13" s="416"/>
      <c r="B13" s="418"/>
      <c r="C13" s="142" t="s">
        <v>80</v>
      </c>
      <c r="D13" s="143" t="s">
        <v>6</v>
      </c>
      <c r="E13" s="143" t="s">
        <v>7</v>
      </c>
      <c r="F13" s="142" t="s">
        <v>80</v>
      </c>
      <c r="G13" s="143" t="s">
        <v>6</v>
      </c>
      <c r="H13" s="144" t="s">
        <v>7</v>
      </c>
    </row>
    <row r="14" spans="1:14" x14ac:dyDescent="0.2">
      <c r="A14" s="145"/>
      <c r="B14" s="128" t="s">
        <v>92</v>
      </c>
      <c r="C14" s="129">
        <f>+'N a K'!E9</f>
        <v>98628</v>
      </c>
      <c r="D14" s="130">
        <f>+'N a K'!F9</f>
        <v>98529</v>
      </c>
      <c r="E14" s="130">
        <f>+'N a K'!G9</f>
        <v>99</v>
      </c>
      <c r="F14" s="129">
        <f>+'N a K'!H9</f>
        <v>0</v>
      </c>
      <c r="G14" s="130">
        <f>+'N a K'!I9</f>
        <v>0</v>
      </c>
      <c r="H14" s="131">
        <f>+'N a K'!J9</f>
        <v>0</v>
      </c>
    </row>
    <row r="15" spans="1:14" x14ac:dyDescent="0.2">
      <c r="A15" s="136" t="s">
        <v>93</v>
      </c>
      <c r="B15" s="133" t="s">
        <v>391</v>
      </c>
      <c r="C15" s="146">
        <f>+'N a K'!E16</f>
        <v>29605</v>
      </c>
      <c r="D15" s="134">
        <f>+'N a K'!F16</f>
        <v>13310</v>
      </c>
      <c r="E15" s="134">
        <f>+'N a K'!G16</f>
        <v>16295</v>
      </c>
      <c r="F15" s="146">
        <f>+'N a K'!H16</f>
        <v>0</v>
      </c>
      <c r="G15" s="134">
        <f>+'N a K'!I16</f>
        <v>0</v>
      </c>
      <c r="H15" s="135">
        <f>+'N a K'!J16</f>
        <v>0</v>
      </c>
    </row>
    <row r="16" spans="1:14" x14ac:dyDescent="0.2">
      <c r="A16" s="136" t="s">
        <v>95</v>
      </c>
      <c r="B16" s="133" t="s">
        <v>96</v>
      </c>
      <c r="C16" s="146">
        <f>+'N a K'!E23</f>
        <v>725</v>
      </c>
      <c r="D16" s="134">
        <f>+'N a K'!F23</f>
        <v>0</v>
      </c>
      <c r="E16" s="134">
        <f>+'N a K'!G23</f>
        <v>725</v>
      </c>
      <c r="F16" s="146">
        <f>+'N a K'!H23</f>
        <v>0</v>
      </c>
      <c r="G16" s="134">
        <f>+'N a K'!I23</f>
        <v>0</v>
      </c>
      <c r="H16" s="135">
        <f>+'N a K'!J23</f>
        <v>0</v>
      </c>
    </row>
    <row r="17" spans="1:8" x14ac:dyDescent="0.2">
      <c r="A17" s="136" t="s">
        <v>97</v>
      </c>
      <c r="B17" s="133" t="s">
        <v>98</v>
      </c>
      <c r="C17" s="146">
        <f>+'N a K'!E30</f>
        <v>307842</v>
      </c>
      <c r="D17" s="134">
        <f>+'N a K'!F30</f>
        <v>307782</v>
      </c>
      <c r="E17" s="134">
        <f>+'N a K'!G30</f>
        <v>60</v>
      </c>
      <c r="F17" s="146">
        <f>+'N a K'!H30</f>
        <v>0</v>
      </c>
      <c r="G17" s="134">
        <f>+'N a K'!I30</f>
        <v>0</v>
      </c>
      <c r="H17" s="135">
        <f>+'N a K'!J30</f>
        <v>0</v>
      </c>
    </row>
    <row r="18" spans="1:8" x14ac:dyDescent="0.2">
      <c r="A18" s="136" t="s">
        <v>99</v>
      </c>
      <c r="B18" s="133" t="s">
        <v>100</v>
      </c>
      <c r="C18" s="146">
        <f>+'N a K'!E34</f>
        <v>1150</v>
      </c>
      <c r="D18" s="134">
        <f>+'N a K'!F34</f>
        <v>1150</v>
      </c>
      <c r="E18" s="134">
        <f>+'N a K'!G34</f>
        <v>0</v>
      </c>
      <c r="F18" s="146">
        <f>+'N a K'!H34</f>
        <v>0</v>
      </c>
      <c r="G18" s="134">
        <f>+'N a K'!I34</f>
        <v>0</v>
      </c>
      <c r="H18" s="135">
        <f>+'N a K'!J34</f>
        <v>0</v>
      </c>
    </row>
    <row r="19" spans="1:8" x14ac:dyDescent="0.2">
      <c r="A19" s="147">
        <v>24</v>
      </c>
      <c r="B19" s="133" t="s">
        <v>315</v>
      </c>
      <c r="C19" s="146">
        <f>'N a K'!E38</f>
        <v>1160</v>
      </c>
      <c r="D19" s="134">
        <f>'N a K'!F38</f>
        <v>30</v>
      </c>
      <c r="E19" s="134">
        <f>'N a K'!G38</f>
        <v>1130</v>
      </c>
      <c r="F19" s="146">
        <f>'N a K'!H38</f>
        <v>0</v>
      </c>
      <c r="G19" s="134">
        <f>'N a K'!I38</f>
        <v>0</v>
      </c>
      <c r="H19" s="135">
        <f>'N a K'!J38</f>
        <v>0</v>
      </c>
    </row>
    <row r="20" spans="1:8" x14ac:dyDescent="0.2">
      <c r="A20" s="136" t="s">
        <v>101</v>
      </c>
      <c r="B20" s="133" t="s">
        <v>102</v>
      </c>
      <c r="C20" s="146">
        <f>+'N a K'!E46</f>
        <v>27723</v>
      </c>
      <c r="D20" s="134">
        <f>+'N a K'!F46</f>
        <v>7093</v>
      </c>
      <c r="E20" s="134">
        <f>+'N a K'!G46</f>
        <v>20630</v>
      </c>
      <c r="F20" s="146">
        <f>+'N a K'!H46</f>
        <v>0</v>
      </c>
      <c r="G20" s="134">
        <f>+'N a K'!I46</f>
        <v>0</v>
      </c>
      <c r="H20" s="135">
        <f>+'N a K'!J46</f>
        <v>0</v>
      </c>
    </row>
    <row r="21" spans="1:8" x14ac:dyDescent="0.2">
      <c r="A21" s="136" t="s">
        <v>103</v>
      </c>
      <c r="B21" s="133" t="s">
        <v>104</v>
      </c>
      <c r="C21" s="146">
        <f>+'N a K'!E59</f>
        <v>123690</v>
      </c>
      <c r="D21" s="134">
        <f>+'N a K'!F59</f>
        <v>91397</v>
      </c>
      <c r="E21" s="134">
        <f>+'N a K'!G59</f>
        <v>32293</v>
      </c>
      <c r="F21" s="146">
        <f>+'N a K'!H59</f>
        <v>0</v>
      </c>
      <c r="G21" s="134">
        <f>+'N a K'!I59</f>
        <v>0</v>
      </c>
      <c r="H21" s="135">
        <f>+'N a K'!J59</f>
        <v>0</v>
      </c>
    </row>
    <row r="22" spans="1:8" x14ac:dyDescent="0.2">
      <c r="A22" s="136" t="s">
        <v>105</v>
      </c>
      <c r="B22" s="133" t="s">
        <v>392</v>
      </c>
      <c r="C22" s="146">
        <f>+'N a K'!E63</f>
        <v>8664</v>
      </c>
      <c r="D22" s="134">
        <f>+'N a K'!F63</f>
        <v>1107</v>
      </c>
      <c r="E22" s="134">
        <f>+'N a K'!G63</f>
        <v>7557</v>
      </c>
      <c r="F22" s="146">
        <f>+'N a K'!H63</f>
        <v>0</v>
      </c>
      <c r="G22" s="134">
        <f>+'N a K'!I63</f>
        <v>0</v>
      </c>
      <c r="H22" s="135">
        <f>+'N a K'!J63</f>
        <v>0</v>
      </c>
    </row>
    <row r="23" spans="1:8" x14ac:dyDescent="0.2">
      <c r="A23" s="136" t="s">
        <v>106</v>
      </c>
      <c r="B23" s="133" t="s">
        <v>107</v>
      </c>
      <c r="C23" s="146">
        <f>+'N a K'!E67</f>
        <v>15258</v>
      </c>
      <c r="D23" s="134">
        <f>+'N a K'!F67</f>
        <v>4111</v>
      </c>
      <c r="E23" s="134">
        <f>+'N a K'!G67</f>
        <v>11147</v>
      </c>
      <c r="F23" s="146">
        <f>+'N a K'!H67</f>
        <v>0</v>
      </c>
      <c r="G23" s="134">
        <f>+'N a K'!I67</f>
        <v>0</v>
      </c>
      <c r="H23" s="135">
        <f>+'N a K'!J67</f>
        <v>0</v>
      </c>
    </row>
    <row r="24" spans="1:8" x14ac:dyDescent="0.2">
      <c r="A24" s="136" t="s">
        <v>108</v>
      </c>
      <c r="B24" s="133" t="s">
        <v>109</v>
      </c>
      <c r="C24" s="146">
        <f>+'N a K'!E76</f>
        <v>322875</v>
      </c>
      <c r="D24" s="134">
        <f>+'N a K'!F76</f>
        <v>238305</v>
      </c>
      <c r="E24" s="134">
        <f>+'N a K'!G76</f>
        <v>84570</v>
      </c>
      <c r="F24" s="146">
        <f>+'N a K'!H76</f>
        <v>656000</v>
      </c>
      <c r="G24" s="134">
        <f>+'N a K'!I76</f>
        <v>656000</v>
      </c>
      <c r="H24" s="135">
        <f>+'N a K'!J76</f>
        <v>0</v>
      </c>
    </row>
    <row r="25" spans="1:8" x14ac:dyDescent="0.2">
      <c r="A25" s="136" t="s">
        <v>110</v>
      </c>
      <c r="B25" s="133" t="s">
        <v>111</v>
      </c>
      <c r="C25" s="146">
        <f>+'N a K'!E82</f>
        <v>1606</v>
      </c>
      <c r="D25" s="134">
        <f>+'N a K'!F82</f>
        <v>316</v>
      </c>
      <c r="E25" s="134">
        <f>+'N a K'!G82</f>
        <v>1290</v>
      </c>
      <c r="F25" s="146">
        <f>+'N a K'!H82</f>
        <v>0</v>
      </c>
      <c r="G25" s="134">
        <f>+'N a K'!I82</f>
        <v>0</v>
      </c>
      <c r="H25" s="135">
        <f>+'N a K'!J82</f>
        <v>0</v>
      </c>
    </row>
    <row r="26" spans="1:8" x14ac:dyDescent="0.2">
      <c r="A26" s="136" t="s">
        <v>112</v>
      </c>
      <c r="B26" s="133" t="s">
        <v>393</v>
      </c>
      <c r="C26" s="146">
        <f>+'N a K'!E91</f>
        <v>1971</v>
      </c>
      <c r="D26" s="134">
        <f>+'N a K'!F91</f>
        <v>931</v>
      </c>
      <c r="E26" s="134">
        <f>+'N a K'!G91</f>
        <v>1040</v>
      </c>
      <c r="F26" s="146">
        <f>+'N a K'!H91</f>
        <v>0</v>
      </c>
      <c r="G26" s="134">
        <f>+'N a K'!I91</f>
        <v>0</v>
      </c>
      <c r="H26" s="135">
        <f>+'N a K'!J91</f>
        <v>0</v>
      </c>
    </row>
    <row r="27" spans="1:8" x14ac:dyDescent="0.2">
      <c r="A27" s="147">
        <v>51</v>
      </c>
      <c r="B27" s="133" t="s">
        <v>439</v>
      </c>
      <c r="C27" s="146">
        <f>+'N a K'!E96</f>
        <v>110</v>
      </c>
      <c r="D27" s="134">
        <f>+'N a K'!F96</f>
        <v>110</v>
      </c>
      <c r="E27" s="134">
        <f>+'N a K'!G96</f>
        <v>0</v>
      </c>
      <c r="F27" s="146">
        <f>+'N a K'!H96</f>
        <v>0</v>
      </c>
      <c r="G27" s="134">
        <f>+'N a K'!I96</f>
        <v>0</v>
      </c>
      <c r="H27" s="135">
        <f>+'N a K'!J96</f>
        <v>0</v>
      </c>
    </row>
    <row r="28" spans="1:8" x14ac:dyDescent="0.2">
      <c r="A28" s="136" t="s">
        <v>113</v>
      </c>
      <c r="B28" s="133" t="s">
        <v>114</v>
      </c>
      <c r="C28" s="146">
        <f>+'N a K'!E99</f>
        <v>12965</v>
      </c>
      <c r="D28" s="134">
        <f>+'N a K'!F99</f>
        <v>12695</v>
      </c>
      <c r="E28" s="134">
        <f>+'N a K'!G99</f>
        <v>270</v>
      </c>
      <c r="F28" s="146">
        <f>+'N a K'!H99</f>
        <v>100</v>
      </c>
      <c r="G28" s="134">
        <f>+'N a K'!I99</f>
        <v>100</v>
      </c>
      <c r="H28" s="135">
        <f>+'N a K'!J99</f>
        <v>0</v>
      </c>
    </row>
    <row r="29" spans="1:8" x14ac:dyDescent="0.2">
      <c r="A29" s="147">
        <v>55</v>
      </c>
      <c r="B29" s="133" t="s">
        <v>115</v>
      </c>
      <c r="C29" s="146">
        <f>+'N a K'!E102</f>
        <v>263</v>
      </c>
      <c r="D29" s="134">
        <f>+'N a K'!F102</f>
        <v>0</v>
      </c>
      <c r="E29" s="134">
        <f>+'N a K'!G102</f>
        <v>263</v>
      </c>
      <c r="F29" s="146">
        <f>+'N a K'!H102</f>
        <v>0</v>
      </c>
      <c r="G29" s="134">
        <f>+'N a K'!I102</f>
        <v>0</v>
      </c>
      <c r="H29" s="135">
        <f>+'N a K'!J102</f>
        <v>0</v>
      </c>
    </row>
    <row r="30" spans="1:8" x14ac:dyDescent="0.2">
      <c r="A30" s="136" t="s">
        <v>116</v>
      </c>
      <c r="B30" s="133" t="s">
        <v>394</v>
      </c>
      <c r="C30" s="146">
        <f>+'N a K'!E107</f>
        <v>68830</v>
      </c>
      <c r="D30" s="134">
        <f>+'N a K'!F107</f>
        <v>16154</v>
      </c>
      <c r="E30" s="134">
        <f>+'N a K'!G107</f>
        <v>52676</v>
      </c>
      <c r="F30" s="146">
        <f>+'N a K'!H107</f>
        <v>50</v>
      </c>
      <c r="G30" s="134">
        <f>+'N a K'!I107</f>
        <v>0</v>
      </c>
      <c r="H30" s="135">
        <f>+'N a K'!J107</f>
        <v>50</v>
      </c>
    </row>
    <row r="31" spans="1:8" x14ac:dyDescent="0.2">
      <c r="A31" s="136" t="s">
        <v>118</v>
      </c>
      <c r="B31" s="133" t="s">
        <v>119</v>
      </c>
      <c r="C31" s="146">
        <f>+'N a K'!E110</f>
        <v>50</v>
      </c>
      <c r="D31" s="134">
        <f>+'N a K'!F110</f>
        <v>50</v>
      </c>
      <c r="E31" s="134">
        <f>+'N a K'!G110</f>
        <v>0</v>
      </c>
      <c r="F31" s="146">
        <f>+'N a K'!H110</f>
        <v>0</v>
      </c>
      <c r="G31" s="134">
        <f>+'N a K'!I110</f>
        <v>0</v>
      </c>
      <c r="H31" s="135">
        <f>+'N a K'!J110</f>
        <v>0</v>
      </c>
    </row>
    <row r="32" spans="1:8" ht="13.5" thickBot="1" x14ac:dyDescent="0.25">
      <c r="A32" s="155" t="s">
        <v>120</v>
      </c>
      <c r="B32" s="149" t="s">
        <v>121</v>
      </c>
      <c r="C32" s="156">
        <f>+'N a K'!E113</f>
        <v>84418</v>
      </c>
      <c r="D32" s="108">
        <f>+'N a K'!F113</f>
        <v>39910</v>
      </c>
      <c r="E32" s="108">
        <f>+'N a K'!G113</f>
        <v>44508</v>
      </c>
      <c r="F32" s="156">
        <f>+'N a K'!H113</f>
        <v>0</v>
      </c>
      <c r="G32" s="108">
        <f>+'N a K'!I113</f>
        <v>0</v>
      </c>
      <c r="H32" s="150">
        <f>+'N a K'!J113</f>
        <v>0</v>
      </c>
    </row>
    <row r="33" spans="1:8" ht="13.5" thickBot="1" x14ac:dyDescent="0.25">
      <c r="A33" s="157"/>
      <c r="B33" s="151" t="s">
        <v>87</v>
      </c>
      <c r="C33" s="152">
        <f>SUM(C14:C32)</f>
        <v>1107533</v>
      </c>
      <c r="D33" s="153">
        <f t="shared" ref="D33:H33" si="1">SUM(D14:D32)</f>
        <v>832980</v>
      </c>
      <c r="E33" s="153">
        <f t="shared" si="1"/>
        <v>274553</v>
      </c>
      <c r="F33" s="152">
        <f t="shared" si="1"/>
        <v>656150</v>
      </c>
      <c r="G33" s="153">
        <f t="shared" si="1"/>
        <v>656100</v>
      </c>
      <c r="H33" s="154">
        <f t="shared" si="1"/>
        <v>50</v>
      </c>
    </row>
    <row r="34" spans="1:8" x14ac:dyDescent="0.2">
      <c r="H34" s="94"/>
    </row>
    <row r="35" spans="1:8" x14ac:dyDescent="0.2">
      <c r="A35" s="91" t="s">
        <v>122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scale="9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5"/>
  <sheetViews>
    <sheetView showZeros="0" zoomScaleNormal="100" zoomScaleSheetLayoutView="100" workbookViewId="0">
      <pane ySplit="5" topLeftCell="A28" activePane="bottomLeft" state="frozen"/>
      <selection activeCell="A2" sqref="A2"/>
      <selection pane="bottomLeft" activeCell="F57" sqref="F57"/>
    </sheetView>
  </sheetViews>
  <sheetFormatPr defaultRowHeight="12.75" x14ac:dyDescent="0.2"/>
  <cols>
    <col min="1" max="1" width="5.42578125" style="91" customWidth="1"/>
    <col min="2" max="2" width="6" style="91" bestFit="1" customWidth="1"/>
    <col min="3" max="3" width="7.140625" style="91" customWidth="1"/>
    <col min="4" max="4" width="58.28515625" style="91" customWidth="1"/>
    <col min="5" max="5" width="13" style="91" customWidth="1"/>
    <col min="6" max="6" width="11.140625" style="91" customWidth="1"/>
    <col min="7" max="7" width="12.42578125" style="91" customWidth="1"/>
    <col min="8" max="16384" width="9.140625" style="91"/>
  </cols>
  <sheetData>
    <row r="1" spans="1:7" ht="18.75" x14ac:dyDescent="0.3">
      <c r="A1" s="410" t="s">
        <v>450</v>
      </c>
      <c r="B1" s="410"/>
      <c r="C1" s="410"/>
      <c r="D1" s="410"/>
      <c r="E1" s="410"/>
      <c r="F1" s="410"/>
      <c r="G1" s="410"/>
    </row>
    <row r="2" spans="1:7" ht="15" x14ac:dyDescent="0.2">
      <c r="A2" s="419" t="s">
        <v>292</v>
      </c>
      <c r="B2" s="419"/>
      <c r="C2" s="419"/>
      <c r="D2" s="419"/>
      <c r="E2" s="419"/>
      <c r="F2" s="419"/>
      <c r="G2" s="419"/>
    </row>
    <row r="3" spans="1:7" x14ac:dyDescent="0.2">
      <c r="G3" s="205" t="s">
        <v>291</v>
      </c>
    </row>
    <row r="4" spans="1:7" x14ac:dyDescent="0.2">
      <c r="A4" s="420" t="s">
        <v>123</v>
      </c>
      <c r="B4" s="420" t="s">
        <v>288</v>
      </c>
      <c r="C4" s="420" t="s">
        <v>124</v>
      </c>
      <c r="D4" s="420" t="s">
        <v>125</v>
      </c>
      <c r="E4" s="420" t="s">
        <v>80</v>
      </c>
      <c r="F4" s="420" t="s">
        <v>6</v>
      </c>
      <c r="G4" s="420" t="s">
        <v>7</v>
      </c>
    </row>
    <row r="5" spans="1:7" x14ac:dyDescent="0.2">
      <c r="A5" s="420"/>
      <c r="B5" s="420"/>
      <c r="C5" s="420"/>
      <c r="D5" s="420"/>
      <c r="E5" s="420"/>
      <c r="F5" s="420"/>
      <c r="G5" s="420"/>
    </row>
    <row r="6" spans="1:7" x14ac:dyDescent="0.2">
      <c r="A6" s="192"/>
      <c r="B6" s="192"/>
      <c r="C6" s="192"/>
      <c r="D6" s="193"/>
      <c r="E6" s="193"/>
      <c r="F6" s="193"/>
      <c r="G6" s="193"/>
    </row>
    <row r="7" spans="1:7" x14ac:dyDescent="0.2">
      <c r="A7" s="179">
        <v>1</v>
      </c>
      <c r="B7" s="179">
        <v>11</v>
      </c>
      <c r="C7" s="179">
        <v>1111</v>
      </c>
      <c r="D7" s="179" t="str">
        <f>Bilance!C6</f>
        <v>Příjem z daně z příjmů fyzických osob placené plátci</v>
      </c>
      <c r="E7" s="194">
        <f>+F7+G7</f>
        <v>2980000</v>
      </c>
      <c r="F7" s="194">
        <f>Bilance!E6</f>
        <v>2980000</v>
      </c>
      <c r="G7" s="194"/>
    </row>
    <row r="8" spans="1:7" x14ac:dyDescent="0.2">
      <c r="A8" s="179">
        <v>1</v>
      </c>
      <c r="B8" s="179">
        <v>11</v>
      </c>
      <c r="C8" s="179">
        <v>1112</v>
      </c>
      <c r="D8" s="179" t="str">
        <f>Bilance!C7</f>
        <v>Příjem z daně z příjmů fyzických osob placené poplatníky</v>
      </c>
      <c r="E8" s="194">
        <f t="shared" ref="E8:E33" si="0">+F8+G8</f>
        <v>240000</v>
      </c>
      <c r="F8" s="194">
        <f>Bilance!E7</f>
        <v>240000</v>
      </c>
      <c r="G8" s="194"/>
    </row>
    <row r="9" spans="1:7" x14ac:dyDescent="0.2">
      <c r="A9" s="179">
        <v>1</v>
      </c>
      <c r="B9" s="179">
        <v>11</v>
      </c>
      <c r="C9" s="179">
        <v>1113</v>
      </c>
      <c r="D9" s="179" t="str">
        <f>Bilance!C8</f>
        <v>Příjem z daně z příjmů fyzických osob vybírané srážkou</v>
      </c>
      <c r="E9" s="194">
        <f t="shared" si="0"/>
        <v>540000</v>
      </c>
      <c r="F9" s="194">
        <f>Bilance!E8</f>
        <v>540000</v>
      </c>
      <c r="G9" s="194"/>
    </row>
    <row r="10" spans="1:7" x14ac:dyDescent="0.2">
      <c r="A10" s="179">
        <v>1</v>
      </c>
      <c r="B10" s="179">
        <v>11</v>
      </c>
      <c r="C10" s="179">
        <v>1121</v>
      </c>
      <c r="D10" s="179" t="str">
        <f>Bilance!C9</f>
        <v xml:space="preserve">Příjem z daně z příjmů právnických osob </v>
      </c>
      <c r="E10" s="194">
        <f t="shared" si="0"/>
        <v>3940000</v>
      </c>
      <c r="F10" s="194">
        <f>Bilance!E9</f>
        <v>3940000</v>
      </c>
      <c r="G10" s="194"/>
    </row>
    <row r="11" spans="1:7" x14ac:dyDescent="0.2">
      <c r="A11" s="179">
        <v>1</v>
      </c>
      <c r="B11" s="179">
        <v>11</v>
      </c>
      <c r="C11" s="179">
        <v>1122</v>
      </c>
      <c r="D11" s="179" t="s">
        <v>446</v>
      </c>
      <c r="E11" s="194">
        <f t="shared" si="0"/>
        <v>92352</v>
      </c>
      <c r="F11" s="194"/>
      <c r="G11" s="194">
        <f>Bilance!F13</f>
        <v>92352</v>
      </c>
    </row>
    <row r="12" spans="1:7" ht="15" x14ac:dyDescent="0.2">
      <c r="A12" s="179">
        <v>1</v>
      </c>
      <c r="B12" s="179">
        <v>11</v>
      </c>
      <c r="C12" s="179">
        <v>1122</v>
      </c>
      <c r="D12" s="179" t="s">
        <v>378</v>
      </c>
      <c r="E12" s="194">
        <f t="shared" si="0"/>
        <v>280226</v>
      </c>
      <c r="F12" s="194">
        <f>Bilance!E14</f>
        <v>250000</v>
      </c>
      <c r="G12" s="194">
        <f>Bilance!F14</f>
        <v>30226</v>
      </c>
    </row>
    <row r="13" spans="1:7" x14ac:dyDescent="0.2">
      <c r="A13" s="195" t="s">
        <v>126</v>
      </c>
      <c r="B13" s="181"/>
      <c r="C13" s="181"/>
      <c r="D13" s="181"/>
      <c r="E13" s="196">
        <f t="shared" si="0"/>
        <v>8072578</v>
      </c>
      <c r="F13" s="196">
        <f>SUM(F7:F12)</f>
        <v>7950000</v>
      </c>
      <c r="G13" s="196">
        <f>SUM(G7:G12)</f>
        <v>122578</v>
      </c>
    </row>
    <row r="14" spans="1:7" x14ac:dyDescent="0.2">
      <c r="A14" s="197"/>
      <c r="B14" s="179"/>
      <c r="C14" s="179"/>
      <c r="D14" s="179"/>
      <c r="E14" s="198"/>
      <c r="F14" s="198"/>
      <c r="G14" s="198"/>
    </row>
    <row r="15" spans="1:7" x14ac:dyDescent="0.2">
      <c r="A15" s="179">
        <v>1</v>
      </c>
      <c r="B15" s="179">
        <v>12</v>
      </c>
      <c r="C15" s="179">
        <v>1211</v>
      </c>
      <c r="D15" s="179" t="str">
        <f>Bilance!C10</f>
        <v>Příjem z daně z přidané hodnoty</v>
      </c>
      <c r="E15" s="194">
        <f t="shared" si="0"/>
        <v>7700000</v>
      </c>
      <c r="F15" s="194">
        <f>Bilance!E10</f>
        <v>7700000</v>
      </c>
      <c r="G15" s="194"/>
    </row>
    <row r="16" spans="1:7" x14ac:dyDescent="0.2">
      <c r="A16" s="195" t="s">
        <v>401</v>
      </c>
      <c r="B16" s="181"/>
      <c r="C16" s="181"/>
      <c r="D16" s="181"/>
      <c r="E16" s="196">
        <f t="shared" si="0"/>
        <v>7700000</v>
      </c>
      <c r="F16" s="196">
        <f>SUM(F15)</f>
        <v>7700000</v>
      </c>
      <c r="G16" s="196"/>
    </row>
    <row r="17" spans="1:7" x14ac:dyDescent="0.2">
      <c r="A17" s="197"/>
      <c r="B17" s="179"/>
      <c r="C17" s="179"/>
      <c r="D17" s="179"/>
      <c r="E17" s="194"/>
      <c r="F17" s="194"/>
      <c r="G17" s="194"/>
    </row>
    <row r="18" spans="1:7" x14ac:dyDescent="0.2">
      <c r="A18" s="179">
        <v>1</v>
      </c>
      <c r="B18" s="179">
        <v>13</v>
      </c>
      <c r="C18" s="179">
        <v>1334</v>
      </c>
      <c r="D18" s="179" t="s">
        <v>379</v>
      </c>
      <c r="E18" s="194">
        <f t="shared" si="0"/>
        <v>2500</v>
      </c>
      <c r="F18" s="194">
        <v>2500</v>
      </c>
      <c r="G18" s="194"/>
    </row>
    <row r="19" spans="1:7" x14ac:dyDescent="0.2">
      <c r="A19" s="179">
        <v>1</v>
      </c>
      <c r="B19" s="179">
        <v>13</v>
      </c>
      <c r="C19" s="179">
        <v>1335</v>
      </c>
      <c r="D19" s="179" t="s">
        <v>380</v>
      </c>
      <c r="E19" s="194">
        <f t="shared" si="0"/>
        <v>45</v>
      </c>
      <c r="F19" s="194">
        <v>45</v>
      </c>
      <c r="G19" s="194"/>
    </row>
    <row r="20" spans="1:7" x14ac:dyDescent="0.2">
      <c r="A20" s="179">
        <v>1</v>
      </c>
      <c r="B20" s="179">
        <v>13</v>
      </c>
      <c r="C20" s="179">
        <v>1341</v>
      </c>
      <c r="D20" s="179" t="s">
        <v>382</v>
      </c>
      <c r="E20" s="194">
        <f t="shared" si="0"/>
        <v>11031</v>
      </c>
      <c r="F20" s="194"/>
      <c r="G20" s="194">
        <v>11031</v>
      </c>
    </row>
    <row r="21" spans="1:7" x14ac:dyDescent="0.2">
      <c r="A21" s="179">
        <v>1</v>
      </c>
      <c r="B21" s="179">
        <v>13</v>
      </c>
      <c r="C21" s="179">
        <v>1342</v>
      </c>
      <c r="D21" s="179" t="s">
        <v>383</v>
      </c>
      <c r="E21" s="194">
        <f t="shared" si="0"/>
        <v>29364</v>
      </c>
      <c r="F21" s="194"/>
      <c r="G21" s="194">
        <v>29364</v>
      </c>
    </row>
    <row r="22" spans="1:7" x14ac:dyDescent="0.2">
      <c r="A22" s="179">
        <v>1</v>
      </c>
      <c r="B22" s="179">
        <v>13</v>
      </c>
      <c r="C22" s="179">
        <v>1343</v>
      </c>
      <c r="D22" s="179" t="s">
        <v>384</v>
      </c>
      <c r="E22" s="194">
        <f t="shared" si="0"/>
        <v>70488</v>
      </c>
      <c r="F22" s="194"/>
      <c r="G22" s="194">
        <v>70488</v>
      </c>
    </row>
    <row r="23" spans="1:7" x14ac:dyDescent="0.2">
      <c r="A23" s="179">
        <v>1</v>
      </c>
      <c r="B23" s="179">
        <v>13</v>
      </c>
      <c r="C23" s="179">
        <v>1344</v>
      </c>
      <c r="D23" s="179" t="s">
        <v>385</v>
      </c>
      <c r="E23" s="194">
        <f t="shared" si="0"/>
        <v>6050</v>
      </c>
      <c r="F23" s="194"/>
      <c r="G23" s="194">
        <v>6050</v>
      </c>
    </row>
    <row r="24" spans="1:7" x14ac:dyDescent="0.2">
      <c r="A24" s="179">
        <v>1</v>
      </c>
      <c r="B24" s="179">
        <v>13</v>
      </c>
      <c r="C24" s="179">
        <v>1345</v>
      </c>
      <c r="D24" s="179" t="s">
        <v>381</v>
      </c>
      <c r="E24" s="194">
        <f>+F24+G24</f>
        <v>301382</v>
      </c>
      <c r="F24" s="194">
        <v>301382</v>
      </c>
      <c r="G24" s="194"/>
    </row>
    <row r="25" spans="1:7" x14ac:dyDescent="0.2">
      <c r="A25" s="179">
        <v>1</v>
      </c>
      <c r="B25" s="179">
        <v>13</v>
      </c>
      <c r="C25" s="179">
        <v>1353</v>
      </c>
      <c r="D25" s="199" t="s">
        <v>386</v>
      </c>
      <c r="E25" s="194">
        <f t="shared" si="0"/>
        <v>4000</v>
      </c>
      <c r="F25" s="194">
        <v>4000</v>
      </c>
      <c r="G25" s="194"/>
    </row>
    <row r="26" spans="1:7" x14ac:dyDescent="0.2">
      <c r="A26" s="179">
        <v>1</v>
      </c>
      <c r="B26" s="179">
        <v>13</v>
      </c>
      <c r="C26" s="179">
        <v>1356</v>
      </c>
      <c r="D26" s="199" t="s">
        <v>387</v>
      </c>
      <c r="E26" s="194">
        <f t="shared" si="0"/>
        <v>300</v>
      </c>
      <c r="F26" s="194">
        <v>300</v>
      </c>
      <c r="G26" s="194"/>
    </row>
    <row r="27" spans="1:7" x14ac:dyDescent="0.2">
      <c r="A27" s="179">
        <v>1</v>
      </c>
      <c r="B27" s="179">
        <v>13</v>
      </c>
      <c r="C27" s="200">
        <v>1361</v>
      </c>
      <c r="D27" s="179" t="s">
        <v>363</v>
      </c>
      <c r="E27" s="194">
        <f>+F27+G27</f>
        <v>92889</v>
      </c>
      <c r="F27" s="194">
        <f>Bilance!E18</f>
        <v>83857</v>
      </c>
      <c r="G27" s="194">
        <f>Bilance!F18</f>
        <v>9032</v>
      </c>
    </row>
    <row r="28" spans="1:7" x14ac:dyDescent="0.2">
      <c r="A28" s="179">
        <v>1</v>
      </c>
      <c r="B28" s="179">
        <v>13</v>
      </c>
      <c r="C28" s="200">
        <v>1386</v>
      </c>
      <c r="D28" s="179" t="s">
        <v>456</v>
      </c>
      <c r="E28" s="194">
        <f>+F28+G28</f>
        <v>120000</v>
      </c>
      <c r="F28" s="194">
        <v>120000</v>
      </c>
      <c r="G28" s="194"/>
    </row>
    <row r="29" spans="1:7" x14ac:dyDescent="0.2">
      <c r="A29" s="179">
        <v>1</v>
      </c>
      <c r="B29" s="179">
        <v>13</v>
      </c>
      <c r="C29" s="200">
        <v>1387</v>
      </c>
      <c r="D29" s="199" t="s">
        <v>457</v>
      </c>
      <c r="E29" s="194">
        <f>+F29+G29</f>
        <v>40000</v>
      </c>
      <c r="F29" s="194">
        <v>40000</v>
      </c>
      <c r="G29" s="194"/>
    </row>
    <row r="30" spans="1:7" x14ac:dyDescent="0.2">
      <c r="A30" s="195" t="s">
        <v>127</v>
      </c>
      <c r="B30" s="181"/>
      <c r="C30" s="181"/>
      <c r="D30" s="201"/>
      <c r="E30" s="196">
        <f t="shared" si="0"/>
        <v>678049</v>
      </c>
      <c r="F30" s="196">
        <f>SUM(F18:F29)</f>
        <v>552084</v>
      </c>
      <c r="G30" s="196">
        <f>SUM(G18:G29)</f>
        <v>125965</v>
      </c>
    </row>
    <row r="31" spans="1:7" x14ac:dyDescent="0.2">
      <c r="A31" s="179"/>
      <c r="B31" s="179"/>
      <c r="C31" s="179"/>
      <c r="D31" s="179"/>
      <c r="E31" s="194"/>
      <c r="F31" s="194"/>
      <c r="G31" s="194"/>
    </row>
    <row r="32" spans="1:7" x14ac:dyDescent="0.2">
      <c r="A32" s="179">
        <v>1</v>
      </c>
      <c r="B32" s="179">
        <v>15</v>
      </c>
      <c r="C32" s="179">
        <v>1511</v>
      </c>
      <c r="D32" s="179" t="str">
        <f>Bilance!C11</f>
        <v>Příjem z daně z nemovitých věcí</v>
      </c>
      <c r="E32" s="194">
        <f t="shared" si="0"/>
        <v>400000</v>
      </c>
      <c r="F32" s="194">
        <f>Bilance!E11</f>
        <v>400000</v>
      </c>
      <c r="G32" s="194"/>
    </row>
    <row r="33" spans="1:7" x14ac:dyDescent="0.2">
      <c r="A33" s="195" t="s">
        <v>402</v>
      </c>
      <c r="B33" s="181"/>
      <c r="C33" s="181"/>
      <c r="D33" s="201"/>
      <c r="E33" s="196">
        <f t="shared" si="0"/>
        <v>400000</v>
      </c>
      <c r="F33" s="196">
        <f>SUM(F32)</f>
        <v>400000</v>
      </c>
      <c r="G33" s="196"/>
    </row>
    <row r="34" spans="1:7" ht="13.5" thickBot="1" x14ac:dyDescent="0.25">
      <c r="A34" s="95"/>
      <c r="B34" s="95"/>
      <c r="C34" s="95"/>
      <c r="D34" s="95"/>
      <c r="E34" s="202"/>
      <c r="F34" s="202"/>
      <c r="G34" s="202"/>
    </row>
    <row r="35" spans="1:7" ht="15.75" customHeight="1" thickTop="1" thickBot="1" x14ac:dyDescent="0.25">
      <c r="A35" s="357" t="s">
        <v>289</v>
      </c>
      <c r="B35" s="358"/>
      <c r="C35" s="358"/>
      <c r="D35" s="358"/>
      <c r="E35" s="359">
        <f>E13+E16+E30+E33</f>
        <v>16850627</v>
      </c>
      <c r="F35" s="359">
        <f>F13+F16+F30+F33</f>
        <v>16602084</v>
      </c>
      <c r="G35" s="359">
        <f>G13+G16+G30+G33</f>
        <v>248543</v>
      </c>
    </row>
    <row r="36" spans="1:7" ht="15.75" thickTop="1" x14ac:dyDescent="0.2">
      <c r="A36" s="191" t="s">
        <v>287</v>
      </c>
      <c r="E36" s="188"/>
      <c r="F36" s="188"/>
      <c r="G36" s="188"/>
    </row>
    <row r="37" spans="1:7" x14ac:dyDescent="0.2">
      <c r="E37" s="188"/>
      <c r="F37" s="188"/>
      <c r="G37" s="188"/>
    </row>
    <row r="38" spans="1:7" x14ac:dyDescent="0.2">
      <c r="E38" s="188"/>
      <c r="F38" s="188"/>
      <c r="G38" s="188"/>
    </row>
    <row r="39" spans="1:7" x14ac:dyDescent="0.2">
      <c r="E39" s="188"/>
      <c r="F39" s="188"/>
      <c r="G39" s="188"/>
    </row>
    <row r="40" spans="1:7" ht="18.75" x14ac:dyDescent="0.3">
      <c r="A40" s="410" t="s">
        <v>451</v>
      </c>
      <c r="B40" s="410"/>
      <c r="C40" s="410"/>
      <c r="D40" s="410"/>
      <c r="E40" s="410"/>
      <c r="F40" s="410"/>
      <c r="G40" s="410"/>
    </row>
    <row r="41" spans="1:7" ht="15" x14ac:dyDescent="0.2">
      <c r="A41" s="419" t="s">
        <v>292</v>
      </c>
      <c r="B41" s="419"/>
      <c r="C41" s="419"/>
      <c r="D41" s="419"/>
      <c r="E41" s="419"/>
      <c r="F41" s="419"/>
      <c r="G41" s="419"/>
    </row>
    <row r="42" spans="1:7" x14ac:dyDescent="0.2">
      <c r="E42" s="94"/>
      <c r="F42" s="94"/>
      <c r="G42" s="205" t="s">
        <v>291</v>
      </c>
    </row>
    <row r="43" spans="1:7" x14ac:dyDescent="0.2">
      <c r="A43" s="420" t="s">
        <v>123</v>
      </c>
      <c r="B43" s="420" t="s">
        <v>288</v>
      </c>
      <c r="C43" s="420" t="s">
        <v>124</v>
      </c>
      <c r="D43" s="420" t="s">
        <v>125</v>
      </c>
      <c r="E43" s="420" t="s">
        <v>80</v>
      </c>
      <c r="F43" s="420" t="s">
        <v>6</v>
      </c>
      <c r="G43" s="420" t="s">
        <v>7</v>
      </c>
    </row>
    <row r="44" spans="1:7" x14ac:dyDescent="0.2">
      <c r="A44" s="420"/>
      <c r="B44" s="420"/>
      <c r="C44" s="420"/>
      <c r="D44" s="420"/>
      <c r="E44" s="420"/>
      <c r="F44" s="420"/>
      <c r="G44" s="420"/>
    </row>
    <row r="45" spans="1:7" x14ac:dyDescent="0.2">
      <c r="A45" s="179">
        <v>4</v>
      </c>
      <c r="B45" s="179">
        <v>41</v>
      </c>
      <c r="C45" s="179">
        <v>4111</v>
      </c>
      <c r="D45" s="199" t="str">
        <f>Bilance!C32</f>
        <v>Neinvestiční přijaté transfery z všeobecné pokladní správy státního rozpočtu</v>
      </c>
      <c r="E45" s="194">
        <f t="shared" ref="E45:E50" si="1">+F45+G45</f>
        <v>11299</v>
      </c>
      <c r="F45" s="194">
        <f>Bilance!E32</f>
        <v>0</v>
      </c>
      <c r="G45" s="194">
        <f>Bilance!F32</f>
        <v>11299</v>
      </c>
    </row>
    <row r="46" spans="1:7" x14ac:dyDescent="0.2">
      <c r="A46" s="179">
        <v>4</v>
      </c>
      <c r="B46" s="179">
        <v>41</v>
      </c>
      <c r="C46" s="179">
        <v>4112</v>
      </c>
      <c r="D46" s="179" t="str">
        <f>Bilance!C33</f>
        <v xml:space="preserve">Neinvestiční přijaté transfery ze SR v rámci souhrnného dotačního vztahu </v>
      </c>
      <c r="E46" s="194">
        <f t="shared" si="1"/>
        <v>407948</v>
      </c>
      <c r="F46" s="194">
        <f>Bilance!E33</f>
        <v>250537</v>
      </c>
      <c r="G46" s="194">
        <f>Bilance!F33</f>
        <v>157411</v>
      </c>
    </row>
    <row r="47" spans="1:7" x14ac:dyDescent="0.2">
      <c r="A47" s="179">
        <v>4</v>
      </c>
      <c r="B47" s="179">
        <v>41</v>
      </c>
      <c r="C47" s="179">
        <v>4116</v>
      </c>
      <c r="D47" s="179" t="str">
        <f>Bilance!C34</f>
        <v>Ostatní neinvestiční přijaté transfery ze státního rozpočtu</v>
      </c>
      <c r="E47" s="194">
        <f t="shared" si="1"/>
        <v>101037</v>
      </c>
      <c r="F47" s="194">
        <f>Bilance!E34</f>
        <v>31200</v>
      </c>
      <c r="G47" s="194">
        <f>Bilance!F34</f>
        <v>69837</v>
      </c>
    </row>
    <row r="48" spans="1:7" x14ac:dyDescent="0.2">
      <c r="A48" s="179">
        <v>4</v>
      </c>
      <c r="B48" s="179">
        <v>41</v>
      </c>
      <c r="C48" s="179">
        <v>4121</v>
      </c>
      <c r="D48" s="179" t="s">
        <v>369</v>
      </c>
      <c r="E48" s="194">
        <f t="shared" si="1"/>
        <v>90</v>
      </c>
      <c r="F48" s="194">
        <v>25</v>
      </c>
      <c r="G48" s="194">
        <f>Bilance!F35</f>
        <v>65</v>
      </c>
    </row>
    <row r="49" spans="1:7" x14ac:dyDescent="0.2">
      <c r="A49" s="179">
        <v>4</v>
      </c>
      <c r="B49" s="179">
        <v>41</v>
      </c>
      <c r="C49" s="179">
        <v>4122</v>
      </c>
      <c r="D49" s="179" t="s">
        <v>458</v>
      </c>
      <c r="E49" s="194">
        <f t="shared" si="1"/>
        <v>410640</v>
      </c>
      <c r="F49" s="194">
        <v>410640</v>
      </c>
      <c r="G49" s="194"/>
    </row>
    <row r="50" spans="1:7" x14ac:dyDescent="0.2">
      <c r="A50" s="179">
        <v>4</v>
      </c>
      <c r="B50" s="179">
        <v>41</v>
      </c>
      <c r="C50" s="179">
        <v>4131</v>
      </c>
      <c r="D50" s="179" t="str">
        <f>Bilance!C36</f>
        <v>Převody z vlastních fondů podnikatelské činnosti</v>
      </c>
      <c r="E50" s="194">
        <f t="shared" si="1"/>
        <v>1688425</v>
      </c>
      <c r="F50" s="194">
        <f>Bilance!E36</f>
        <v>1037050</v>
      </c>
      <c r="G50" s="194">
        <f>Bilance!F36</f>
        <v>651375</v>
      </c>
    </row>
    <row r="51" spans="1:7" x14ac:dyDescent="0.2">
      <c r="A51" s="179">
        <v>4</v>
      </c>
      <c r="B51" s="179">
        <v>41</v>
      </c>
      <c r="C51" s="179">
        <v>4137</v>
      </c>
      <c r="D51" s="179" t="s">
        <v>332</v>
      </c>
      <c r="E51" s="194" t="s">
        <v>128</v>
      </c>
      <c r="F51" s="194"/>
      <c r="G51" s="194">
        <f>Bilance!F37</f>
        <v>2830607</v>
      </c>
    </row>
    <row r="52" spans="1:7" x14ac:dyDescent="0.2">
      <c r="A52" s="179">
        <v>4</v>
      </c>
      <c r="B52" s="179">
        <v>41</v>
      </c>
      <c r="C52" s="179">
        <v>4137</v>
      </c>
      <c r="D52" s="179" t="s">
        <v>333</v>
      </c>
      <c r="E52" s="194" t="s">
        <v>128</v>
      </c>
      <c r="F52" s="194"/>
      <c r="G52" s="194">
        <f>Bilance!F38</f>
        <v>580</v>
      </c>
    </row>
    <row r="53" spans="1:7" x14ac:dyDescent="0.2">
      <c r="A53" s="179">
        <v>4</v>
      </c>
      <c r="B53" s="179">
        <v>41</v>
      </c>
      <c r="C53" s="179">
        <v>4137</v>
      </c>
      <c r="D53" s="179" t="s">
        <v>338</v>
      </c>
      <c r="E53" s="194" t="s">
        <v>128</v>
      </c>
      <c r="F53" s="194">
        <f>Bilance!E39</f>
        <v>73242</v>
      </c>
      <c r="G53" s="194"/>
    </row>
    <row r="54" spans="1:7" x14ac:dyDescent="0.2">
      <c r="A54" s="179">
        <v>4</v>
      </c>
      <c r="B54" s="179">
        <v>41</v>
      </c>
      <c r="C54" s="179">
        <v>4171</v>
      </c>
      <c r="D54" s="179" t="str">
        <f>Bilance!C40</f>
        <v>Příjem náhrad za nezpůsobenou újmu</v>
      </c>
      <c r="E54" s="194">
        <f>+F54+G54</f>
        <v>40</v>
      </c>
      <c r="F54" s="194"/>
      <c r="G54" s="194">
        <f>Bilance!F40</f>
        <v>40</v>
      </c>
    </row>
    <row r="55" spans="1:7" x14ac:dyDescent="0.2">
      <c r="A55" s="195" t="s">
        <v>129</v>
      </c>
      <c r="B55" s="181"/>
      <c r="C55" s="181"/>
      <c r="D55" s="181"/>
      <c r="E55" s="196">
        <f>SUM(E45:E54)</f>
        <v>2619479</v>
      </c>
      <c r="F55" s="196">
        <f>SUM(F45:F54)</f>
        <v>1802694</v>
      </c>
      <c r="G55" s="196">
        <f>SUM(G45:G54)</f>
        <v>3721214</v>
      </c>
    </row>
    <row r="56" spans="1:7" x14ac:dyDescent="0.2">
      <c r="A56" s="204"/>
      <c r="B56" s="95"/>
      <c r="C56" s="95"/>
      <c r="D56" s="95"/>
      <c r="E56" s="382"/>
      <c r="F56" s="382"/>
      <c r="G56" s="382"/>
    </row>
    <row r="57" spans="1:7" x14ac:dyDescent="0.2">
      <c r="A57" s="179">
        <v>4</v>
      </c>
      <c r="B57" s="179">
        <v>42</v>
      </c>
      <c r="C57" s="179">
        <v>4251</v>
      </c>
      <c r="D57" s="179" t="s">
        <v>335</v>
      </c>
      <c r="E57" s="194" t="s">
        <v>128</v>
      </c>
      <c r="F57" s="194"/>
      <c r="G57" s="194">
        <f>Bilance!F41</f>
        <v>246640</v>
      </c>
    </row>
    <row r="58" spans="1:7" x14ac:dyDescent="0.2">
      <c r="A58" s="195" t="s">
        <v>339</v>
      </c>
      <c r="B58" s="181"/>
      <c r="C58" s="181"/>
      <c r="D58" s="181"/>
      <c r="E58" s="196">
        <f>SUM(E57:E57)</f>
        <v>0</v>
      </c>
      <c r="F58" s="196">
        <f>SUM(F57:F57)</f>
        <v>0</v>
      </c>
      <c r="G58" s="196">
        <f>SUM(G57:G57)</f>
        <v>246640</v>
      </c>
    </row>
    <row r="59" spans="1:7" ht="13.5" thickBot="1" x14ac:dyDescent="0.25">
      <c r="A59" s="204"/>
      <c r="B59" s="95"/>
      <c r="C59" s="95"/>
      <c r="D59" s="95"/>
      <c r="E59" s="202"/>
      <c r="F59" s="202"/>
      <c r="G59" s="202"/>
    </row>
    <row r="60" spans="1:7" ht="15.75" customHeight="1" thickTop="1" thickBot="1" x14ac:dyDescent="0.25">
      <c r="A60" s="357" t="s">
        <v>290</v>
      </c>
      <c r="B60" s="358"/>
      <c r="C60" s="358"/>
      <c r="D60" s="358"/>
      <c r="E60" s="359">
        <f>+E55+E58</f>
        <v>2619479</v>
      </c>
      <c r="F60" s="359">
        <f>+F55+F58</f>
        <v>1802694</v>
      </c>
      <c r="G60" s="359">
        <f>+G55+G58</f>
        <v>3967854</v>
      </c>
    </row>
    <row r="61" spans="1:7" ht="13.5" thickTop="1" x14ac:dyDescent="0.2">
      <c r="A61" s="91" t="s">
        <v>122</v>
      </c>
      <c r="E61" s="190"/>
      <c r="F61" s="188"/>
      <c r="G61" s="188"/>
    </row>
    <row r="62" spans="1:7" x14ac:dyDescent="0.2">
      <c r="E62" s="190"/>
      <c r="F62" s="188"/>
      <c r="G62" s="188"/>
    </row>
    <row r="63" spans="1:7" x14ac:dyDescent="0.2">
      <c r="A63" s="107"/>
      <c r="E63" s="190"/>
      <c r="F63" s="188"/>
      <c r="G63" s="188"/>
    </row>
    <row r="64" spans="1:7" x14ac:dyDescent="0.2">
      <c r="E64" s="94"/>
      <c r="F64" s="94"/>
      <c r="G64" s="94"/>
    </row>
    <row r="65" spans="5:7" x14ac:dyDescent="0.2">
      <c r="E65" s="94"/>
      <c r="F65" s="94"/>
      <c r="G65" s="94"/>
    </row>
  </sheetData>
  <mergeCells count="18">
    <mergeCell ref="F43:F44"/>
    <mergeCell ref="G43:G44"/>
    <mergeCell ref="A43:A44"/>
    <mergeCell ref="B43:B44"/>
    <mergeCell ref="C43:C44"/>
    <mergeCell ref="D43:D44"/>
    <mergeCell ref="E43:E44"/>
    <mergeCell ref="A1:G1"/>
    <mergeCell ref="A2:G2"/>
    <mergeCell ref="A40:G40"/>
    <mergeCell ref="A41:G4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5000000000000004" right="0.36" top="0.74" bottom="0.43" header="0.23622047244094491" footer="0.27"/>
  <pageSetup paperSize="9" scale="88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8"/>
  <sheetViews>
    <sheetView showGridLines="0" showZeros="0" zoomScaleNormal="100" zoomScaleSheetLayoutView="100"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.5703125" style="91" customWidth="1"/>
    <col min="2" max="2" width="5.140625" style="91" customWidth="1"/>
    <col min="3" max="3" width="5" style="91" bestFit="1" customWidth="1"/>
    <col min="4" max="4" width="52.85546875" style="91" customWidth="1"/>
    <col min="5" max="5" width="11.7109375" style="94" customWidth="1"/>
    <col min="6" max="6" width="10.28515625" style="94" customWidth="1"/>
    <col min="7" max="7" width="10.42578125" style="94" customWidth="1"/>
    <col min="8" max="8" width="12" style="94" customWidth="1"/>
    <col min="9" max="9" width="10" style="94" customWidth="1"/>
    <col min="10" max="10" width="10.5703125" style="94" customWidth="1"/>
    <col min="11" max="11" width="18.5703125" style="94" hidden="1" customWidth="1"/>
    <col min="12" max="12" width="9" style="94" hidden="1" customWidth="1"/>
    <col min="13" max="13" width="11.85546875" style="94" hidden="1" customWidth="1"/>
    <col min="14" max="20" width="9.140625" style="94"/>
    <col min="21" max="16384" width="9.140625" style="91"/>
  </cols>
  <sheetData>
    <row r="1" spans="1:13" s="94" customFormat="1" ht="18.75" x14ac:dyDescent="0.3">
      <c r="A1" s="410" t="s">
        <v>452</v>
      </c>
      <c r="B1" s="410"/>
      <c r="C1" s="410"/>
      <c r="D1" s="410"/>
      <c r="E1" s="410"/>
      <c r="F1" s="410"/>
      <c r="G1" s="410"/>
      <c r="H1" s="410"/>
      <c r="I1" s="410"/>
      <c r="J1" s="410"/>
      <c r="K1" s="189"/>
      <c r="L1" s="189"/>
      <c r="M1" s="189"/>
    </row>
    <row r="2" spans="1:13" s="94" customFormat="1" ht="15" x14ac:dyDescent="0.25">
      <c r="A2" s="423" t="s">
        <v>130</v>
      </c>
      <c r="B2" s="423"/>
      <c r="C2" s="423"/>
      <c r="D2" s="423"/>
      <c r="E2" s="423"/>
      <c r="F2" s="423"/>
      <c r="G2" s="423"/>
      <c r="H2" s="423"/>
      <c r="I2" s="423"/>
      <c r="J2" s="423"/>
      <c r="K2" s="189"/>
      <c r="L2" s="189"/>
      <c r="M2" s="189"/>
    </row>
    <row r="3" spans="1:13" s="94" customFormat="1" x14ac:dyDescent="0.2">
      <c r="A3" s="92"/>
      <c r="B3" s="92"/>
      <c r="C3" s="92"/>
      <c r="D3" s="123"/>
      <c r="E3" s="189"/>
      <c r="F3" s="189"/>
      <c r="G3" s="189"/>
    </row>
    <row r="4" spans="1:13" s="94" customFormat="1" x14ac:dyDescent="0.2">
      <c r="A4" s="92"/>
      <c r="B4" s="92"/>
      <c r="C4" s="92"/>
      <c r="D4" s="123"/>
      <c r="E4" s="189"/>
      <c r="F4" s="189"/>
      <c r="G4" s="189"/>
      <c r="J4" s="188" t="s">
        <v>291</v>
      </c>
    </row>
    <row r="5" spans="1:13" s="94" customFormat="1" x14ac:dyDescent="0.2">
      <c r="A5" s="424" t="s">
        <v>293</v>
      </c>
      <c r="B5" s="421" t="s">
        <v>131</v>
      </c>
      <c r="C5" s="421" t="s">
        <v>132</v>
      </c>
      <c r="D5" s="421" t="s">
        <v>211</v>
      </c>
      <c r="E5" s="426" t="s">
        <v>133</v>
      </c>
      <c r="F5" s="427"/>
      <c r="G5" s="428"/>
      <c r="H5" s="426" t="s">
        <v>134</v>
      </c>
      <c r="I5" s="427"/>
      <c r="J5" s="428"/>
      <c r="K5" s="209" t="s">
        <v>135</v>
      </c>
      <c r="L5" s="209"/>
      <c r="M5" s="209"/>
    </row>
    <row r="6" spans="1:13" s="94" customFormat="1" ht="25.5" x14ac:dyDescent="0.2">
      <c r="A6" s="425"/>
      <c r="B6" s="422"/>
      <c r="C6" s="422"/>
      <c r="D6" s="422"/>
      <c r="E6" s="255" t="s">
        <v>80</v>
      </c>
      <c r="F6" s="255" t="s">
        <v>136</v>
      </c>
      <c r="G6" s="255" t="s">
        <v>7</v>
      </c>
      <c r="H6" s="255" t="s">
        <v>80</v>
      </c>
      <c r="I6" s="255" t="s">
        <v>136</v>
      </c>
      <c r="J6" s="255" t="s">
        <v>7</v>
      </c>
      <c r="K6" s="210" t="s">
        <v>80</v>
      </c>
      <c r="L6" s="211" t="s">
        <v>136</v>
      </c>
      <c r="M6" s="211" t="s">
        <v>7</v>
      </c>
    </row>
    <row r="7" spans="1:13" s="94" customFormat="1" x14ac:dyDescent="0.2">
      <c r="A7" s="178"/>
      <c r="B7" s="178"/>
      <c r="C7" s="178"/>
      <c r="D7" s="212"/>
      <c r="E7" s="225"/>
      <c r="F7" s="206"/>
      <c r="G7" s="226"/>
      <c r="H7" s="225"/>
      <c r="I7" s="206"/>
      <c r="J7" s="226"/>
      <c r="K7" s="225"/>
      <c r="L7" s="206"/>
      <c r="M7" s="226"/>
    </row>
    <row r="8" spans="1:13" s="94" customFormat="1" ht="13.5" thickBot="1" x14ac:dyDescent="0.25">
      <c r="A8" s="179"/>
      <c r="B8" s="179"/>
      <c r="C8" s="179"/>
      <c r="D8" s="213" t="s">
        <v>137</v>
      </c>
      <c r="E8" s="227">
        <f>+F8+G8</f>
        <v>98628</v>
      </c>
      <c r="F8" s="180">
        <v>98529</v>
      </c>
      <c r="G8" s="228">
        <v>99</v>
      </c>
      <c r="H8" s="227"/>
      <c r="I8" s="180"/>
      <c r="J8" s="228"/>
      <c r="K8" s="227">
        <f>+L8+M8</f>
        <v>98628</v>
      </c>
      <c r="L8" s="180">
        <f>+F8+I8</f>
        <v>98529</v>
      </c>
      <c r="M8" s="228">
        <f>+G8+J8</f>
        <v>99</v>
      </c>
    </row>
    <row r="9" spans="1:13" s="94" customFormat="1" ht="14.25" thickTop="1" thickBot="1" x14ac:dyDescent="0.25">
      <c r="A9" s="203" t="s">
        <v>138</v>
      </c>
      <c r="B9" s="185"/>
      <c r="C9" s="186"/>
      <c r="D9" s="214"/>
      <c r="E9" s="229">
        <f>+E8</f>
        <v>98628</v>
      </c>
      <c r="F9" s="187">
        <f>+F8</f>
        <v>98529</v>
      </c>
      <c r="G9" s="230">
        <f>SUM(G8)</f>
        <v>99</v>
      </c>
      <c r="H9" s="229"/>
      <c r="I9" s="187"/>
      <c r="J9" s="230"/>
      <c r="K9" s="229">
        <f>+K8</f>
        <v>98628</v>
      </c>
      <c r="L9" s="187">
        <f>+L8</f>
        <v>98529</v>
      </c>
      <c r="M9" s="230">
        <f>+M8</f>
        <v>99</v>
      </c>
    </row>
    <row r="10" spans="1:13" s="94" customFormat="1" ht="13.5" thickTop="1" x14ac:dyDescent="0.2">
      <c r="A10" s="197"/>
      <c r="B10" s="179"/>
      <c r="C10" s="179"/>
      <c r="D10" s="213"/>
      <c r="E10" s="231"/>
      <c r="F10" s="183"/>
      <c r="G10" s="232"/>
      <c r="H10" s="231"/>
      <c r="I10" s="183"/>
      <c r="J10" s="232"/>
      <c r="K10" s="231"/>
      <c r="L10" s="183"/>
      <c r="M10" s="232"/>
    </row>
    <row r="11" spans="1:13" s="94" customFormat="1" x14ac:dyDescent="0.2">
      <c r="A11" s="179">
        <v>1</v>
      </c>
      <c r="B11" s="179">
        <v>10</v>
      </c>
      <c r="C11" s="179">
        <v>1012</v>
      </c>
      <c r="D11" s="213" t="s">
        <v>403</v>
      </c>
      <c r="E11" s="227">
        <f t="shared" ref="E11:E75" si="0">+F11+G11</f>
        <v>1140</v>
      </c>
      <c r="F11" s="180"/>
      <c r="G11" s="228">
        <v>1140</v>
      </c>
      <c r="H11" s="227"/>
      <c r="I11" s="180"/>
      <c r="J11" s="228"/>
      <c r="K11" s="227">
        <f t="shared" ref="K11:K15" si="1">+L11+M11</f>
        <v>1140</v>
      </c>
      <c r="L11" s="180">
        <f t="shared" ref="L11:M15" si="2">+F11+I11</f>
        <v>0</v>
      </c>
      <c r="M11" s="228">
        <f t="shared" si="2"/>
        <v>1140</v>
      </c>
    </row>
    <row r="12" spans="1:13" s="94" customFormat="1" x14ac:dyDescent="0.2">
      <c r="A12" s="179">
        <v>1</v>
      </c>
      <c r="B12" s="179">
        <v>10</v>
      </c>
      <c r="C12" s="179">
        <v>1014</v>
      </c>
      <c r="D12" s="213" t="s">
        <v>435</v>
      </c>
      <c r="E12" s="227">
        <f t="shared" si="0"/>
        <v>681</v>
      </c>
      <c r="F12" s="180">
        <v>681</v>
      </c>
      <c r="G12" s="228"/>
      <c r="H12" s="227"/>
      <c r="I12" s="180"/>
      <c r="J12" s="228"/>
      <c r="K12" s="227">
        <f t="shared" si="1"/>
        <v>681</v>
      </c>
      <c r="L12" s="180">
        <f t="shared" si="2"/>
        <v>681</v>
      </c>
      <c r="M12" s="228">
        <f t="shared" si="2"/>
        <v>0</v>
      </c>
    </row>
    <row r="13" spans="1:13" s="94" customFormat="1" x14ac:dyDescent="0.2">
      <c r="A13" s="179">
        <v>1</v>
      </c>
      <c r="B13" s="179">
        <v>10</v>
      </c>
      <c r="C13" s="179">
        <v>1019</v>
      </c>
      <c r="D13" s="213" t="s">
        <v>139</v>
      </c>
      <c r="E13" s="227">
        <f t="shared" si="0"/>
        <v>15155</v>
      </c>
      <c r="F13" s="180"/>
      <c r="G13" s="228">
        <v>15155</v>
      </c>
      <c r="H13" s="227"/>
      <c r="I13" s="180"/>
      <c r="J13" s="228"/>
      <c r="K13" s="227">
        <f t="shared" si="1"/>
        <v>15155</v>
      </c>
      <c r="L13" s="180">
        <f t="shared" si="2"/>
        <v>0</v>
      </c>
      <c r="M13" s="228">
        <f t="shared" si="2"/>
        <v>15155</v>
      </c>
    </row>
    <row r="14" spans="1:13" s="94" customFormat="1" x14ac:dyDescent="0.2">
      <c r="A14" s="179">
        <v>1</v>
      </c>
      <c r="B14" s="179">
        <v>10</v>
      </c>
      <c r="C14" s="179">
        <v>1031</v>
      </c>
      <c r="D14" s="213" t="s">
        <v>140</v>
      </c>
      <c r="E14" s="227">
        <f t="shared" si="0"/>
        <v>12369</v>
      </c>
      <c r="F14" s="180">
        <v>12369</v>
      </c>
      <c r="G14" s="228"/>
      <c r="H14" s="227"/>
      <c r="I14" s="180"/>
      <c r="J14" s="228"/>
      <c r="K14" s="227">
        <f t="shared" si="1"/>
        <v>12369</v>
      </c>
      <c r="L14" s="180">
        <f t="shared" si="2"/>
        <v>12369</v>
      </c>
      <c r="M14" s="228">
        <f t="shared" si="2"/>
        <v>0</v>
      </c>
    </row>
    <row r="15" spans="1:13" s="94" customFormat="1" x14ac:dyDescent="0.2">
      <c r="A15" s="179">
        <v>1</v>
      </c>
      <c r="B15" s="179">
        <v>10</v>
      </c>
      <c r="C15" s="179">
        <v>1032</v>
      </c>
      <c r="D15" s="213" t="s">
        <v>141</v>
      </c>
      <c r="E15" s="227">
        <f t="shared" si="0"/>
        <v>260</v>
      </c>
      <c r="F15" s="180">
        <v>260</v>
      </c>
      <c r="G15" s="228"/>
      <c r="H15" s="227"/>
      <c r="I15" s="180"/>
      <c r="J15" s="228"/>
      <c r="K15" s="227">
        <f t="shared" si="1"/>
        <v>260</v>
      </c>
      <c r="L15" s="180">
        <f t="shared" si="2"/>
        <v>260</v>
      </c>
      <c r="M15" s="228">
        <f t="shared" si="2"/>
        <v>0</v>
      </c>
    </row>
    <row r="16" spans="1:13" s="94" customFormat="1" x14ac:dyDescent="0.2">
      <c r="A16" s="195" t="s">
        <v>395</v>
      </c>
      <c r="B16" s="181"/>
      <c r="C16" s="181"/>
      <c r="D16" s="215"/>
      <c r="E16" s="233">
        <f>SUM(E11:E15)</f>
        <v>29605</v>
      </c>
      <c r="F16" s="182">
        <f>SUM(F11:F15)</f>
        <v>13310</v>
      </c>
      <c r="G16" s="234">
        <f>SUM(G11:G15)</f>
        <v>16295</v>
      </c>
      <c r="H16" s="233"/>
      <c r="I16" s="182"/>
      <c r="J16" s="234"/>
      <c r="K16" s="233">
        <f>SUM(K11:K15)</f>
        <v>29605</v>
      </c>
      <c r="L16" s="182">
        <f>SUM(L11:L15)</f>
        <v>13310</v>
      </c>
      <c r="M16" s="234">
        <f>SUM(M11:M15)</f>
        <v>16295</v>
      </c>
    </row>
    <row r="17" spans="1:13" s="94" customFormat="1" ht="13.5" thickBot="1" x14ac:dyDescent="0.25">
      <c r="A17" s="204"/>
      <c r="B17" s="95"/>
      <c r="C17" s="95"/>
      <c r="D17" s="216"/>
      <c r="E17" s="235"/>
      <c r="F17" s="207"/>
      <c r="G17" s="236"/>
      <c r="H17" s="235"/>
      <c r="I17" s="207"/>
      <c r="J17" s="236"/>
      <c r="K17" s="235"/>
      <c r="L17" s="207"/>
      <c r="M17" s="236"/>
    </row>
    <row r="18" spans="1:13" s="94" customFormat="1" ht="14.25" thickTop="1" thickBot="1" x14ac:dyDescent="0.25">
      <c r="A18" s="203" t="s">
        <v>396</v>
      </c>
      <c r="B18" s="185"/>
      <c r="C18" s="185"/>
      <c r="D18" s="217"/>
      <c r="E18" s="229">
        <f>+E16</f>
        <v>29605</v>
      </c>
      <c r="F18" s="187">
        <f>+F16</f>
        <v>13310</v>
      </c>
      <c r="G18" s="230">
        <f>+G16</f>
        <v>16295</v>
      </c>
      <c r="H18" s="229"/>
      <c r="I18" s="187"/>
      <c r="J18" s="230"/>
      <c r="K18" s="229">
        <f>+K16</f>
        <v>29605</v>
      </c>
      <c r="L18" s="187">
        <f>+L16</f>
        <v>13310</v>
      </c>
      <c r="M18" s="230">
        <f>+M16</f>
        <v>16295</v>
      </c>
    </row>
    <row r="19" spans="1:13" s="94" customFormat="1" ht="13.5" thickTop="1" x14ac:dyDescent="0.2">
      <c r="A19" s="218"/>
      <c r="B19" s="103"/>
      <c r="C19" s="103"/>
      <c r="D19" s="219"/>
      <c r="E19" s="227"/>
      <c r="F19" s="180"/>
      <c r="G19" s="228"/>
      <c r="H19" s="227"/>
      <c r="I19" s="180"/>
      <c r="J19" s="228"/>
      <c r="K19" s="227"/>
      <c r="L19" s="180"/>
      <c r="M19" s="228"/>
    </row>
    <row r="20" spans="1:13" s="94" customFormat="1" x14ac:dyDescent="0.2">
      <c r="A20" s="103">
        <v>2</v>
      </c>
      <c r="B20" s="103">
        <v>21</v>
      </c>
      <c r="C20" s="103">
        <v>2141</v>
      </c>
      <c r="D20" s="219" t="s">
        <v>142</v>
      </c>
      <c r="E20" s="227">
        <f t="shared" si="0"/>
        <v>470</v>
      </c>
      <c r="F20" s="180"/>
      <c r="G20" s="228">
        <v>470</v>
      </c>
      <c r="H20" s="227"/>
      <c r="I20" s="180"/>
      <c r="J20" s="228"/>
      <c r="K20" s="227">
        <f t="shared" ref="K20:K22" si="3">+L20+M20</f>
        <v>470</v>
      </c>
      <c r="L20" s="180">
        <f t="shared" ref="L20" si="4">+F20+I20</f>
        <v>0</v>
      </c>
      <c r="M20" s="228">
        <f>+G20+J20</f>
        <v>470</v>
      </c>
    </row>
    <row r="21" spans="1:13" s="94" customFormat="1" x14ac:dyDescent="0.2">
      <c r="A21" s="103">
        <v>2</v>
      </c>
      <c r="B21" s="103">
        <v>21</v>
      </c>
      <c r="C21" s="103">
        <v>2144</v>
      </c>
      <c r="D21" s="219" t="s">
        <v>144</v>
      </c>
      <c r="E21" s="237">
        <f>+F21+G21</f>
        <v>90</v>
      </c>
      <c r="F21" s="180"/>
      <c r="G21" s="228">
        <v>90</v>
      </c>
      <c r="H21" s="227"/>
      <c r="I21" s="180"/>
      <c r="J21" s="228"/>
      <c r="K21" s="237">
        <f t="shared" si="3"/>
        <v>90</v>
      </c>
      <c r="L21" s="180">
        <f t="shared" ref="L21:L22" si="5">+F21+I21</f>
        <v>0</v>
      </c>
      <c r="M21" s="228">
        <f t="shared" ref="M21" si="6">+G21+J21</f>
        <v>90</v>
      </c>
    </row>
    <row r="22" spans="1:13" s="94" customFormat="1" x14ac:dyDescent="0.2">
      <c r="A22" s="103">
        <v>2</v>
      </c>
      <c r="B22" s="103">
        <v>21</v>
      </c>
      <c r="C22" s="103">
        <v>2169</v>
      </c>
      <c r="D22" s="220" t="s">
        <v>145</v>
      </c>
      <c r="E22" s="227">
        <f t="shared" si="0"/>
        <v>165</v>
      </c>
      <c r="F22" s="180"/>
      <c r="G22" s="228">
        <v>165</v>
      </c>
      <c r="H22" s="227"/>
      <c r="I22" s="180"/>
      <c r="J22" s="228"/>
      <c r="K22" s="227">
        <f t="shared" si="3"/>
        <v>165</v>
      </c>
      <c r="L22" s="180">
        <f t="shared" si="5"/>
        <v>0</v>
      </c>
      <c r="M22" s="228">
        <f>+G22+J22</f>
        <v>165</v>
      </c>
    </row>
    <row r="23" spans="1:13" s="94" customFormat="1" x14ac:dyDescent="0.2">
      <c r="A23" s="195" t="s">
        <v>146</v>
      </c>
      <c r="B23" s="181"/>
      <c r="C23" s="181"/>
      <c r="D23" s="221"/>
      <c r="E23" s="238">
        <f>SUM(E20:E22)</f>
        <v>725</v>
      </c>
      <c r="F23" s="184">
        <f>SUM(F20:F22)</f>
        <v>0</v>
      </c>
      <c r="G23" s="239">
        <f>SUM(G20:G22)</f>
        <v>725</v>
      </c>
      <c r="H23" s="238"/>
      <c r="I23" s="184"/>
      <c r="J23" s="239"/>
      <c r="K23" s="238">
        <f>SUM(K20:K22)</f>
        <v>725</v>
      </c>
      <c r="L23" s="184">
        <f>SUM(L20:L22)</f>
        <v>0</v>
      </c>
      <c r="M23" s="239">
        <f>SUM(M20:M22)</f>
        <v>725</v>
      </c>
    </row>
    <row r="24" spans="1:13" s="94" customFormat="1" x14ac:dyDescent="0.2">
      <c r="A24" s="197"/>
      <c r="B24" s="179"/>
      <c r="C24" s="179"/>
      <c r="D24" s="222"/>
      <c r="E24" s="237"/>
      <c r="F24" s="183"/>
      <c r="G24" s="232"/>
      <c r="H24" s="237"/>
      <c r="I24" s="183"/>
      <c r="J24" s="232"/>
      <c r="K24" s="237"/>
      <c r="L24" s="183"/>
      <c r="M24" s="232"/>
    </row>
    <row r="25" spans="1:13" s="94" customFormat="1" x14ac:dyDescent="0.2">
      <c r="A25" s="179">
        <v>2</v>
      </c>
      <c r="B25" s="179">
        <v>22</v>
      </c>
      <c r="C25" s="179">
        <v>2212</v>
      </c>
      <c r="D25" s="213" t="s">
        <v>147</v>
      </c>
      <c r="E25" s="237">
        <f t="shared" si="0"/>
        <v>1220</v>
      </c>
      <c r="F25" s="180">
        <v>1200</v>
      </c>
      <c r="G25" s="228">
        <v>20</v>
      </c>
      <c r="H25" s="237"/>
      <c r="I25" s="180"/>
      <c r="J25" s="228"/>
      <c r="K25" s="237">
        <f>+L25+M25</f>
        <v>1220</v>
      </c>
      <c r="L25" s="180">
        <f t="shared" ref="L25:M29" si="7">+F25+I25</f>
        <v>1200</v>
      </c>
      <c r="M25" s="228">
        <f t="shared" si="7"/>
        <v>20</v>
      </c>
    </row>
    <row r="26" spans="1:13" s="94" customFormat="1" x14ac:dyDescent="0.2">
      <c r="A26" s="179">
        <v>2</v>
      </c>
      <c r="B26" s="179">
        <v>22</v>
      </c>
      <c r="C26" s="179">
        <v>2219</v>
      </c>
      <c r="D26" s="213" t="s">
        <v>148</v>
      </c>
      <c r="E26" s="237">
        <f t="shared" ref="E26:E28" si="8">+F26+G26</f>
        <v>299967</v>
      </c>
      <c r="F26" s="180">
        <v>299967</v>
      </c>
      <c r="G26" s="228"/>
      <c r="H26" s="237"/>
      <c r="I26" s="180"/>
      <c r="J26" s="228"/>
      <c r="K26" s="237">
        <f>+L26+M26</f>
        <v>299967</v>
      </c>
      <c r="L26" s="180">
        <f t="shared" ref="L26" si="9">+F26+I26</f>
        <v>299967</v>
      </c>
      <c r="M26" s="228">
        <f t="shared" ref="M26" si="10">+G26+J26</f>
        <v>0</v>
      </c>
    </row>
    <row r="27" spans="1:13" s="94" customFormat="1" x14ac:dyDescent="0.2">
      <c r="A27" s="179">
        <v>2</v>
      </c>
      <c r="B27" s="179">
        <v>22</v>
      </c>
      <c r="C27" s="179">
        <v>2229</v>
      </c>
      <c r="D27" s="213" t="s">
        <v>404</v>
      </c>
      <c r="E27" s="237">
        <f t="shared" ref="E27" si="11">+F27+G27</f>
        <v>6500</v>
      </c>
      <c r="F27" s="180">
        <v>6500</v>
      </c>
      <c r="G27" s="228"/>
      <c r="H27" s="237"/>
      <c r="I27" s="180"/>
      <c r="J27" s="228"/>
      <c r="K27" s="237"/>
      <c r="L27" s="180"/>
      <c r="M27" s="228"/>
    </row>
    <row r="28" spans="1:13" s="94" customFormat="1" x14ac:dyDescent="0.2">
      <c r="A28" s="179">
        <v>2</v>
      </c>
      <c r="B28" s="179">
        <v>22</v>
      </c>
      <c r="C28" s="179">
        <v>2271</v>
      </c>
      <c r="D28" s="213" t="s">
        <v>217</v>
      </c>
      <c r="E28" s="237">
        <f t="shared" si="8"/>
        <v>108</v>
      </c>
      <c r="F28" s="180">
        <v>108</v>
      </c>
      <c r="G28" s="228"/>
      <c r="H28" s="237"/>
      <c r="I28" s="180"/>
      <c r="J28" s="228"/>
      <c r="K28" s="237"/>
      <c r="L28" s="180"/>
      <c r="M28" s="228"/>
    </row>
    <row r="29" spans="1:13" s="94" customFormat="1" x14ac:dyDescent="0.2">
      <c r="A29" s="179">
        <v>2</v>
      </c>
      <c r="B29" s="179">
        <v>22</v>
      </c>
      <c r="C29" s="179">
        <v>2299</v>
      </c>
      <c r="D29" s="213" t="s">
        <v>218</v>
      </c>
      <c r="E29" s="237">
        <f t="shared" si="0"/>
        <v>47</v>
      </c>
      <c r="F29" s="180">
        <v>7</v>
      </c>
      <c r="G29" s="228">
        <v>40</v>
      </c>
      <c r="H29" s="237"/>
      <c r="I29" s="180"/>
      <c r="J29" s="228"/>
      <c r="K29" s="237">
        <f>+L29+M29</f>
        <v>47</v>
      </c>
      <c r="L29" s="180">
        <f t="shared" si="7"/>
        <v>7</v>
      </c>
      <c r="M29" s="228">
        <f t="shared" si="7"/>
        <v>40</v>
      </c>
    </row>
    <row r="30" spans="1:13" s="94" customFormat="1" x14ac:dyDescent="0.2">
      <c r="A30" s="195" t="s">
        <v>149</v>
      </c>
      <c r="B30" s="181"/>
      <c r="C30" s="181"/>
      <c r="D30" s="215"/>
      <c r="E30" s="238">
        <f>SUM(E25:E29)</f>
        <v>307842</v>
      </c>
      <c r="F30" s="184">
        <f>SUM(F25:F29)</f>
        <v>307782</v>
      </c>
      <c r="G30" s="239">
        <f>SUM(G25:G29)</f>
        <v>60</v>
      </c>
      <c r="H30" s="238"/>
      <c r="I30" s="184"/>
      <c r="J30" s="239"/>
      <c r="K30" s="238">
        <f>SUM(K25:K29)</f>
        <v>301234</v>
      </c>
      <c r="L30" s="184">
        <f>SUM(L25:L29)</f>
        <v>301174</v>
      </c>
      <c r="M30" s="239">
        <f>SUM(M25:M29)</f>
        <v>60</v>
      </c>
    </row>
    <row r="31" spans="1:13" s="94" customFormat="1" x14ac:dyDescent="0.2">
      <c r="A31" s="197"/>
      <c r="B31" s="179"/>
      <c r="C31" s="179"/>
      <c r="D31" s="213"/>
      <c r="E31" s="237"/>
      <c r="F31" s="180"/>
      <c r="G31" s="228"/>
      <c r="H31" s="237"/>
      <c r="I31" s="180"/>
      <c r="J31" s="228"/>
      <c r="K31" s="237"/>
      <c r="L31" s="180"/>
      <c r="M31" s="228">
        <f>+G31+J31</f>
        <v>0</v>
      </c>
    </row>
    <row r="32" spans="1:13" s="94" customFormat="1" x14ac:dyDescent="0.2">
      <c r="A32" s="179">
        <v>2</v>
      </c>
      <c r="B32" s="179">
        <v>23</v>
      </c>
      <c r="C32" s="179">
        <v>2329</v>
      </c>
      <c r="D32" s="213" t="s">
        <v>221</v>
      </c>
      <c r="E32" s="237">
        <f t="shared" ref="E32" si="12">+F32+G32</f>
        <v>1000</v>
      </c>
      <c r="F32" s="180">
        <v>1000</v>
      </c>
      <c r="G32" s="228"/>
      <c r="H32" s="237">
        <f>+I32+J32</f>
        <v>0</v>
      </c>
      <c r="I32" s="180"/>
      <c r="J32" s="228"/>
      <c r="K32" s="227">
        <f>+L32+M32</f>
        <v>1000</v>
      </c>
      <c r="L32" s="180">
        <f>+F32+I32</f>
        <v>1000</v>
      </c>
      <c r="M32" s="228">
        <f t="shared" ref="M32" si="13">+G32+J32</f>
        <v>0</v>
      </c>
    </row>
    <row r="33" spans="1:13" s="94" customFormat="1" x14ac:dyDescent="0.2">
      <c r="A33" s="179">
        <v>2</v>
      </c>
      <c r="B33" s="179">
        <v>23</v>
      </c>
      <c r="C33" s="179">
        <v>2399</v>
      </c>
      <c r="D33" s="213" t="s">
        <v>150</v>
      </c>
      <c r="E33" s="237">
        <f t="shared" si="0"/>
        <v>150</v>
      </c>
      <c r="F33" s="180">
        <v>150</v>
      </c>
      <c r="G33" s="228"/>
      <c r="H33" s="237">
        <f>+I33+J33</f>
        <v>0</v>
      </c>
      <c r="I33" s="180"/>
      <c r="J33" s="228"/>
      <c r="K33" s="227">
        <f>+L33+M33</f>
        <v>150</v>
      </c>
      <c r="L33" s="180">
        <f>+F33+I33</f>
        <v>150</v>
      </c>
      <c r="M33" s="228">
        <f t="shared" ref="M33" si="14">+G33+J33</f>
        <v>0</v>
      </c>
    </row>
    <row r="34" spans="1:13" s="94" customFormat="1" x14ac:dyDescent="0.2">
      <c r="A34" s="195" t="s">
        <v>151</v>
      </c>
      <c r="B34" s="181"/>
      <c r="C34" s="181"/>
      <c r="D34" s="215"/>
      <c r="E34" s="238">
        <f>SUM(E32:E33)</f>
        <v>1150</v>
      </c>
      <c r="F34" s="184">
        <f t="shared" ref="F34:J34" si="15">SUM(F32:F33)</f>
        <v>1150</v>
      </c>
      <c r="G34" s="239">
        <f t="shared" si="15"/>
        <v>0</v>
      </c>
      <c r="H34" s="238">
        <f t="shared" si="15"/>
        <v>0</v>
      </c>
      <c r="I34" s="184">
        <f t="shared" si="15"/>
        <v>0</v>
      </c>
      <c r="J34" s="239">
        <f t="shared" si="15"/>
        <v>0</v>
      </c>
      <c r="K34" s="238">
        <f t="shared" ref="K34:M34" si="16">SUM(K33:K33)</f>
        <v>150</v>
      </c>
      <c r="L34" s="184">
        <f t="shared" si="16"/>
        <v>150</v>
      </c>
      <c r="M34" s="239">
        <f t="shared" si="16"/>
        <v>0</v>
      </c>
    </row>
    <row r="35" spans="1:13" s="94" customFormat="1" x14ac:dyDescent="0.2">
      <c r="A35" s="98"/>
      <c r="B35" s="97"/>
      <c r="C35" s="97"/>
      <c r="D35" s="223"/>
      <c r="E35" s="240"/>
      <c r="F35" s="208"/>
      <c r="G35" s="241"/>
      <c r="H35" s="240"/>
      <c r="I35" s="208"/>
      <c r="J35" s="241"/>
      <c r="K35" s="240"/>
      <c r="L35" s="208"/>
      <c r="M35" s="241"/>
    </row>
    <row r="36" spans="1:13" s="94" customFormat="1" x14ac:dyDescent="0.2">
      <c r="A36" s="179">
        <v>2</v>
      </c>
      <c r="B36" s="179">
        <v>24</v>
      </c>
      <c r="C36" s="179">
        <v>2411</v>
      </c>
      <c r="D36" s="374" t="s">
        <v>323</v>
      </c>
      <c r="E36" s="375">
        <f t="shared" ref="E36" si="17">+F36+G36</f>
        <v>660</v>
      </c>
      <c r="F36" s="376">
        <v>30</v>
      </c>
      <c r="G36" s="377">
        <v>630</v>
      </c>
      <c r="H36" s="375">
        <f>+I36+J36</f>
        <v>0</v>
      </c>
      <c r="I36" s="376"/>
      <c r="J36" s="377"/>
      <c r="K36" s="227">
        <f>+L36+M36</f>
        <v>660</v>
      </c>
      <c r="L36" s="180">
        <f>+F36+I36</f>
        <v>30</v>
      </c>
      <c r="M36" s="228">
        <f t="shared" ref="M36" si="18">+G36+J36</f>
        <v>630</v>
      </c>
    </row>
    <row r="37" spans="1:13" s="94" customFormat="1" x14ac:dyDescent="0.2">
      <c r="A37" s="97">
        <v>2</v>
      </c>
      <c r="B37" s="97">
        <v>24</v>
      </c>
      <c r="C37" s="97">
        <v>2419</v>
      </c>
      <c r="D37" s="223" t="s">
        <v>314</v>
      </c>
      <c r="E37" s="227">
        <f t="shared" si="0"/>
        <v>500</v>
      </c>
      <c r="F37" s="207"/>
      <c r="G37" s="236">
        <v>500</v>
      </c>
      <c r="H37" s="235"/>
      <c r="I37" s="207"/>
      <c r="J37" s="236"/>
      <c r="K37" s="227"/>
      <c r="L37" s="180"/>
      <c r="M37" s="228"/>
    </row>
    <row r="38" spans="1:13" s="94" customFormat="1" x14ac:dyDescent="0.2">
      <c r="A38" s="195" t="s">
        <v>322</v>
      </c>
      <c r="B38" s="181"/>
      <c r="C38" s="181"/>
      <c r="D38" s="389"/>
      <c r="E38" s="390">
        <f>SUM(E36:E37)</f>
        <v>1160</v>
      </c>
      <c r="F38" s="391">
        <f t="shared" ref="F38:J38" si="19">SUM(F36:F37)</f>
        <v>30</v>
      </c>
      <c r="G38" s="392">
        <f t="shared" si="19"/>
        <v>1130</v>
      </c>
      <c r="H38" s="390">
        <f t="shared" si="19"/>
        <v>0</v>
      </c>
      <c r="I38" s="391">
        <f t="shared" si="19"/>
        <v>0</v>
      </c>
      <c r="J38" s="392">
        <f t="shared" si="19"/>
        <v>0</v>
      </c>
      <c r="K38" s="238">
        <f t="shared" ref="K38:M38" si="20">SUM(K36:K36)</f>
        <v>660</v>
      </c>
      <c r="L38" s="184">
        <f t="shared" si="20"/>
        <v>30</v>
      </c>
      <c r="M38" s="239">
        <f t="shared" si="20"/>
        <v>630</v>
      </c>
    </row>
    <row r="39" spans="1:13" s="94" customFormat="1" ht="13.5" thickBot="1" x14ac:dyDescent="0.25">
      <c r="A39" s="98"/>
      <c r="B39" s="97"/>
      <c r="C39" s="97"/>
      <c r="D39" s="223"/>
      <c r="E39" s="240"/>
      <c r="F39" s="208"/>
      <c r="G39" s="241"/>
      <c r="H39" s="240"/>
      <c r="I39" s="208"/>
      <c r="J39" s="241"/>
      <c r="K39" s="240"/>
      <c r="L39" s="208"/>
      <c r="M39" s="241"/>
    </row>
    <row r="40" spans="1:13" s="94" customFormat="1" ht="14.25" thickTop="1" thickBot="1" x14ac:dyDescent="0.25">
      <c r="A40" s="203" t="s">
        <v>152</v>
      </c>
      <c r="B40" s="185"/>
      <c r="C40" s="185"/>
      <c r="D40" s="217"/>
      <c r="E40" s="229">
        <f>+E23+E30+E34+E38</f>
        <v>310877</v>
      </c>
      <c r="F40" s="187">
        <f t="shared" ref="F40:G40" si="21">+F23+F30+F34+F38</f>
        <v>308962</v>
      </c>
      <c r="G40" s="230">
        <f t="shared" si="21"/>
        <v>1915</v>
      </c>
      <c r="H40" s="229">
        <f t="shared" ref="H40:M40" si="22">+H23+H30+H34</f>
        <v>0</v>
      </c>
      <c r="I40" s="187">
        <f t="shared" si="22"/>
        <v>0</v>
      </c>
      <c r="J40" s="230">
        <f t="shared" si="22"/>
        <v>0</v>
      </c>
      <c r="K40" s="229">
        <f t="shared" si="22"/>
        <v>302109</v>
      </c>
      <c r="L40" s="187">
        <f t="shared" si="22"/>
        <v>301324</v>
      </c>
      <c r="M40" s="230">
        <f t="shared" si="22"/>
        <v>785</v>
      </c>
    </row>
    <row r="41" spans="1:13" s="94" customFormat="1" ht="13.5" thickTop="1" x14ac:dyDescent="0.2">
      <c r="A41" s="218"/>
      <c r="B41" s="103"/>
      <c r="C41" s="103"/>
      <c r="D41" s="219"/>
      <c r="E41" s="227"/>
      <c r="F41" s="180"/>
      <c r="G41" s="228"/>
      <c r="H41" s="227"/>
      <c r="I41" s="180"/>
      <c r="J41" s="228"/>
      <c r="K41" s="227"/>
      <c r="L41" s="180"/>
      <c r="M41" s="228"/>
    </row>
    <row r="42" spans="1:13" s="94" customFormat="1" x14ac:dyDescent="0.2">
      <c r="A42" s="103">
        <v>3</v>
      </c>
      <c r="B42" s="103">
        <v>31</v>
      </c>
      <c r="C42" s="103">
        <v>3111</v>
      </c>
      <c r="D42" s="219" t="s">
        <v>153</v>
      </c>
      <c r="E42" s="227">
        <f t="shared" si="0"/>
        <v>4604</v>
      </c>
      <c r="F42" s="180"/>
      <c r="G42" s="228">
        <v>4604</v>
      </c>
      <c r="H42" s="227"/>
      <c r="I42" s="180"/>
      <c r="J42" s="228"/>
      <c r="K42" s="227">
        <f t="shared" ref="K42:K45" si="23">+L42+M42</f>
        <v>4604</v>
      </c>
      <c r="L42" s="180">
        <f t="shared" ref="L42" si="24">+F42+I42</f>
        <v>0</v>
      </c>
      <c r="M42" s="228">
        <f t="shared" ref="M42:M45" si="25">+G42+J42</f>
        <v>4604</v>
      </c>
    </row>
    <row r="43" spans="1:13" s="94" customFormat="1" x14ac:dyDescent="0.2">
      <c r="A43" s="179">
        <v>3</v>
      </c>
      <c r="B43" s="179">
        <v>31</v>
      </c>
      <c r="C43" s="179">
        <v>3113</v>
      </c>
      <c r="D43" s="213" t="s">
        <v>154</v>
      </c>
      <c r="E43" s="227">
        <f t="shared" si="0"/>
        <v>21520</v>
      </c>
      <c r="F43" s="180">
        <v>5505</v>
      </c>
      <c r="G43" s="228">
        <v>16015</v>
      </c>
      <c r="H43" s="237"/>
      <c r="I43" s="180"/>
      <c r="J43" s="228"/>
      <c r="K43" s="237">
        <f t="shared" si="23"/>
        <v>21520</v>
      </c>
      <c r="L43" s="180">
        <f>+F43+I43</f>
        <v>5505</v>
      </c>
      <c r="M43" s="228">
        <f t="shared" si="25"/>
        <v>16015</v>
      </c>
    </row>
    <row r="44" spans="1:13" s="94" customFormat="1" x14ac:dyDescent="0.2">
      <c r="A44" s="179">
        <v>3</v>
      </c>
      <c r="B44" s="179">
        <v>31</v>
      </c>
      <c r="C44" s="179">
        <v>3122</v>
      </c>
      <c r="D44" s="213" t="s">
        <v>388</v>
      </c>
      <c r="E44" s="237">
        <f>+F44+G44</f>
        <v>1588</v>
      </c>
      <c r="F44" s="180">
        <v>1588</v>
      </c>
      <c r="G44" s="228"/>
      <c r="H44" s="237"/>
      <c r="I44" s="180"/>
      <c r="J44" s="228"/>
      <c r="K44" s="237">
        <f t="shared" ref="K44" si="26">+L44+M44</f>
        <v>1588</v>
      </c>
      <c r="L44" s="180">
        <f t="shared" ref="L44" si="27">+F44+I44</f>
        <v>1588</v>
      </c>
      <c r="M44" s="228">
        <f t="shared" ref="M44" si="28">+G44+J44</f>
        <v>0</v>
      </c>
    </row>
    <row r="45" spans="1:13" s="94" customFormat="1" x14ac:dyDescent="0.2">
      <c r="A45" s="179">
        <v>3</v>
      </c>
      <c r="B45" s="179">
        <v>31</v>
      </c>
      <c r="C45" s="179">
        <v>3146</v>
      </c>
      <c r="D45" s="213" t="s">
        <v>405</v>
      </c>
      <c r="E45" s="227">
        <f t="shared" ref="E45" si="29">+F45+G45</f>
        <v>11</v>
      </c>
      <c r="F45" s="180"/>
      <c r="G45" s="228">
        <v>11</v>
      </c>
      <c r="H45" s="237"/>
      <c r="I45" s="180"/>
      <c r="J45" s="228"/>
      <c r="K45" s="237">
        <f t="shared" si="23"/>
        <v>11</v>
      </c>
      <c r="L45" s="180">
        <f t="shared" ref="L45" si="30">+F45+I45</f>
        <v>0</v>
      </c>
      <c r="M45" s="228">
        <f t="shared" si="25"/>
        <v>11</v>
      </c>
    </row>
    <row r="46" spans="1:13" s="94" customFormat="1" x14ac:dyDescent="0.2">
      <c r="A46" s="195" t="s">
        <v>155</v>
      </c>
      <c r="B46" s="181"/>
      <c r="C46" s="181"/>
      <c r="D46" s="215"/>
      <c r="E46" s="238">
        <f>SUM(E42:E45)</f>
        <v>27723</v>
      </c>
      <c r="F46" s="184">
        <f>SUM(F42:F45)</f>
        <v>7093</v>
      </c>
      <c r="G46" s="239">
        <f>SUM(G42:G45)</f>
        <v>20630</v>
      </c>
      <c r="H46" s="238"/>
      <c r="I46" s="184"/>
      <c r="J46" s="239"/>
      <c r="K46" s="238">
        <f>SUM(K42:K45)</f>
        <v>27723</v>
      </c>
      <c r="L46" s="184">
        <f>SUM(L42:L45)</f>
        <v>7093</v>
      </c>
      <c r="M46" s="239">
        <f>SUM(M42:M45)</f>
        <v>20630</v>
      </c>
    </row>
    <row r="47" spans="1:13" s="94" customFormat="1" x14ac:dyDescent="0.2">
      <c r="A47" s="197"/>
      <c r="B47" s="179"/>
      <c r="C47" s="179"/>
      <c r="D47" s="213"/>
      <c r="E47" s="237"/>
      <c r="F47" s="180"/>
      <c r="G47" s="228"/>
      <c r="H47" s="237"/>
      <c r="I47" s="180"/>
      <c r="J47" s="228"/>
      <c r="K47" s="237"/>
      <c r="L47" s="180"/>
      <c r="M47" s="228"/>
    </row>
    <row r="48" spans="1:13" s="94" customFormat="1" x14ac:dyDescent="0.2">
      <c r="A48" s="179">
        <v>3</v>
      </c>
      <c r="B48" s="179">
        <v>33</v>
      </c>
      <c r="C48" s="179">
        <v>3311</v>
      </c>
      <c r="D48" s="213" t="s">
        <v>156</v>
      </c>
      <c r="E48" s="237">
        <f t="shared" si="0"/>
        <v>78347</v>
      </c>
      <c r="F48" s="180">
        <v>78347</v>
      </c>
      <c r="G48" s="228"/>
      <c r="H48" s="237"/>
      <c r="I48" s="180"/>
      <c r="J48" s="228"/>
      <c r="K48" s="237">
        <f t="shared" ref="K48:K58" si="31">+L48+M48</f>
        <v>78347</v>
      </c>
      <c r="L48" s="180">
        <f t="shared" ref="L48:M58" si="32">+F48+I48</f>
        <v>78347</v>
      </c>
      <c r="M48" s="228">
        <f t="shared" si="32"/>
        <v>0</v>
      </c>
    </row>
    <row r="49" spans="1:13" s="94" customFormat="1" x14ac:dyDescent="0.2">
      <c r="A49" s="179">
        <v>3</v>
      </c>
      <c r="B49" s="179">
        <v>33</v>
      </c>
      <c r="C49" s="179">
        <v>3313</v>
      </c>
      <c r="D49" s="213" t="s">
        <v>233</v>
      </c>
      <c r="E49" s="237">
        <f t="shared" si="0"/>
        <v>320</v>
      </c>
      <c r="F49" s="180"/>
      <c r="G49" s="228">
        <v>320</v>
      </c>
      <c r="H49" s="237"/>
      <c r="I49" s="180"/>
      <c r="J49" s="228"/>
      <c r="K49" s="237">
        <f>+L49+M49</f>
        <v>320</v>
      </c>
      <c r="L49" s="180">
        <f t="shared" si="32"/>
        <v>0</v>
      </c>
      <c r="M49" s="228">
        <f t="shared" si="32"/>
        <v>320</v>
      </c>
    </row>
    <row r="50" spans="1:13" s="94" customFormat="1" x14ac:dyDescent="0.2">
      <c r="A50" s="179">
        <v>3</v>
      </c>
      <c r="B50" s="179">
        <v>33</v>
      </c>
      <c r="C50" s="179">
        <v>3314</v>
      </c>
      <c r="D50" s="213" t="s">
        <v>158</v>
      </c>
      <c r="E50" s="237">
        <f t="shared" si="0"/>
        <v>546</v>
      </c>
      <c r="F50" s="180">
        <v>546</v>
      </c>
      <c r="G50" s="228"/>
      <c r="H50" s="237"/>
      <c r="I50" s="180"/>
      <c r="J50" s="228"/>
      <c r="K50" s="237">
        <f t="shared" si="31"/>
        <v>546</v>
      </c>
      <c r="L50" s="180">
        <f t="shared" si="32"/>
        <v>546</v>
      </c>
      <c r="M50" s="228">
        <f t="shared" si="32"/>
        <v>0</v>
      </c>
    </row>
    <row r="51" spans="1:13" s="94" customFormat="1" x14ac:dyDescent="0.2">
      <c r="A51" s="179">
        <v>3</v>
      </c>
      <c r="B51" s="179">
        <v>33</v>
      </c>
      <c r="C51" s="179">
        <v>3315</v>
      </c>
      <c r="D51" s="213" t="s">
        <v>159</v>
      </c>
      <c r="E51" s="237">
        <f t="shared" si="0"/>
        <v>2800</v>
      </c>
      <c r="F51" s="180">
        <v>2800</v>
      </c>
      <c r="G51" s="228"/>
      <c r="H51" s="237"/>
      <c r="I51" s="180"/>
      <c r="J51" s="228"/>
      <c r="K51" s="237">
        <f t="shared" si="31"/>
        <v>2800</v>
      </c>
      <c r="L51" s="180">
        <f t="shared" si="32"/>
        <v>2800</v>
      </c>
      <c r="M51" s="228">
        <f t="shared" si="32"/>
        <v>0</v>
      </c>
    </row>
    <row r="52" spans="1:13" s="94" customFormat="1" x14ac:dyDescent="0.2">
      <c r="A52" s="179">
        <v>3</v>
      </c>
      <c r="B52" s="179">
        <v>33</v>
      </c>
      <c r="C52" s="179">
        <v>3317</v>
      </c>
      <c r="D52" s="213" t="s">
        <v>160</v>
      </c>
      <c r="E52" s="237">
        <f t="shared" si="0"/>
        <v>2320</v>
      </c>
      <c r="F52" s="180">
        <v>2320</v>
      </c>
      <c r="G52" s="228"/>
      <c r="H52" s="237"/>
      <c r="I52" s="180"/>
      <c r="J52" s="228"/>
      <c r="K52" s="237">
        <f t="shared" si="31"/>
        <v>2320</v>
      </c>
      <c r="L52" s="180">
        <f t="shared" si="32"/>
        <v>2320</v>
      </c>
      <c r="M52" s="228">
        <f t="shared" si="32"/>
        <v>0</v>
      </c>
    </row>
    <row r="53" spans="1:13" s="94" customFormat="1" x14ac:dyDescent="0.2">
      <c r="A53" s="179">
        <v>3</v>
      </c>
      <c r="B53" s="179">
        <v>33</v>
      </c>
      <c r="C53" s="179">
        <v>3319</v>
      </c>
      <c r="D53" s="213" t="s">
        <v>161</v>
      </c>
      <c r="E53" s="237">
        <f t="shared" si="0"/>
        <v>30915</v>
      </c>
      <c r="F53" s="180">
        <v>7262</v>
      </c>
      <c r="G53" s="228">
        <v>23653</v>
      </c>
      <c r="H53" s="237">
        <f>+I53+J53</f>
        <v>0</v>
      </c>
      <c r="I53" s="180"/>
      <c r="J53" s="228"/>
      <c r="K53" s="237">
        <f t="shared" si="31"/>
        <v>30915</v>
      </c>
      <c r="L53" s="180">
        <f t="shared" si="32"/>
        <v>7262</v>
      </c>
      <c r="M53" s="228">
        <f t="shared" si="32"/>
        <v>23653</v>
      </c>
    </row>
    <row r="54" spans="1:13" s="94" customFormat="1" x14ac:dyDescent="0.2">
      <c r="A54" s="179">
        <v>3</v>
      </c>
      <c r="B54" s="179">
        <v>33</v>
      </c>
      <c r="C54" s="179">
        <v>3322</v>
      </c>
      <c r="D54" s="213" t="s">
        <v>162</v>
      </c>
      <c r="E54" s="237">
        <f t="shared" si="0"/>
        <v>122</v>
      </c>
      <c r="F54" s="180">
        <v>122</v>
      </c>
      <c r="G54" s="228"/>
      <c r="H54" s="237"/>
      <c r="I54" s="180"/>
      <c r="J54" s="228"/>
      <c r="K54" s="237">
        <f t="shared" si="31"/>
        <v>122</v>
      </c>
      <c r="L54" s="180">
        <f t="shared" si="32"/>
        <v>122</v>
      </c>
      <c r="M54" s="228">
        <f t="shared" si="32"/>
        <v>0</v>
      </c>
    </row>
    <row r="55" spans="1:13" s="94" customFormat="1" x14ac:dyDescent="0.2">
      <c r="A55" s="179">
        <v>3</v>
      </c>
      <c r="B55" s="179">
        <v>33</v>
      </c>
      <c r="C55" s="179">
        <v>3326</v>
      </c>
      <c r="D55" s="213" t="s">
        <v>412</v>
      </c>
      <c r="E55" s="237">
        <f t="shared" si="0"/>
        <v>200</v>
      </c>
      <c r="F55" s="180"/>
      <c r="G55" s="228">
        <v>200</v>
      </c>
      <c r="H55" s="237"/>
      <c r="I55" s="180"/>
      <c r="J55" s="228"/>
      <c r="K55" s="237"/>
      <c r="L55" s="180"/>
      <c r="M55" s="228"/>
    </row>
    <row r="56" spans="1:13" s="94" customFormat="1" x14ac:dyDescent="0.2">
      <c r="A56" s="179">
        <v>3</v>
      </c>
      <c r="B56" s="179">
        <v>33</v>
      </c>
      <c r="C56" s="179">
        <v>3349</v>
      </c>
      <c r="D56" s="222" t="s">
        <v>163</v>
      </c>
      <c r="E56" s="237">
        <f t="shared" si="0"/>
        <v>1216</v>
      </c>
      <c r="F56" s="180"/>
      <c r="G56" s="228">
        <v>1216</v>
      </c>
      <c r="H56" s="237"/>
      <c r="I56" s="180"/>
      <c r="J56" s="228"/>
      <c r="K56" s="237">
        <f t="shared" si="31"/>
        <v>1216</v>
      </c>
      <c r="L56" s="180">
        <f t="shared" si="32"/>
        <v>0</v>
      </c>
      <c r="M56" s="228">
        <f t="shared" si="32"/>
        <v>1216</v>
      </c>
    </row>
    <row r="57" spans="1:13" s="94" customFormat="1" x14ac:dyDescent="0.2">
      <c r="A57" s="179">
        <v>3</v>
      </c>
      <c r="B57" s="179">
        <v>33</v>
      </c>
      <c r="C57" s="179">
        <v>3392</v>
      </c>
      <c r="D57" s="222" t="s">
        <v>164</v>
      </c>
      <c r="E57" s="237">
        <f t="shared" si="0"/>
        <v>3593</v>
      </c>
      <c r="F57" s="180"/>
      <c r="G57" s="228">
        <v>3593</v>
      </c>
      <c r="H57" s="237"/>
      <c r="I57" s="180"/>
      <c r="J57" s="228"/>
      <c r="K57" s="237">
        <f t="shared" si="31"/>
        <v>3593</v>
      </c>
      <c r="L57" s="180">
        <f t="shared" si="32"/>
        <v>0</v>
      </c>
      <c r="M57" s="228">
        <f t="shared" si="32"/>
        <v>3593</v>
      </c>
    </row>
    <row r="58" spans="1:13" s="94" customFormat="1" x14ac:dyDescent="0.2">
      <c r="A58" s="179">
        <v>3</v>
      </c>
      <c r="B58" s="179">
        <v>33</v>
      </c>
      <c r="C58" s="179">
        <v>3399</v>
      </c>
      <c r="D58" s="222" t="s">
        <v>165</v>
      </c>
      <c r="E58" s="237">
        <f t="shared" si="0"/>
        <v>3311</v>
      </c>
      <c r="F58" s="180"/>
      <c r="G58" s="228">
        <v>3311</v>
      </c>
      <c r="H58" s="237"/>
      <c r="I58" s="180"/>
      <c r="J58" s="228"/>
      <c r="K58" s="237">
        <f t="shared" si="31"/>
        <v>3311</v>
      </c>
      <c r="L58" s="180">
        <f t="shared" si="32"/>
        <v>0</v>
      </c>
      <c r="M58" s="228">
        <f t="shared" si="32"/>
        <v>3311</v>
      </c>
    </row>
    <row r="59" spans="1:13" s="94" customFormat="1" x14ac:dyDescent="0.2">
      <c r="A59" s="195" t="s">
        <v>166</v>
      </c>
      <c r="B59" s="181"/>
      <c r="C59" s="181"/>
      <c r="D59" s="221"/>
      <c r="E59" s="238">
        <f>SUM(E48:E58)</f>
        <v>123690</v>
      </c>
      <c r="F59" s="184">
        <f>SUM(F48:F58)</f>
        <v>91397</v>
      </c>
      <c r="G59" s="239">
        <f>SUM(G48:G58)</f>
        <v>32293</v>
      </c>
      <c r="H59" s="238">
        <f>+I59+J59</f>
        <v>0</v>
      </c>
      <c r="I59" s="184"/>
      <c r="J59" s="239">
        <f>SUM(J48:J58)</f>
        <v>0</v>
      </c>
      <c r="K59" s="238">
        <f>SUM(K48:K58)</f>
        <v>123490</v>
      </c>
      <c r="L59" s="184">
        <f>SUM(L48:L58)</f>
        <v>91397</v>
      </c>
      <c r="M59" s="239">
        <f>SUM(M48:M58)</f>
        <v>32093</v>
      </c>
    </row>
    <row r="60" spans="1:13" s="94" customFormat="1" x14ac:dyDescent="0.2">
      <c r="A60" s="197"/>
      <c r="B60" s="179"/>
      <c r="C60" s="179"/>
      <c r="D60" s="222"/>
      <c r="E60" s="237"/>
      <c r="F60" s="180"/>
      <c r="G60" s="228"/>
      <c r="H60" s="237"/>
      <c r="I60" s="180"/>
      <c r="J60" s="228"/>
      <c r="K60" s="237"/>
      <c r="L60" s="180"/>
      <c r="M60" s="228"/>
    </row>
    <row r="61" spans="1:13" s="94" customFormat="1" x14ac:dyDescent="0.2">
      <c r="A61" s="179">
        <v>3</v>
      </c>
      <c r="B61" s="179">
        <v>34</v>
      </c>
      <c r="C61" s="179">
        <v>3412</v>
      </c>
      <c r="D61" s="222" t="s">
        <v>406</v>
      </c>
      <c r="E61" s="237">
        <f t="shared" si="0"/>
        <v>8057</v>
      </c>
      <c r="F61" s="180">
        <v>1107</v>
      </c>
      <c r="G61" s="228">
        <v>6950</v>
      </c>
      <c r="H61" s="237">
        <f>+I61+J61</f>
        <v>0</v>
      </c>
      <c r="I61" s="180"/>
      <c r="J61" s="228"/>
      <c r="K61" s="227">
        <f>+L61+M61</f>
        <v>8057</v>
      </c>
      <c r="L61" s="180">
        <f t="shared" ref="L61:M62" si="33">+F61+I61</f>
        <v>1107</v>
      </c>
      <c r="M61" s="228">
        <f t="shared" si="33"/>
        <v>6950</v>
      </c>
    </row>
    <row r="62" spans="1:13" s="94" customFormat="1" x14ac:dyDescent="0.2">
      <c r="A62" s="179">
        <v>3</v>
      </c>
      <c r="B62" s="179">
        <v>34</v>
      </c>
      <c r="C62" s="179">
        <v>3429</v>
      </c>
      <c r="D62" s="222" t="s">
        <v>168</v>
      </c>
      <c r="E62" s="237">
        <f t="shared" ref="E62" si="34">+F62+G62</f>
        <v>607</v>
      </c>
      <c r="F62" s="180"/>
      <c r="G62" s="228">
        <v>607</v>
      </c>
      <c r="H62" s="237"/>
      <c r="I62" s="180"/>
      <c r="J62" s="228"/>
      <c r="K62" s="227">
        <f>+L62+M62</f>
        <v>607</v>
      </c>
      <c r="L62" s="180">
        <f t="shared" si="33"/>
        <v>0</v>
      </c>
      <c r="M62" s="228">
        <f t="shared" si="33"/>
        <v>607</v>
      </c>
    </row>
    <row r="63" spans="1:13" s="94" customFormat="1" x14ac:dyDescent="0.2">
      <c r="A63" s="195" t="s">
        <v>398</v>
      </c>
      <c r="B63" s="181"/>
      <c r="C63" s="181"/>
      <c r="D63" s="221"/>
      <c r="E63" s="238">
        <f t="shared" ref="E63:M63" si="35">SUM(E61:E62)</f>
        <v>8664</v>
      </c>
      <c r="F63" s="184">
        <f t="shared" si="35"/>
        <v>1107</v>
      </c>
      <c r="G63" s="239">
        <f t="shared" si="35"/>
        <v>7557</v>
      </c>
      <c r="H63" s="238">
        <f t="shared" si="35"/>
        <v>0</v>
      </c>
      <c r="I63" s="184">
        <f t="shared" si="35"/>
        <v>0</v>
      </c>
      <c r="J63" s="239">
        <f t="shared" si="35"/>
        <v>0</v>
      </c>
      <c r="K63" s="238">
        <f t="shared" si="35"/>
        <v>8664</v>
      </c>
      <c r="L63" s="184">
        <f t="shared" si="35"/>
        <v>1107</v>
      </c>
      <c r="M63" s="239">
        <f t="shared" si="35"/>
        <v>7557</v>
      </c>
    </row>
    <row r="64" spans="1:13" s="94" customFormat="1" x14ac:dyDescent="0.2">
      <c r="A64" s="197"/>
      <c r="B64" s="179"/>
      <c r="C64" s="179"/>
      <c r="D64" s="222"/>
      <c r="E64" s="237"/>
      <c r="F64" s="180"/>
      <c r="G64" s="228"/>
      <c r="H64" s="237"/>
      <c r="I64" s="180"/>
      <c r="J64" s="228"/>
      <c r="K64" s="237"/>
      <c r="L64" s="180"/>
      <c r="M64" s="228"/>
    </row>
    <row r="65" spans="1:13" s="94" customFormat="1" x14ac:dyDescent="0.2">
      <c r="A65" s="179">
        <v>3</v>
      </c>
      <c r="B65" s="179">
        <v>35</v>
      </c>
      <c r="C65" s="179">
        <v>3511</v>
      </c>
      <c r="D65" s="213" t="s">
        <v>169</v>
      </c>
      <c r="E65" s="237">
        <f t="shared" si="0"/>
        <v>13147</v>
      </c>
      <c r="F65" s="180">
        <v>2000</v>
      </c>
      <c r="G65" s="228">
        <v>11147</v>
      </c>
      <c r="H65" s="237"/>
      <c r="I65" s="180"/>
      <c r="J65" s="228"/>
      <c r="K65" s="237">
        <f>+L65+M65</f>
        <v>13147</v>
      </c>
      <c r="L65" s="180">
        <f t="shared" ref="L65:M66" si="36">+F65+I65</f>
        <v>2000</v>
      </c>
      <c r="M65" s="228">
        <f t="shared" si="36"/>
        <v>11147</v>
      </c>
    </row>
    <row r="66" spans="1:13" s="94" customFormat="1" x14ac:dyDescent="0.2">
      <c r="A66" s="179">
        <v>3</v>
      </c>
      <c r="B66" s="179">
        <v>35</v>
      </c>
      <c r="C66" s="179">
        <v>3529</v>
      </c>
      <c r="D66" s="213" t="s">
        <v>170</v>
      </c>
      <c r="E66" s="237">
        <f t="shared" si="0"/>
        <v>2111</v>
      </c>
      <c r="F66" s="180">
        <v>2111</v>
      </c>
      <c r="G66" s="228"/>
      <c r="H66" s="237"/>
      <c r="I66" s="180"/>
      <c r="J66" s="228"/>
      <c r="K66" s="237">
        <f>+L66+M66</f>
        <v>2111</v>
      </c>
      <c r="L66" s="180">
        <f t="shared" si="36"/>
        <v>2111</v>
      </c>
      <c r="M66" s="228">
        <f t="shared" si="36"/>
        <v>0</v>
      </c>
    </row>
    <row r="67" spans="1:13" s="94" customFormat="1" x14ac:dyDescent="0.2">
      <c r="A67" s="195" t="s">
        <v>171</v>
      </c>
      <c r="B67" s="181"/>
      <c r="C67" s="181"/>
      <c r="D67" s="215"/>
      <c r="E67" s="238">
        <f t="shared" ref="E67:M67" si="37">SUM(E65:E66)</f>
        <v>15258</v>
      </c>
      <c r="F67" s="182">
        <f t="shared" si="37"/>
        <v>4111</v>
      </c>
      <c r="G67" s="234">
        <f t="shared" si="37"/>
        <v>11147</v>
      </c>
      <c r="H67" s="238">
        <f t="shared" si="37"/>
        <v>0</v>
      </c>
      <c r="I67" s="182">
        <f t="shared" si="37"/>
        <v>0</v>
      </c>
      <c r="J67" s="234">
        <f t="shared" si="37"/>
        <v>0</v>
      </c>
      <c r="K67" s="238">
        <f t="shared" si="37"/>
        <v>15258</v>
      </c>
      <c r="L67" s="184">
        <f t="shared" si="37"/>
        <v>4111</v>
      </c>
      <c r="M67" s="234">
        <f t="shared" si="37"/>
        <v>11147</v>
      </c>
    </row>
    <row r="68" spans="1:13" s="94" customFormat="1" x14ac:dyDescent="0.2">
      <c r="A68" s="197"/>
      <c r="B68" s="179"/>
      <c r="C68" s="179"/>
      <c r="D68" s="213"/>
      <c r="E68" s="237"/>
      <c r="F68" s="180"/>
      <c r="G68" s="228"/>
      <c r="H68" s="237"/>
      <c r="I68" s="180"/>
      <c r="J68" s="228"/>
      <c r="K68" s="237"/>
      <c r="L68" s="180"/>
      <c r="M68" s="228"/>
    </row>
    <row r="69" spans="1:13" s="94" customFormat="1" x14ac:dyDescent="0.2">
      <c r="A69" s="179">
        <v>3</v>
      </c>
      <c r="B69" s="179">
        <v>36</v>
      </c>
      <c r="C69" s="179">
        <v>3612</v>
      </c>
      <c r="D69" s="213" t="s">
        <v>172</v>
      </c>
      <c r="E69" s="237">
        <f t="shared" si="0"/>
        <v>132917</v>
      </c>
      <c r="F69" s="180">
        <v>126613</v>
      </c>
      <c r="G69" s="228">
        <v>6304</v>
      </c>
      <c r="H69" s="237">
        <f>+I69+J69</f>
        <v>76000</v>
      </c>
      <c r="I69" s="180">
        <v>76000</v>
      </c>
      <c r="J69" s="228"/>
      <c r="K69" s="237">
        <f t="shared" ref="K69:K75" si="38">+L69+M69</f>
        <v>208917</v>
      </c>
      <c r="L69" s="180">
        <f t="shared" ref="L69:M75" si="39">+F69+I69</f>
        <v>202613</v>
      </c>
      <c r="M69" s="228">
        <f t="shared" si="39"/>
        <v>6304</v>
      </c>
    </row>
    <row r="70" spans="1:13" s="94" customFormat="1" x14ac:dyDescent="0.2">
      <c r="A70" s="179">
        <v>3</v>
      </c>
      <c r="B70" s="179">
        <v>36</v>
      </c>
      <c r="C70" s="179">
        <v>3613</v>
      </c>
      <c r="D70" s="213" t="s">
        <v>173</v>
      </c>
      <c r="E70" s="237">
        <f t="shared" si="0"/>
        <v>85460</v>
      </c>
      <c r="F70" s="180">
        <v>57500</v>
      </c>
      <c r="G70" s="228">
        <v>27960</v>
      </c>
      <c r="H70" s="237">
        <f>+I70+J70</f>
        <v>0</v>
      </c>
      <c r="I70" s="180"/>
      <c r="J70" s="228"/>
      <c r="K70" s="237">
        <f t="shared" si="38"/>
        <v>85460</v>
      </c>
      <c r="L70" s="180">
        <f t="shared" si="39"/>
        <v>57500</v>
      </c>
      <c r="M70" s="228">
        <f t="shared" si="39"/>
        <v>27960</v>
      </c>
    </row>
    <row r="71" spans="1:13" s="94" customFormat="1" x14ac:dyDescent="0.2">
      <c r="A71" s="179">
        <v>3</v>
      </c>
      <c r="B71" s="179">
        <v>36</v>
      </c>
      <c r="C71" s="179">
        <v>3619</v>
      </c>
      <c r="D71" s="213" t="s">
        <v>174</v>
      </c>
      <c r="E71" s="237">
        <f t="shared" si="0"/>
        <v>91</v>
      </c>
      <c r="F71" s="180">
        <v>91</v>
      </c>
      <c r="G71" s="228"/>
      <c r="H71" s="237"/>
      <c r="I71" s="180"/>
      <c r="J71" s="228"/>
      <c r="K71" s="237">
        <f t="shared" si="38"/>
        <v>91</v>
      </c>
      <c r="L71" s="180">
        <f t="shared" si="39"/>
        <v>91</v>
      </c>
      <c r="M71" s="228">
        <f t="shared" si="39"/>
        <v>0</v>
      </c>
    </row>
    <row r="72" spans="1:13" s="94" customFormat="1" x14ac:dyDescent="0.2">
      <c r="A72" s="179">
        <v>3</v>
      </c>
      <c r="B72" s="179">
        <v>36</v>
      </c>
      <c r="C72" s="179">
        <v>3632</v>
      </c>
      <c r="D72" s="213" t="s">
        <v>175</v>
      </c>
      <c r="E72" s="237">
        <f t="shared" si="0"/>
        <v>20861</v>
      </c>
      <c r="F72" s="180">
        <v>20001</v>
      </c>
      <c r="G72" s="228">
        <v>860</v>
      </c>
      <c r="H72" s="237"/>
      <c r="I72" s="180"/>
      <c r="J72" s="228"/>
      <c r="K72" s="237">
        <f t="shared" si="38"/>
        <v>20861</v>
      </c>
      <c r="L72" s="180">
        <f t="shared" si="39"/>
        <v>20001</v>
      </c>
      <c r="M72" s="228">
        <f t="shared" si="39"/>
        <v>860</v>
      </c>
    </row>
    <row r="73" spans="1:13" s="94" customFormat="1" x14ac:dyDescent="0.2">
      <c r="A73" s="179">
        <v>3</v>
      </c>
      <c r="B73" s="179">
        <v>36</v>
      </c>
      <c r="C73" s="179">
        <v>3633</v>
      </c>
      <c r="D73" s="213" t="s">
        <v>176</v>
      </c>
      <c r="E73" s="237">
        <f>+F73+G73</f>
        <v>464</v>
      </c>
      <c r="F73" s="180"/>
      <c r="G73" s="228">
        <v>464</v>
      </c>
      <c r="H73" s="237"/>
      <c r="I73" s="180"/>
      <c r="J73" s="228"/>
      <c r="K73" s="237">
        <f>+L73+M73</f>
        <v>464</v>
      </c>
      <c r="L73" s="180">
        <f t="shared" si="39"/>
        <v>0</v>
      </c>
      <c r="M73" s="228">
        <f t="shared" si="39"/>
        <v>464</v>
      </c>
    </row>
    <row r="74" spans="1:13" s="94" customFormat="1" x14ac:dyDescent="0.2">
      <c r="A74" s="179">
        <v>3</v>
      </c>
      <c r="B74" s="179">
        <v>36</v>
      </c>
      <c r="C74" s="179">
        <v>3639</v>
      </c>
      <c r="D74" s="213" t="s">
        <v>177</v>
      </c>
      <c r="E74" s="237">
        <f t="shared" si="0"/>
        <v>80182</v>
      </c>
      <c r="F74" s="180">
        <v>34100</v>
      </c>
      <c r="G74" s="228">
        <v>46082</v>
      </c>
      <c r="H74" s="237">
        <f>+I74+J74</f>
        <v>580000</v>
      </c>
      <c r="I74" s="180">
        <v>580000</v>
      </c>
      <c r="J74" s="228"/>
      <c r="K74" s="237">
        <f t="shared" si="38"/>
        <v>660182</v>
      </c>
      <c r="L74" s="180">
        <f t="shared" si="39"/>
        <v>614100</v>
      </c>
      <c r="M74" s="228">
        <f t="shared" si="39"/>
        <v>46082</v>
      </c>
    </row>
    <row r="75" spans="1:13" s="94" customFormat="1" x14ac:dyDescent="0.2">
      <c r="A75" s="179">
        <v>3</v>
      </c>
      <c r="B75" s="179">
        <v>36</v>
      </c>
      <c r="C75" s="179">
        <v>3699</v>
      </c>
      <c r="D75" s="213" t="s">
        <v>425</v>
      </c>
      <c r="E75" s="237">
        <f t="shared" si="0"/>
        <v>2900</v>
      </c>
      <c r="F75" s="180"/>
      <c r="G75" s="228">
        <v>2900</v>
      </c>
      <c r="H75" s="237"/>
      <c r="I75" s="180"/>
      <c r="J75" s="228"/>
      <c r="K75" s="237">
        <f t="shared" si="38"/>
        <v>2900</v>
      </c>
      <c r="L75" s="180">
        <f t="shared" si="39"/>
        <v>0</v>
      </c>
      <c r="M75" s="228">
        <f t="shared" si="39"/>
        <v>2900</v>
      </c>
    </row>
    <row r="76" spans="1:13" s="94" customFormat="1" x14ac:dyDescent="0.2">
      <c r="A76" s="195" t="s">
        <v>178</v>
      </c>
      <c r="B76" s="181"/>
      <c r="C76" s="181"/>
      <c r="D76" s="215"/>
      <c r="E76" s="238">
        <f>SUM(E69:E75)</f>
        <v>322875</v>
      </c>
      <c r="F76" s="182">
        <f>SUM(F69:F75)</f>
        <v>238305</v>
      </c>
      <c r="G76" s="234">
        <f>SUM(G69:G75)</f>
        <v>84570</v>
      </c>
      <c r="H76" s="238">
        <f>+I76+J76</f>
        <v>656000</v>
      </c>
      <c r="I76" s="182">
        <f>SUM(I69:I74)</f>
        <v>656000</v>
      </c>
      <c r="J76" s="234">
        <f>SUM(J68:J75)</f>
        <v>0</v>
      </c>
      <c r="K76" s="238">
        <f>SUM(K69:K75)</f>
        <v>978875</v>
      </c>
      <c r="L76" s="182">
        <f>SUM(L69:L75)</f>
        <v>894305</v>
      </c>
      <c r="M76" s="234">
        <f>SUM(M69:M75)</f>
        <v>84570</v>
      </c>
    </row>
    <row r="77" spans="1:13" s="94" customFormat="1" x14ac:dyDescent="0.2">
      <c r="A77" s="197"/>
      <c r="B77" s="179"/>
      <c r="C77" s="179"/>
      <c r="D77" s="213"/>
      <c r="E77" s="237"/>
      <c r="F77" s="180"/>
      <c r="G77" s="228"/>
      <c r="H77" s="237"/>
      <c r="I77" s="180"/>
      <c r="J77" s="228"/>
      <c r="K77" s="237"/>
      <c r="L77" s="180"/>
      <c r="M77" s="228"/>
    </row>
    <row r="78" spans="1:13" s="94" customFormat="1" x14ac:dyDescent="0.2">
      <c r="A78" s="179">
        <v>3</v>
      </c>
      <c r="B78" s="179">
        <v>37</v>
      </c>
      <c r="C78" s="179">
        <v>3722</v>
      </c>
      <c r="D78" s="213" t="s">
        <v>179</v>
      </c>
      <c r="E78" s="237">
        <f>+F78+G78</f>
        <v>9</v>
      </c>
      <c r="F78" s="180"/>
      <c r="G78" s="228">
        <v>9</v>
      </c>
      <c r="H78" s="237"/>
      <c r="I78" s="180"/>
      <c r="J78" s="228"/>
      <c r="K78" s="237">
        <f>+L78+M78</f>
        <v>9</v>
      </c>
      <c r="L78" s="180">
        <f t="shared" ref="L78" si="40">+F78+I78</f>
        <v>0</v>
      </c>
      <c r="M78" s="228">
        <f t="shared" ref="M78" si="41">+G78+J78</f>
        <v>9</v>
      </c>
    </row>
    <row r="79" spans="1:13" s="94" customFormat="1" x14ac:dyDescent="0.2">
      <c r="A79" s="179">
        <v>3</v>
      </c>
      <c r="B79" s="179">
        <v>37</v>
      </c>
      <c r="C79" s="179">
        <v>3729</v>
      </c>
      <c r="D79" s="213" t="s">
        <v>256</v>
      </c>
      <c r="E79" s="237">
        <f>+F79+G79</f>
        <v>40</v>
      </c>
      <c r="F79" s="180"/>
      <c r="G79" s="228">
        <v>40</v>
      </c>
      <c r="H79" s="237"/>
      <c r="I79" s="180"/>
      <c r="J79" s="228"/>
      <c r="K79" s="237"/>
      <c r="L79" s="180"/>
      <c r="M79" s="228"/>
    </row>
    <row r="80" spans="1:13" s="94" customFormat="1" x14ac:dyDescent="0.2">
      <c r="A80" s="179">
        <v>3</v>
      </c>
      <c r="B80" s="179">
        <v>37</v>
      </c>
      <c r="C80" s="179">
        <v>3745</v>
      </c>
      <c r="D80" s="213" t="s">
        <v>180</v>
      </c>
      <c r="E80" s="237">
        <f>+F80+G80</f>
        <v>1252</v>
      </c>
      <c r="F80" s="180">
        <v>11</v>
      </c>
      <c r="G80" s="228">
        <v>1241</v>
      </c>
      <c r="H80" s="237">
        <f>+I80+J80</f>
        <v>0</v>
      </c>
      <c r="I80" s="180"/>
      <c r="J80" s="228"/>
      <c r="K80" s="237">
        <f>+L80+M80</f>
        <v>1252</v>
      </c>
      <c r="L80" s="180">
        <f t="shared" ref="L80:M81" si="42">+F80+I80</f>
        <v>11</v>
      </c>
      <c r="M80" s="228">
        <f t="shared" si="42"/>
        <v>1241</v>
      </c>
    </row>
    <row r="81" spans="1:13" s="94" customFormat="1" x14ac:dyDescent="0.2">
      <c r="A81" s="179">
        <v>3</v>
      </c>
      <c r="B81" s="179">
        <v>37</v>
      </c>
      <c r="C81" s="179">
        <v>3769</v>
      </c>
      <c r="D81" s="213" t="s">
        <v>181</v>
      </c>
      <c r="E81" s="237">
        <f>+F81+G81</f>
        <v>305</v>
      </c>
      <c r="F81" s="180">
        <v>305</v>
      </c>
      <c r="G81" s="228"/>
      <c r="H81" s="237"/>
      <c r="I81" s="180"/>
      <c r="J81" s="228"/>
      <c r="K81" s="237">
        <f>+L81+M81</f>
        <v>305</v>
      </c>
      <c r="L81" s="180">
        <f>+F81+I81</f>
        <v>305</v>
      </c>
      <c r="M81" s="228">
        <f t="shared" si="42"/>
        <v>0</v>
      </c>
    </row>
    <row r="82" spans="1:13" s="94" customFormat="1" x14ac:dyDescent="0.2">
      <c r="A82" s="195" t="s">
        <v>182</v>
      </c>
      <c r="B82" s="181"/>
      <c r="C82" s="181"/>
      <c r="D82" s="215"/>
      <c r="E82" s="238">
        <f t="shared" ref="E82:M82" si="43">SUM(E78:E81)</f>
        <v>1606</v>
      </c>
      <c r="F82" s="182">
        <f t="shared" si="43"/>
        <v>316</v>
      </c>
      <c r="G82" s="234">
        <f t="shared" si="43"/>
        <v>1290</v>
      </c>
      <c r="H82" s="238">
        <f t="shared" si="43"/>
        <v>0</v>
      </c>
      <c r="I82" s="182">
        <f t="shared" si="43"/>
        <v>0</v>
      </c>
      <c r="J82" s="234">
        <f t="shared" si="43"/>
        <v>0</v>
      </c>
      <c r="K82" s="238">
        <f t="shared" si="43"/>
        <v>1566</v>
      </c>
      <c r="L82" s="182">
        <f t="shared" si="43"/>
        <v>316</v>
      </c>
      <c r="M82" s="234">
        <f t="shared" si="43"/>
        <v>1250</v>
      </c>
    </row>
    <row r="83" spans="1:13" s="94" customFormat="1" ht="13.5" thickBot="1" x14ac:dyDescent="0.25">
      <c r="A83" s="204"/>
      <c r="B83" s="95"/>
      <c r="C83" s="95"/>
      <c r="D83" s="216"/>
      <c r="E83" s="242"/>
      <c r="F83" s="207"/>
      <c r="G83" s="236"/>
      <c r="H83" s="242"/>
      <c r="I83" s="207"/>
      <c r="J83" s="236"/>
      <c r="K83" s="242"/>
      <c r="L83" s="207"/>
      <c r="M83" s="236"/>
    </row>
    <row r="84" spans="1:13" s="94" customFormat="1" ht="14.25" thickTop="1" thickBot="1" x14ac:dyDescent="0.25">
      <c r="A84" s="203" t="s">
        <v>397</v>
      </c>
      <c r="B84" s="185"/>
      <c r="C84" s="185"/>
      <c r="D84" s="217"/>
      <c r="E84" s="229">
        <f>+E46+E59+E63+E67+E76+E82</f>
        <v>499816</v>
      </c>
      <c r="F84" s="187">
        <f>+F46+F59+F63+F67+F76+F82</f>
        <v>342329</v>
      </c>
      <c r="G84" s="230">
        <f>+G46+G59+G63+G67+G76+G82</f>
        <v>157487</v>
      </c>
      <c r="H84" s="229">
        <f>+I84+J84</f>
        <v>656000</v>
      </c>
      <c r="I84" s="187">
        <f>I46+I59+I63+I67+I76+I82</f>
        <v>656000</v>
      </c>
      <c r="J84" s="230">
        <f>J46+J59+J63+J67+J76+J82</f>
        <v>0</v>
      </c>
      <c r="K84" s="229">
        <f>+K82+K76+K67+K63+K59+K46</f>
        <v>1155576</v>
      </c>
      <c r="L84" s="187">
        <f>+L82+L76+L67+L63+L59+L46</f>
        <v>998329</v>
      </c>
      <c r="M84" s="230">
        <f>+M82+M76+M67+M63+M59+M46</f>
        <v>157247</v>
      </c>
    </row>
    <row r="85" spans="1:13" s="94" customFormat="1" ht="13.5" thickTop="1" x14ac:dyDescent="0.2">
      <c r="A85" s="218"/>
      <c r="B85" s="103"/>
      <c r="C85" s="103"/>
      <c r="D85" s="213"/>
      <c r="E85" s="227"/>
      <c r="F85" s="180"/>
      <c r="G85" s="228"/>
      <c r="H85" s="227"/>
      <c r="I85" s="180"/>
      <c r="J85" s="228"/>
      <c r="K85" s="227"/>
      <c r="L85" s="180"/>
      <c r="M85" s="228"/>
    </row>
    <row r="86" spans="1:13" s="94" customFormat="1" x14ac:dyDescent="0.2">
      <c r="A86" s="179">
        <v>4</v>
      </c>
      <c r="B86" s="179">
        <v>43</v>
      </c>
      <c r="C86" s="179">
        <v>4341</v>
      </c>
      <c r="D86" s="213" t="s">
        <v>407</v>
      </c>
      <c r="E86" s="237">
        <f t="shared" ref="E86" si="44">+F86+G86</f>
        <v>268</v>
      </c>
      <c r="F86" s="180">
        <v>268</v>
      </c>
      <c r="G86" s="228"/>
      <c r="H86" s="237"/>
      <c r="I86" s="180"/>
      <c r="J86" s="228"/>
      <c r="K86" s="237">
        <f t="shared" ref="K86" si="45">+L86+M86</f>
        <v>268</v>
      </c>
      <c r="L86" s="180">
        <f t="shared" ref="L86" si="46">+F86+I86</f>
        <v>268</v>
      </c>
      <c r="M86" s="228">
        <f t="shared" ref="M86" si="47">+G86+J86</f>
        <v>0</v>
      </c>
    </row>
    <row r="87" spans="1:13" s="94" customFormat="1" x14ac:dyDescent="0.2">
      <c r="A87" s="179">
        <v>4</v>
      </c>
      <c r="B87" s="179">
        <v>43</v>
      </c>
      <c r="C87" s="179">
        <v>4357</v>
      </c>
      <c r="D87" s="381" t="s">
        <v>184</v>
      </c>
      <c r="E87" s="237">
        <f t="shared" ref="E87:E89" si="48">+F87+G87</f>
        <v>240</v>
      </c>
      <c r="F87" s="180"/>
      <c r="G87" s="228">
        <v>240</v>
      </c>
      <c r="H87" s="237"/>
      <c r="I87" s="180"/>
      <c r="J87" s="228"/>
      <c r="K87" s="237">
        <f t="shared" ref="K87:K88" si="49">+L87+M87</f>
        <v>240</v>
      </c>
      <c r="L87" s="180">
        <f t="shared" ref="L87:M90" si="50">+F87+I87</f>
        <v>0</v>
      </c>
      <c r="M87" s="228">
        <f t="shared" si="50"/>
        <v>240</v>
      </c>
    </row>
    <row r="88" spans="1:13" s="94" customFormat="1" x14ac:dyDescent="0.2">
      <c r="A88" s="179">
        <v>4</v>
      </c>
      <c r="B88" s="179">
        <v>43</v>
      </c>
      <c r="C88" s="179">
        <v>4359</v>
      </c>
      <c r="D88" s="213" t="s">
        <v>268</v>
      </c>
      <c r="E88" s="237">
        <f t="shared" si="48"/>
        <v>500</v>
      </c>
      <c r="F88" s="180"/>
      <c r="G88" s="228">
        <v>500</v>
      </c>
      <c r="H88" s="237"/>
      <c r="I88" s="180"/>
      <c r="J88" s="228"/>
      <c r="K88" s="237">
        <f t="shared" si="49"/>
        <v>500</v>
      </c>
      <c r="L88" s="180">
        <f t="shared" si="50"/>
        <v>0</v>
      </c>
      <c r="M88" s="228">
        <f>+G88+J88</f>
        <v>500</v>
      </c>
    </row>
    <row r="89" spans="1:13" s="94" customFormat="1" x14ac:dyDescent="0.2">
      <c r="A89" s="179">
        <v>4</v>
      </c>
      <c r="B89" s="179">
        <v>43</v>
      </c>
      <c r="C89" s="179">
        <v>4374</v>
      </c>
      <c r="D89" s="213" t="s">
        <v>269</v>
      </c>
      <c r="E89" s="227">
        <f t="shared" si="48"/>
        <v>663</v>
      </c>
      <c r="F89" s="180">
        <v>663</v>
      </c>
      <c r="G89" s="228"/>
      <c r="H89" s="237"/>
      <c r="I89" s="180"/>
      <c r="J89" s="228"/>
      <c r="K89" s="237"/>
      <c r="L89" s="180"/>
      <c r="M89" s="228"/>
    </row>
    <row r="90" spans="1:13" s="94" customFormat="1" x14ac:dyDescent="0.2">
      <c r="A90" s="179">
        <v>4</v>
      </c>
      <c r="B90" s="179">
        <v>43</v>
      </c>
      <c r="C90" s="179">
        <v>4379</v>
      </c>
      <c r="D90" s="213" t="s">
        <v>348</v>
      </c>
      <c r="E90" s="237">
        <f>+F90+G90</f>
        <v>300</v>
      </c>
      <c r="F90" s="180"/>
      <c r="G90" s="228">
        <v>300</v>
      </c>
      <c r="H90" s="237"/>
      <c r="I90" s="180"/>
      <c r="J90" s="228"/>
      <c r="K90" s="237">
        <f>+L90+M90</f>
        <v>300</v>
      </c>
      <c r="L90" s="180">
        <f t="shared" si="50"/>
        <v>0</v>
      </c>
      <c r="M90" s="228">
        <f>+G90+J90</f>
        <v>300</v>
      </c>
    </row>
    <row r="91" spans="1:13" s="94" customFormat="1" x14ac:dyDescent="0.2">
      <c r="A91" s="195" t="s">
        <v>399</v>
      </c>
      <c r="B91" s="181"/>
      <c r="C91" s="181"/>
      <c r="D91" s="215"/>
      <c r="E91" s="238">
        <f t="shared" ref="E91:M91" si="51">SUM(E86:E90)</f>
        <v>1971</v>
      </c>
      <c r="F91" s="182">
        <f t="shared" si="51"/>
        <v>931</v>
      </c>
      <c r="G91" s="234">
        <f t="shared" si="51"/>
        <v>1040</v>
      </c>
      <c r="H91" s="238">
        <f t="shared" si="51"/>
        <v>0</v>
      </c>
      <c r="I91" s="182">
        <f t="shared" si="51"/>
        <v>0</v>
      </c>
      <c r="J91" s="234">
        <f t="shared" si="51"/>
        <v>0</v>
      </c>
      <c r="K91" s="238">
        <f t="shared" si="51"/>
        <v>1308</v>
      </c>
      <c r="L91" s="182">
        <f t="shared" si="51"/>
        <v>268</v>
      </c>
      <c r="M91" s="234">
        <f t="shared" si="51"/>
        <v>1040</v>
      </c>
    </row>
    <row r="92" spans="1:13" s="94" customFormat="1" ht="13.5" thickBot="1" x14ac:dyDescent="0.25">
      <c r="A92" s="204"/>
      <c r="B92" s="95"/>
      <c r="C92" s="95"/>
      <c r="D92" s="216"/>
      <c r="E92" s="242"/>
      <c r="F92" s="207"/>
      <c r="G92" s="236"/>
      <c r="H92" s="242"/>
      <c r="I92" s="207"/>
      <c r="J92" s="236"/>
      <c r="K92" s="242"/>
      <c r="L92" s="207"/>
      <c r="M92" s="236" t="s">
        <v>185</v>
      </c>
    </row>
    <row r="93" spans="1:13" s="94" customFormat="1" ht="14.25" thickTop="1" thickBot="1" x14ac:dyDescent="0.25">
      <c r="A93" s="203" t="s">
        <v>186</v>
      </c>
      <c r="B93" s="185"/>
      <c r="C93" s="185"/>
      <c r="D93" s="217"/>
      <c r="E93" s="229">
        <f>+E91</f>
        <v>1971</v>
      </c>
      <c r="F93" s="187">
        <f>+F91</f>
        <v>931</v>
      </c>
      <c r="G93" s="230">
        <f>+G91</f>
        <v>1040</v>
      </c>
      <c r="H93" s="229">
        <f>+I93+J93</f>
        <v>0</v>
      </c>
      <c r="I93" s="187">
        <f>I91</f>
        <v>0</v>
      </c>
      <c r="J93" s="230">
        <f>+J91</f>
        <v>0</v>
      </c>
      <c r="K93" s="229">
        <f>+K91</f>
        <v>1308</v>
      </c>
      <c r="L93" s="187">
        <f>+L91</f>
        <v>268</v>
      </c>
      <c r="M93" s="230">
        <f>+M91</f>
        <v>1040</v>
      </c>
    </row>
    <row r="94" spans="1:13" s="94" customFormat="1" ht="13.5" thickTop="1" x14ac:dyDescent="0.2">
      <c r="A94" s="218"/>
      <c r="B94" s="103"/>
      <c r="C94" s="103"/>
      <c r="D94" s="219"/>
      <c r="E94" s="227"/>
      <c r="F94" s="180"/>
      <c r="G94" s="228"/>
      <c r="H94" s="227"/>
      <c r="I94" s="180"/>
      <c r="J94" s="228"/>
      <c r="K94" s="227"/>
      <c r="L94" s="180"/>
      <c r="M94" s="228"/>
    </row>
    <row r="95" spans="1:13" s="94" customFormat="1" x14ac:dyDescent="0.2">
      <c r="A95" s="179">
        <v>5</v>
      </c>
      <c r="B95" s="179">
        <v>51</v>
      </c>
      <c r="C95" s="179">
        <v>5171</v>
      </c>
      <c r="D95" s="213" t="s">
        <v>437</v>
      </c>
      <c r="E95" s="237">
        <f>+F95+G95</f>
        <v>110</v>
      </c>
      <c r="F95" s="180">
        <v>110</v>
      </c>
      <c r="G95" s="228"/>
      <c r="H95" s="237">
        <f>+I95+J95</f>
        <v>0</v>
      </c>
      <c r="I95" s="180"/>
      <c r="J95" s="228"/>
      <c r="K95" s="237">
        <f>+L95+M95</f>
        <v>110</v>
      </c>
      <c r="L95" s="180">
        <f>+F95+I95</f>
        <v>110</v>
      </c>
      <c r="M95" s="228">
        <f>+G95+J95</f>
        <v>0</v>
      </c>
    </row>
    <row r="96" spans="1:13" s="94" customFormat="1" x14ac:dyDescent="0.2">
      <c r="A96" s="195" t="s">
        <v>438</v>
      </c>
      <c r="B96" s="181"/>
      <c r="C96" s="181"/>
      <c r="D96" s="215"/>
      <c r="E96" s="238">
        <f>SUM(E95)</f>
        <v>110</v>
      </c>
      <c r="F96" s="182">
        <f>+F95</f>
        <v>110</v>
      </c>
      <c r="G96" s="234">
        <f>+G95</f>
        <v>0</v>
      </c>
      <c r="H96" s="238">
        <f>+I96+J96</f>
        <v>0</v>
      </c>
      <c r="I96" s="182">
        <f>SUM(I95)</f>
        <v>0</v>
      </c>
      <c r="J96" s="234"/>
      <c r="K96" s="238">
        <f>SUM(K95)</f>
        <v>110</v>
      </c>
      <c r="L96" s="182">
        <f>SUM(L95)</f>
        <v>110</v>
      </c>
      <c r="M96" s="234">
        <f>SUM(M95)</f>
        <v>0</v>
      </c>
    </row>
    <row r="97" spans="1:13" s="94" customFormat="1" x14ac:dyDescent="0.2">
      <c r="A97" s="218"/>
      <c r="B97" s="103"/>
      <c r="C97" s="103"/>
      <c r="D97" s="219"/>
      <c r="E97" s="227"/>
      <c r="F97" s="180"/>
      <c r="G97" s="228"/>
      <c r="H97" s="227"/>
      <c r="I97" s="180"/>
      <c r="J97" s="228"/>
      <c r="K97" s="227"/>
      <c r="L97" s="180"/>
      <c r="M97" s="228"/>
    </row>
    <row r="98" spans="1:13" s="94" customFormat="1" x14ac:dyDescent="0.2">
      <c r="A98" s="179">
        <v>5</v>
      </c>
      <c r="B98" s="179">
        <v>53</v>
      </c>
      <c r="C98" s="179">
        <v>5311</v>
      </c>
      <c r="D98" s="213" t="s">
        <v>187</v>
      </c>
      <c r="E98" s="237">
        <f>+F98+G98</f>
        <v>12965</v>
      </c>
      <c r="F98" s="180">
        <v>12695</v>
      </c>
      <c r="G98" s="228">
        <v>270</v>
      </c>
      <c r="H98" s="237">
        <f>+I98+J98</f>
        <v>100</v>
      </c>
      <c r="I98" s="180">
        <v>100</v>
      </c>
      <c r="J98" s="228"/>
      <c r="K98" s="237">
        <f>+L98+M98</f>
        <v>13065</v>
      </c>
      <c r="L98" s="180">
        <f>+F98+I98</f>
        <v>12795</v>
      </c>
      <c r="M98" s="228">
        <f>+G98+J98</f>
        <v>270</v>
      </c>
    </row>
    <row r="99" spans="1:13" s="94" customFormat="1" x14ac:dyDescent="0.2">
      <c r="A99" s="195" t="s">
        <v>188</v>
      </c>
      <c r="B99" s="181"/>
      <c r="C99" s="181"/>
      <c r="D99" s="215"/>
      <c r="E99" s="238">
        <f>SUM(E98)</f>
        <v>12965</v>
      </c>
      <c r="F99" s="182">
        <f>+F98</f>
        <v>12695</v>
      </c>
      <c r="G99" s="234">
        <f>+G98</f>
        <v>270</v>
      </c>
      <c r="H99" s="238">
        <f>+I99+J99</f>
        <v>100</v>
      </c>
      <c r="I99" s="182">
        <f>SUM(I98)</f>
        <v>100</v>
      </c>
      <c r="J99" s="234"/>
      <c r="K99" s="238">
        <f>SUM(K98)</f>
        <v>13065</v>
      </c>
      <c r="L99" s="182">
        <f>SUM(L98)</f>
        <v>12795</v>
      </c>
      <c r="M99" s="234">
        <f>SUM(M98)</f>
        <v>270</v>
      </c>
    </row>
    <row r="100" spans="1:13" s="94" customFormat="1" x14ac:dyDescent="0.2">
      <c r="A100" s="197"/>
      <c r="B100" s="179"/>
      <c r="C100" s="179"/>
      <c r="D100" s="213"/>
      <c r="E100" s="243"/>
      <c r="F100" s="183"/>
      <c r="G100" s="232"/>
      <c r="H100" s="243"/>
      <c r="I100" s="183"/>
      <c r="J100" s="232"/>
      <c r="K100" s="243"/>
      <c r="L100" s="183"/>
      <c r="M100" s="232"/>
    </row>
    <row r="101" spans="1:13" s="94" customFormat="1" x14ac:dyDescent="0.2">
      <c r="A101" s="179">
        <v>5</v>
      </c>
      <c r="B101" s="179">
        <v>55</v>
      </c>
      <c r="C101" s="179">
        <v>5512</v>
      </c>
      <c r="D101" s="213" t="s">
        <v>189</v>
      </c>
      <c r="E101" s="237">
        <f>+F101+G101</f>
        <v>263</v>
      </c>
      <c r="F101" s="180"/>
      <c r="G101" s="228">
        <v>263</v>
      </c>
      <c r="H101" s="237"/>
      <c r="I101" s="180"/>
      <c r="J101" s="228"/>
      <c r="K101" s="237">
        <f>+L101+M101</f>
        <v>263</v>
      </c>
      <c r="L101" s="180">
        <f t="shared" ref="L101" si="52">+F101+I101</f>
        <v>0</v>
      </c>
      <c r="M101" s="228">
        <f>+G101+J101</f>
        <v>263</v>
      </c>
    </row>
    <row r="102" spans="1:13" s="94" customFormat="1" x14ac:dyDescent="0.2">
      <c r="A102" s="195" t="s">
        <v>279</v>
      </c>
      <c r="B102" s="181"/>
      <c r="C102" s="181"/>
      <c r="D102" s="215"/>
      <c r="E102" s="238">
        <f>SUM(E101)</f>
        <v>263</v>
      </c>
      <c r="F102" s="182">
        <f>+F101</f>
        <v>0</v>
      </c>
      <c r="G102" s="234">
        <f>G101</f>
        <v>263</v>
      </c>
      <c r="H102" s="238"/>
      <c r="I102" s="182"/>
      <c r="J102" s="234"/>
      <c r="K102" s="238">
        <f>SUM(K101)</f>
        <v>263</v>
      </c>
      <c r="L102" s="182">
        <f>SUM(L101)</f>
        <v>0</v>
      </c>
      <c r="M102" s="239">
        <f>SUM(M101)</f>
        <v>263</v>
      </c>
    </row>
    <row r="103" spans="1:13" s="94" customFormat="1" ht="13.5" thickBot="1" x14ac:dyDescent="0.25">
      <c r="A103" s="98"/>
      <c r="B103" s="97"/>
      <c r="C103" s="97"/>
      <c r="D103" s="223"/>
      <c r="E103" s="240"/>
      <c r="F103" s="208"/>
      <c r="G103" s="241"/>
      <c r="H103" s="240"/>
      <c r="I103" s="208"/>
      <c r="J103" s="241"/>
      <c r="K103" s="240"/>
      <c r="L103" s="208"/>
      <c r="M103" s="241"/>
    </row>
    <row r="104" spans="1:13" s="94" customFormat="1" ht="14.25" thickTop="1" thickBot="1" x14ac:dyDescent="0.25">
      <c r="A104" s="203" t="s">
        <v>190</v>
      </c>
      <c r="B104" s="185"/>
      <c r="C104" s="185"/>
      <c r="D104" s="217"/>
      <c r="E104" s="229">
        <f>E96+E99+E102</f>
        <v>13338</v>
      </c>
      <c r="F104" s="187">
        <f>+F96+F99+F102</f>
        <v>12805</v>
      </c>
      <c r="G104" s="230">
        <f>+G99+G102</f>
        <v>533</v>
      </c>
      <c r="H104" s="229">
        <f>+I104+J104</f>
        <v>100</v>
      </c>
      <c r="I104" s="187">
        <f>I99+I102</f>
        <v>100</v>
      </c>
      <c r="J104" s="230">
        <f>J99+J102</f>
        <v>0</v>
      </c>
      <c r="K104" s="229">
        <f>+K99+K102</f>
        <v>13328</v>
      </c>
      <c r="L104" s="187">
        <f>+L99+L102</f>
        <v>12795</v>
      </c>
      <c r="M104" s="230">
        <f>+M99+M102</f>
        <v>533</v>
      </c>
    </row>
    <row r="105" spans="1:13" s="94" customFormat="1" ht="13.5" thickTop="1" x14ac:dyDescent="0.2">
      <c r="A105" s="218"/>
      <c r="B105" s="103"/>
      <c r="C105" s="103"/>
      <c r="D105" s="219"/>
      <c r="E105" s="227"/>
      <c r="F105" s="180"/>
      <c r="G105" s="228"/>
      <c r="H105" s="227"/>
      <c r="I105" s="180"/>
      <c r="J105" s="228"/>
      <c r="K105" s="227"/>
      <c r="L105" s="180"/>
      <c r="M105" s="228"/>
    </row>
    <row r="106" spans="1:13" s="94" customFormat="1" x14ac:dyDescent="0.2">
      <c r="A106" s="179">
        <v>6</v>
      </c>
      <c r="B106" s="179">
        <v>61</v>
      </c>
      <c r="C106" s="179">
        <v>6171</v>
      </c>
      <c r="D106" s="213" t="s">
        <v>191</v>
      </c>
      <c r="E106" s="237">
        <f>+F106+G106</f>
        <v>68830</v>
      </c>
      <c r="F106" s="180">
        <v>16154</v>
      </c>
      <c r="G106" s="228">
        <v>52676</v>
      </c>
      <c r="H106" s="237">
        <f>+I106+J106</f>
        <v>50</v>
      </c>
      <c r="I106" s="180"/>
      <c r="J106" s="228">
        <v>50</v>
      </c>
      <c r="K106" s="237">
        <f>+L106+M106</f>
        <v>68880</v>
      </c>
      <c r="L106" s="180">
        <f>+F106+I106</f>
        <v>16154</v>
      </c>
      <c r="M106" s="228">
        <f>+G106+J106</f>
        <v>52726</v>
      </c>
    </row>
    <row r="107" spans="1:13" s="94" customFormat="1" x14ac:dyDescent="0.2">
      <c r="A107" s="195" t="s">
        <v>400</v>
      </c>
      <c r="B107" s="181"/>
      <c r="C107" s="181"/>
      <c r="D107" s="215"/>
      <c r="E107" s="238">
        <f>SUM(E106)</f>
        <v>68830</v>
      </c>
      <c r="F107" s="182">
        <f>+F106</f>
        <v>16154</v>
      </c>
      <c r="G107" s="234">
        <f>+G106</f>
        <v>52676</v>
      </c>
      <c r="H107" s="238">
        <f>+I107+J107</f>
        <v>50</v>
      </c>
      <c r="I107" s="182">
        <f>+I106</f>
        <v>0</v>
      </c>
      <c r="J107" s="234">
        <f>+J106</f>
        <v>50</v>
      </c>
      <c r="K107" s="238">
        <f>SUM(K106)</f>
        <v>68880</v>
      </c>
      <c r="L107" s="182">
        <f>SUM(L106)</f>
        <v>16154</v>
      </c>
      <c r="M107" s="234">
        <f>+M106</f>
        <v>52726</v>
      </c>
    </row>
    <row r="108" spans="1:13" s="94" customFormat="1" x14ac:dyDescent="0.2">
      <c r="A108" s="197"/>
      <c r="B108" s="179"/>
      <c r="C108" s="179"/>
      <c r="D108" s="213"/>
      <c r="E108" s="237"/>
      <c r="F108" s="180"/>
      <c r="G108" s="228"/>
      <c r="H108" s="243"/>
      <c r="I108" s="180"/>
      <c r="J108" s="228"/>
      <c r="K108" s="237"/>
      <c r="L108" s="180"/>
      <c r="M108" s="228"/>
    </row>
    <row r="109" spans="1:13" s="94" customFormat="1" x14ac:dyDescent="0.2">
      <c r="A109" s="179">
        <v>6</v>
      </c>
      <c r="B109" s="179">
        <v>62</v>
      </c>
      <c r="C109" s="179">
        <v>6211</v>
      </c>
      <c r="D109" s="213" t="s">
        <v>192</v>
      </c>
      <c r="E109" s="237">
        <f>+F109+G109</f>
        <v>50</v>
      </c>
      <c r="F109" s="180">
        <v>50</v>
      </c>
      <c r="G109" s="228"/>
      <c r="H109" s="237"/>
      <c r="I109" s="180"/>
      <c r="J109" s="228"/>
      <c r="K109" s="237">
        <f>+L109+M109</f>
        <v>50</v>
      </c>
      <c r="L109" s="180">
        <f>+F109+I109</f>
        <v>50</v>
      </c>
      <c r="M109" s="228">
        <f t="shared" ref="M109" si="53">+G109+J109</f>
        <v>0</v>
      </c>
    </row>
    <row r="110" spans="1:13" s="94" customFormat="1" x14ac:dyDescent="0.2">
      <c r="A110" s="195" t="s">
        <v>193</v>
      </c>
      <c r="B110" s="181"/>
      <c r="C110" s="181"/>
      <c r="D110" s="215"/>
      <c r="E110" s="238">
        <f>SUM(E109)</f>
        <v>50</v>
      </c>
      <c r="F110" s="182">
        <f>+F109</f>
        <v>50</v>
      </c>
      <c r="G110" s="234"/>
      <c r="H110" s="238"/>
      <c r="I110" s="182"/>
      <c r="J110" s="234"/>
      <c r="K110" s="238">
        <f>SUM(K109)</f>
        <v>50</v>
      </c>
      <c r="L110" s="182">
        <f>SUM(L109)</f>
        <v>50</v>
      </c>
      <c r="M110" s="234"/>
    </row>
    <row r="111" spans="1:13" s="94" customFormat="1" x14ac:dyDescent="0.2">
      <c r="A111" s="197"/>
      <c r="B111" s="179"/>
      <c r="C111" s="179"/>
      <c r="D111" s="213"/>
      <c r="E111" s="237"/>
      <c r="F111" s="180"/>
      <c r="G111" s="228"/>
      <c r="H111" s="237"/>
      <c r="I111" s="180"/>
      <c r="J111" s="228"/>
      <c r="K111" s="237"/>
      <c r="L111" s="180"/>
      <c r="M111" s="228"/>
    </row>
    <row r="112" spans="1:13" s="94" customFormat="1" x14ac:dyDescent="0.2">
      <c r="A112" s="179">
        <v>6</v>
      </c>
      <c r="B112" s="179">
        <v>63</v>
      </c>
      <c r="C112" s="179">
        <v>6310</v>
      </c>
      <c r="D112" s="213" t="s">
        <v>194</v>
      </c>
      <c r="E112" s="237">
        <f>+F112+G112</f>
        <v>84418</v>
      </c>
      <c r="F112" s="180">
        <v>39910</v>
      </c>
      <c r="G112" s="228">
        <v>44508</v>
      </c>
      <c r="H112" s="237">
        <f>+I112+J112</f>
        <v>0</v>
      </c>
      <c r="I112" s="180"/>
      <c r="J112" s="228"/>
      <c r="K112" s="237">
        <f>+L112+M112</f>
        <v>84418</v>
      </c>
      <c r="L112" s="180">
        <f>+F112+I112</f>
        <v>39910</v>
      </c>
      <c r="M112" s="228">
        <f>+G112+J112</f>
        <v>44508</v>
      </c>
    </row>
    <row r="113" spans="1:13" s="94" customFormat="1" x14ac:dyDescent="0.2">
      <c r="A113" s="195" t="s">
        <v>195</v>
      </c>
      <c r="B113" s="181"/>
      <c r="C113" s="181"/>
      <c r="D113" s="215"/>
      <c r="E113" s="238">
        <f>SUM(E112:E112)</f>
        <v>84418</v>
      </c>
      <c r="F113" s="182">
        <f>SUM(F112:F112)</f>
        <v>39910</v>
      </c>
      <c r="G113" s="234">
        <f>SUM(G112:G112)</f>
        <v>44508</v>
      </c>
      <c r="H113" s="238">
        <f>SUM(H112:H112)</f>
        <v>0</v>
      </c>
      <c r="I113" s="182">
        <f t="shared" ref="I113:J113" si="54">SUM(I112:I112)</f>
        <v>0</v>
      </c>
      <c r="J113" s="234">
        <f t="shared" si="54"/>
        <v>0</v>
      </c>
      <c r="K113" s="238">
        <f>SUM(K112:K112)</f>
        <v>84418</v>
      </c>
      <c r="L113" s="182">
        <f>SUM(L112:L112)</f>
        <v>39910</v>
      </c>
      <c r="M113" s="234">
        <f>SUM(M112:M112)</f>
        <v>44508</v>
      </c>
    </row>
    <row r="114" spans="1:13" s="94" customFormat="1" ht="13.5" thickBot="1" x14ac:dyDescent="0.25">
      <c r="A114" s="204"/>
      <c r="B114" s="95"/>
      <c r="C114" s="95"/>
      <c r="D114" s="216"/>
      <c r="E114" s="242"/>
      <c r="F114" s="207"/>
      <c r="G114" s="236"/>
      <c r="H114" s="242"/>
      <c r="I114" s="207"/>
      <c r="J114" s="236"/>
      <c r="K114" s="242"/>
      <c r="L114" s="207"/>
      <c r="M114" s="236"/>
    </row>
    <row r="115" spans="1:13" s="94" customFormat="1" ht="14.25" thickTop="1" thickBot="1" x14ac:dyDescent="0.25">
      <c r="A115" s="203" t="s">
        <v>196</v>
      </c>
      <c r="B115" s="185"/>
      <c r="C115" s="185"/>
      <c r="D115" s="217"/>
      <c r="E115" s="229">
        <f>E107+E110+E113</f>
        <v>153298</v>
      </c>
      <c r="F115" s="187">
        <f>F107+F110+F113</f>
        <v>56114</v>
      </c>
      <c r="G115" s="230">
        <f>G107+G110+G113</f>
        <v>97184</v>
      </c>
      <c r="H115" s="229">
        <f t="shared" ref="H115:J115" si="55">H107+H110+H113</f>
        <v>50</v>
      </c>
      <c r="I115" s="187">
        <f t="shared" si="55"/>
        <v>0</v>
      </c>
      <c r="J115" s="230">
        <f t="shared" si="55"/>
        <v>50</v>
      </c>
      <c r="K115" s="229">
        <f>+K107+K110+K113</f>
        <v>153348</v>
      </c>
      <c r="L115" s="187">
        <f>+L107+L110+L113</f>
        <v>56114</v>
      </c>
      <c r="M115" s="230">
        <f>+M107+M110+M113</f>
        <v>97234</v>
      </c>
    </row>
    <row r="116" spans="1:13" s="94" customFormat="1" ht="14.25" thickTop="1" thickBot="1" x14ac:dyDescent="0.25">
      <c r="A116" s="98"/>
      <c r="B116" s="97"/>
      <c r="C116" s="97"/>
      <c r="D116" s="223"/>
      <c r="E116" s="235"/>
      <c r="F116" s="207"/>
      <c r="G116" s="236"/>
      <c r="H116" s="235"/>
      <c r="I116" s="207"/>
      <c r="J116" s="236"/>
      <c r="K116" s="244"/>
      <c r="L116" s="245"/>
      <c r="M116" s="246"/>
    </row>
    <row r="117" spans="1:13" s="94" customFormat="1" ht="17.25" customHeight="1" thickTop="1" thickBot="1" x14ac:dyDescent="0.3">
      <c r="A117" s="256" t="s">
        <v>294</v>
      </c>
      <c r="B117" s="250"/>
      <c r="C117" s="250"/>
      <c r="D117" s="251"/>
      <c r="E117" s="252">
        <f>+E115+E104+E93+E84+E40+E18+E9</f>
        <v>1107533</v>
      </c>
      <c r="F117" s="253">
        <f>+F115+F104+F93+F84+F40+F18+F9</f>
        <v>832980</v>
      </c>
      <c r="G117" s="254">
        <f>+G9+G18+G40+G84+G93+G104+G115</f>
        <v>274553</v>
      </c>
      <c r="H117" s="252">
        <f>+H115+H104+H93+H84+H40</f>
        <v>656150</v>
      </c>
      <c r="I117" s="253">
        <f>I9+I18+I40+I84+I93+I104+I115</f>
        <v>656100</v>
      </c>
      <c r="J117" s="254">
        <f>J9+J18+J40+J84+J93+J104+J115</f>
        <v>50</v>
      </c>
      <c r="K117" s="247">
        <f>+K9+K18+K40+K84+K93+K104+K115</f>
        <v>1753902</v>
      </c>
      <c r="L117" s="248">
        <f>+L9+L18+L40+L84+L93+L104+L115</f>
        <v>1480669</v>
      </c>
      <c r="M117" s="249">
        <f>+M9+M18+M40+M84+M93+M104+M115</f>
        <v>273233</v>
      </c>
    </row>
    <row r="118" spans="1:13" s="94" customFormat="1" ht="13.5" thickTop="1" x14ac:dyDescent="0.2">
      <c r="A118" s="91"/>
      <c r="B118" s="91"/>
      <c r="C118" s="91"/>
      <c r="D118" s="91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7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3" zoomScaleNormal="100" workbookViewId="0">
      <selection activeCell="A2" sqref="A2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36"/>
  <sheetViews>
    <sheetView showZeros="0" zoomScaleNormal="100" zoomScaleSheetLayoutView="75" workbookViewId="0">
      <selection activeCell="A2" sqref="A2"/>
    </sheetView>
  </sheetViews>
  <sheetFormatPr defaultRowHeight="12.75" x14ac:dyDescent="0.2"/>
  <cols>
    <col min="1" max="1" width="6.5703125" style="257" customWidth="1"/>
    <col min="2" max="2" width="48.5703125" style="257" customWidth="1"/>
    <col min="3" max="3" width="12.28515625" style="257" customWidth="1"/>
    <col min="4" max="4" width="9.5703125" style="257" customWidth="1"/>
    <col min="5" max="5" width="10.140625" style="257" customWidth="1"/>
    <col min="6" max="6" width="11.28515625" style="257" customWidth="1"/>
    <col min="7" max="7" width="8.85546875" style="257" bestFit="1" customWidth="1"/>
    <col min="8" max="8" width="10.140625" style="257" customWidth="1"/>
    <col min="9" max="9" width="12.7109375" style="257" customWidth="1"/>
    <col min="10" max="10" width="9.85546875" style="257" bestFit="1" customWidth="1"/>
    <col min="11" max="11" width="10.28515625" style="257" customWidth="1"/>
    <col min="12" max="12" width="9" style="257" bestFit="1" customWidth="1"/>
    <col min="13" max="13" width="6.42578125" style="257" bestFit="1" customWidth="1"/>
    <col min="14" max="16384" width="9.140625" style="257"/>
  </cols>
  <sheetData>
    <row r="3" spans="1:13" ht="18.75" x14ac:dyDescent="0.3">
      <c r="A3" s="410" t="s">
        <v>453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258"/>
    </row>
    <row r="4" spans="1:13" x14ac:dyDescent="0.2">
      <c r="A4" s="259"/>
      <c r="B4" s="258"/>
      <c r="C4" s="258"/>
    </row>
    <row r="5" spans="1:13" ht="13.5" thickBot="1" x14ac:dyDescent="0.25"/>
    <row r="6" spans="1:13" x14ac:dyDescent="0.2">
      <c r="A6" s="429" t="s">
        <v>88</v>
      </c>
      <c r="B6" s="431" t="s">
        <v>89</v>
      </c>
      <c r="C6" s="432" t="s">
        <v>197</v>
      </c>
      <c r="D6" s="433"/>
      <c r="E6" s="434"/>
      <c r="F6" s="432" t="s">
        <v>198</v>
      </c>
      <c r="G6" s="433"/>
      <c r="H6" s="434"/>
      <c r="I6" s="432" t="s">
        <v>199</v>
      </c>
      <c r="J6" s="433"/>
      <c r="K6" s="434"/>
      <c r="L6" s="372" t="s">
        <v>200</v>
      </c>
    </row>
    <row r="7" spans="1:13" ht="26.25" thickBot="1" x14ac:dyDescent="0.25">
      <c r="A7" s="430"/>
      <c r="B7" s="418"/>
      <c r="C7" s="260" t="s">
        <v>80</v>
      </c>
      <c r="D7" s="261" t="s">
        <v>6</v>
      </c>
      <c r="E7" s="278" t="s">
        <v>7</v>
      </c>
      <c r="F7" s="260" t="s">
        <v>80</v>
      </c>
      <c r="G7" s="261" t="s">
        <v>6</v>
      </c>
      <c r="H7" s="278" t="s">
        <v>7</v>
      </c>
      <c r="I7" s="260" t="s">
        <v>80</v>
      </c>
      <c r="J7" s="261" t="s">
        <v>6</v>
      </c>
      <c r="K7" s="279" t="s">
        <v>7</v>
      </c>
      <c r="L7" s="372" t="s">
        <v>201</v>
      </c>
    </row>
    <row r="8" spans="1:13" x14ac:dyDescent="0.2">
      <c r="A8" s="262"/>
      <c r="B8" s="263"/>
      <c r="C8" s="264"/>
      <c r="D8" s="265"/>
      <c r="E8" s="265"/>
      <c r="F8" s="264"/>
      <c r="G8" s="265"/>
      <c r="H8" s="265"/>
      <c r="I8" s="264"/>
      <c r="J8" s="265"/>
      <c r="K8" s="266"/>
      <c r="L8" s="267"/>
    </row>
    <row r="9" spans="1:13" x14ac:dyDescent="0.2">
      <c r="A9" s="268" t="s">
        <v>93</v>
      </c>
      <c r="B9" s="133" t="s">
        <v>391</v>
      </c>
      <c r="C9" s="270">
        <f>+'B a K'!E13</f>
        <v>16712</v>
      </c>
      <c r="D9" s="271">
        <f>+'B a K'!F13</f>
        <v>15546</v>
      </c>
      <c r="E9" s="271">
        <f>+'B a K'!G13</f>
        <v>1166</v>
      </c>
      <c r="F9" s="270">
        <f>+'B a K'!H13</f>
        <v>20860</v>
      </c>
      <c r="G9" s="271">
        <f>+'B a K'!I13</f>
        <v>13860</v>
      </c>
      <c r="H9" s="271">
        <f>+'B a K'!J13</f>
        <v>7000</v>
      </c>
      <c r="I9" s="270">
        <f>+'B a K'!K13</f>
        <v>37572</v>
      </c>
      <c r="J9" s="271">
        <f>+'B a K'!L13</f>
        <v>29406</v>
      </c>
      <c r="K9" s="272">
        <f>+'B a K'!M13</f>
        <v>8166</v>
      </c>
      <c r="L9" s="273">
        <f>I9*1000/$L$32</f>
        <v>93.797276853252654</v>
      </c>
      <c r="M9" s="274">
        <v>77</v>
      </c>
    </row>
    <row r="10" spans="1:13" x14ac:dyDescent="0.2">
      <c r="A10" s="268" t="s">
        <v>95</v>
      </c>
      <c r="B10" s="269" t="s">
        <v>96</v>
      </c>
      <c r="C10" s="270">
        <f>+'B a K'!E22</f>
        <v>102013</v>
      </c>
      <c r="D10" s="271">
        <f>+'B a K'!F22</f>
        <v>93583</v>
      </c>
      <c r="E10" s="271">
        <f>+'B a K'!G22</f>
        <v>8430</v>
      </c>
      <c r="F10" s="270">
        <f>+'B a K'!H22</f>
        <v>6360</v>
      </c>
      <c r="G10" s="271">
        <f>+'B a K'!I22</f>
        <v>5860</v>
      </c>
      <c r="H10" s="271">
        <f>+'B a K'!J22</f>
        <v>500</v>
      </c>
      <c r="I10" s="270">
        <f>+'B a K'!K22</f>
        <v>108373</v>
      </c>
      <c r="J10" s="271">
        <f>+'B a K'!L22</f>
        <v>99443</v>
      </c>
      <c r="K10" s="272">
        <f>+'B a K'!M22</f>
        <v>8930</v>
      </c>
      <c r="L10" s="273">
        <f t="shared" ref="L10:L13" si="0">I10*1000/$L$32</f>
        <v>270.54967221381747</v>
      </c>
      <c r="M10" s="274">
        <v>286</v>
      </c>
    </row>
    <row r="11" spans="1:13" x14ac:dyDescent="0.2">
      <c r="A11" s="268" t="s">
        <v>97</v>
      </c>
      <c r="B11" s="269" t="s">
        <v>98</v>
      </c>
      <c r="C11" s="270">
        <f>+'B a K'!E35</f>
        <v>4412282</v>
      </c>
      <c r="D11" s="271">
        <f>+'B a K'!F35</f>
        <v>4047002</v>
      </c>
      <c r="E11" s="271">
        <f>+'B a K'!G35</f>
        <v>365280</v>
      </c>
      <c r="F11" s="270">
        <f>+'B a K'!H35</f>
        <v>2352409</v>
      </c>
      <c r="G11" s="271">
        <f>+'B a K'!I35</f>
        <v>2285476</v>
      </c>
      <c r="H11" s="271">
        <f>+'B a K'!J35</f>
        <v>66933</v>
      </c>
      <c r="I11" s="270">
        <f>+'B a K'!K35</f>
        <v>6764691</v>
      </c>
      <c r="J11" s="271">
        <f>+'B a K'!L35</f>
        <v>6332478</v>
      </c>
      <c r="K11" s="272">
        <f>+'B a K'!M35</f>
        <v>432213</v>
      </c>
      <c r="L11" s="273">
        <f t="shared" si="0"/>
        <v>16887.831218825362</v>
      </c>
      <c r="M11" s="274">
        <v>14247</v>
      </c>
    </row>
    <row r="12" spans="1:13" x14ac:dyDescent="0.2">
      <c r="A12" s="268" t="s">
        <v>99</v>
      </c>
      <c r="B12" s="269" t="s">
        <v>100</v>
      </c>
      <c r="C12" s="270">
        <f>+'B a K'!E43</f>
        <v>16263</v>
      </c>
      <c r="D12" s="271">
        <f>+'B a K'!F43</f>
        <v>13061</v>
      </c>
      <c r="E12" s="271">
        <f>+'B a K'!G43</f>
        <v>3202</v>
      </c>
      <c r="F12" s="270">
        <f>+'B a K'!H43</f>
        <v>1089550</v>
      </c>
      <c r="G12" s="271">
        <f>+'B a K'!I43</f>
        <v>1080289</v>
      </c>
      <c r="H12" s="271">
        <f>+'B a K'!J43</f>
        <v>9261</v>
      </c>
      <c r="I12" s="270">
        <f>+'B a K'!K43</f>
        <v>1105813</v>
      </c>
      <c r="J12" s="271">
        <f>+'B a K'!L43</f>
        <v>1093350</v>
      </c>
      <c r="K12" s="272">
        <f>+'B a K'!M43</f>
        <v>12463</v>
      </c>
      <c r="L12" s="273">
        <f t="shared" si="0"/>
        <v>2760.626213907321</v>
      </c>
      <c r="M12" s="274">
        <v>2572</v>
      </c>
    </row>
    <row r="13" spans="1:13" x14ac:dyDescent="0.2">
      <c r="A13" s="275">
        <v>24</v>
      </c>
      <c r="B13" s="269" t="s">
        <v>315</v>
      </c>
      <c r="C13" s="270">
        <f>'B a K'!E47</f>
        <v>877</v>
      </c>
      <c r="D13" s="271">
        <f>'B a K'!F47</f>
        <v>0</v>
      </c>
      <c r="E13" s="271">
        <f>'B a K'!G47</f>
        <v>877</v>
      </c>
      <c r="F13" s="270"/>
      <c r="G13" s="271"/>
      <c r="H13" s="271"/>
      <c r="I13" s="270">
        <f>'B a K'!K47</f>
        <v>877</v>
      </c>
      <c r="J13" s="271">
        <f>'B a K'!L47</f>
        <v>0</v>
      </c>
      <c r="K13" s="272">
        <f>'B a K'!M47</f>
        <v>877</v>
      </c>
      <c r="L13" s="273">
        <f t="shared" si="0"/>
        <v>2.1894019961754116</v>
      </c>
      <c r="M13" s="274"/>
    </row>
    <row r="14" spans="1:13" x14ac:dyDescent="0.2">
      <c r="A14" s="268" t="s">
        <v>101</v>
      </c>
      <c r="B14" s="269" t="s">
        <v>102</v>
      </c>
      <c r="C14" s="270">
        <f>+'B a K'!E61+'B a K'!E67</f>
        <v>819760</v>
      </c>
      <c r="D14" s="271">
        <f>+'B a K'!F61+'B a K'!F67</f>
        <v>69809</v>
      </c>
      <c r="E14" s="271">
        <f>+'B a K'!G61+'B a K'!G67</f>
        <v>749951</v>
      </c>
      <c r="F14" s="270">
        <f>+'B a K'!H61+'B a K'!H67</f>
        <v>694935</v>
      </c>
      <c r="G14" s="271">
        <f>+'B a K'!I61+'B a K'!I67</f>
        <v>157955</v>
      </c>
      <c r="H14" s="271">
        <f>+'B a K'!J61+'B a K'!J67</f>
        <v>536980</v>
      </c>
      <c r="I14" s="270">
        <f>+'B a K'!K61+'B a K'!K67</f>
        <v>1514695</v>
      </c>
      <c r="J14" s="271">
        <f>+'B a K'!L61+'B a K'!L67</f>
        <v>227764</v>
      </c>
      <c r="K14" s="272">
        <f>+'B a K'!M61+'B a K'!M67</f>
        <v>1286931</v>
      </c>
      <c r="L14" s="273">
        <f t="shared" ref="L14:L29" si="1">I14*1000/$L$32</f>
        <v>3781.386837624761</v>
      </c>
      <c r="M14" s="274">
        <v>2850</v>
      </c>
    </row>
    <row r="15" spans="1:13" x14ac:dyDescent="0.2">
      <c r="A15" s="268" t="s">
        <v>103</v>
      </c>
      <c r="B15" s="269" t="s">
        <v>104</v>
      </c>
      <c r="C15" s="270">
        <f>+'B a K'!E85</f>
        <v>1724261</v>
      </c>
      <c r="D15" s="271">
        <f>+'B a K'!F85</f>
        <v>1565668</v>
      </c>
      <c r="E15" s="271">
        <f>+'B a K'!G85</f>
        <v>158593</v>
      </c>
      <c r="F15" s="270">
        <f>+'B a K'!H85</f>
        <v>434662</v>
      </c>
      <c r="G15" s="271">
        <f>+'B a K'!I85</f>
        <v>413065</v>
      </c>
      <c r="H15" s="271">
        <f>+'B a K'!J85</f>
        <v>21597</v>
      </c>
      <c r="I15" s="270">
        <f>+'B a K'!K85</f>
        <v>2158923</v>
      </c>
      <c r="J15" s="271">
        <f>+'B a K'!L85</f>
        <v>1978733</v>
      </c>
      <c r="K15" s="272">
        <f>+'B a K'!M85</f>
        <v>180190</v>
      </c>
      <c r="L15" s="273">
        <f t="shared" si="1"/>
        <v>5389.6811012417429</v>
      </c>
      <c r="M15" s="274">
        <v>4783</v>
      </c>
    </row>
    <row r="16" spans="1:13" x14ac:dyDescent="0.2">
      <c r="A16" s="268" t="s">
        <v>105</v>
      </c>
      <c r="B16" s="133" t="s">
        <v>392</v>
      </c>
      <c r="C16" s="270">
        <f>+'B a K'!E91</f>
        <v>750889</v>
      </c>
      <c r="D16" s="271">
        <f>+'B a K'!F91</f>
        <v>662043</v>
      </c>
      <c r="E16" s="271">
        <f>+'B a K'!G91</f>
        <v>88846</v>
      </c>
      <c r="F16" s="270">
        <f>+'B a K'!H91</f>
        <v>2358628</v>
      </c>
      <c r="G16" s="271">
        <f>+'B a K'!I91</f>
        <v>2228482</v>
      </c>
      <c r="H16" s="271">
        <f>+'B a K'!J91</f>
        <v>130146</v>
      </c>
      <c r="I16" s="270">
        <f>+'B a K'!K91</f>
        <v>3109517</v>
      </c>
      <c r="J16" s="271">
        <f>+'B a K'!L91</f>
        <v>2890525</v>
      </c>
      <c r="K16" s="272">
        <f>+'B a K'!M91</f>
        <v>218992</v>
      </c>
      <c r="L16" s="273">
        <f t="shared" si="1"/>
        <v>7762.8081265010014</v>
      </c>
      <c r="M16" s="274">
        <v>3722</v>
      </c>
    </row>
    <row r="17" spans="1:13" x14ac:dyDescent="0.2">
      <c r="A17" s="268" t="s">
        <v>106</v>
      </c>
      <c r="B17" s="269" t="s">
        <v>107</v>
      </c>
      <c r="C17" s="270">
        <f>+'B a K'!E103</f>
        <v>244497</v>
      </c>
      <c r="D17" s="271">
        <f>+'B a K'!F103</f>
        <v>233206</v>
      </c>
      <c r="E17" s="271">
        <f>+'B a K'!G103</f>
        <v>11291</v>
      </c>
      <c r="F17" s="270">
        <f>+'B a K'!H103</f>
        <v>142874</v>
      </c>
      <c r="G17" s="271">
        <f>+'B a K'!I103</f>
        <v>127814</v>
      </c>
      <c r="H17" s="271">
        <f>+'B a K'!J103</f>
        <v>15060</v>
      </c>
      <c r="I17" s="270">
        <f>+'B a K'!K103</f>
        <v>387371</v>
      </c>
      <c r="J17" s="271">
        <f>+'B a K'!L103</f>
        <v>361020</v>
      </c>
      <c r="K17" s="272">
        <f>+'B a K'!M103</f>
        <v>26351</v>
      </c>
      <c r="L17" s="273">
        <f t="shared" si="1"/>
        <v>967.05911135742929</v>
      </c>
      <c r="M17" s="274">
        <v>962</v>
      </c>
    </row>
    <row r="18" spans="1:13" x14ac:dyDescent="0.2">
      <c r="A18" s="268" t="s">
        <v>108</v>
      </c>
      <c r="B18" s="269" t="s">
        <v>202</v>
      </c>
      <c r="C18" s="270">
        <f>+'B a K'!E116</f>
        <v>1258815</v>
      </c>
      <c r="D18" s="271">
        <f>+'B a K'!F116</f>
        <v>1127550</v>
      </c>
      <c r="E18" s="271">
        <f>+'B a K'!G116</f>
        <v>131265</v>
      </c>
      <c r="F18" s="270">
        <f>+'B a K'!H116</f>
        <v>1784639</v>
      </c>
      <c r="G18" s="271">
        <f>+'B a K'!I116</f>
        <v>777567</v>
      </c>
      <c r="H18" s="271">
        <f>+'B a K'!J116</f>
        <v>1007072</v>
      </c>
      <c r="I18" s="270">
        <f>+'B a K'!K116</f>
        <v>3043454</v>
      </c>
      <c r="J18" s="271">
        <f>+'B a K'!L116</f>
        <v>1905117</v>
      </c>
      <c r="K18" s="272">
        <f>+'B a K'!M116</f>
        <v>1138337</v>
      </c>
      <c r="L18" s="273">
        <f t="shared" si="1"/>
        <v>7597.8839941482802</v>
      </c>
      <c r="M18" s="274">
        <v>6169</v>
      </c>
    </row>
    <row r="19" spans="1:13" x14ac:dyDescent="0.2">
      <c r="A19" s="268" t="s">
        <v>110</v>
      </c>
      <c r="B19" s="269" t="s">
        <v>111</v>
      </c>
      <c r="C19" s="270">
        <f>+'B a K'!E134</f>
        <v>975706</v>
      </c>
      <c r="D19" s="271">
        <f>+'B a K'!F134</f>
        <v>576835</v>
      </c>
      <c r="E19" s="271">
        <f>+'B a K'!G134</f>
        <v>398871</v>
      </c>
      <c r="F19" s="270">
        <f>+'B a K'!H134</f>
        <v>558746</v>
      </c>
      <c r="G19" s="271">
        <f>+'B a K'!I134</f>
        <v>375714</v>
      </c>
      <c r="H19" s="271">
        <f>+'B a K'!J134</f>
        <v>183032</v>
      </c>
      <c r="I19" s="270">
        <f>+'B a K'!K134</f>
        <v>1534452</v>
      </c>
      <c r="J19" s="271">
        <f>+'B a K'!L134</f>
        <v>952549</v>
      </c>
      <c r="K19" s="272">
        <f>+'B a K'!M134</f>
        <v>581903</v>
      </c>
      <c r="L19" s="273">
        <f t="shared" si="1"/>
        <v>3830.7095459924208</v>
      </c>
      <c r="M19" s="274">
        <v>2854</v>
      </c>
    </row>
    <row r="20" spans="1:13" x14ac:dyDescent="0.2">
      <c r="A20" s="268" t="s">
        <v>203</v>
      </c>
      <c r="B20" s="269" t="s">
        <v>204</v>
      </c>
      <c r="C20" s="270">
        <f>+'B a K'!E136</f>
        <v>42600</v>
      </c>
      <c r="D20" s="271">
        <f>+'B a K'!F136</f>
        <v>42600</v>
      </c>
      <c r="E20" s="271">
        <f>+'B a K'!G136</f>
        <v>0</v>
      </c>
      <c r="F20" s="270">
        <f>+'B a K'!H136</f>
        <v>0</v>
      </c>
      <c r="G20" s="271">
        <f>+'B a K'!I136</f>
        <v>0</v>
      </c>
      <c r="H20" s="272">
        <f>+'B a K'!J136</f>
        <v>0</v>
      </c>
      <c r="I20" s="270">
        <f>+'B a K'!K136</f>
        <v>42600</v>
      </c>
      <c r="J20" s="271">
        <f>+'B a K'!L136</f>
        <v>42600</v>
      </c>
      <c r="K20" s="272">
        <f>+'B a K'!M136</f>
        <v>0</v>
      </c>
      <c r="L20" s="273">
        <f t="shared" si="1"/>
        <v>106.34951543565855</v>
      </c>
      <c r="M20" s="274">
        <v>111</v>
      </c>
    </row>
    <row r="21" spans="1:13" x14ac:dyDescent="0.2">
      <c r="A21" s="275">
        <v>39</v>
      </c>
      <c r="B21" s="269" t="s">
        <v>432</v>
      </c>
      <c r="C21" s="270">
        <f>+'B a K'!E140</f>
        <v>53590</v>
      </c>
      <c r="D21" s="271">
        <f>+'B a K'!F140</f>
        <v>46572</v>
      </c>
      <c r="E21" s="271">
        <f>+'B a K'!G140</f>
        <v>7018</v>
      </c>
      <c r="F21" s="270">
        <f>+'B a K'!H140</f>
        <v>800</v>
      </c>
      <c r="G21" s="271">
        <f>+'B a K'!I140</f>
        <v>800</v>
      </c>
      <c r="H21" s="272">
        <f>+'B a K'!J140</f>
        <v>0</v>
      </c>
      <c r="I21" s="270">
        <f>+'B a K'!K140</f>
        <v>54390</v>
      </c>
      <c r="J21" s="271">
        <f>+'B a K'!L140</f>
        <v>47372</v>
      </c>
      <c r="K21" s="272">
        <f>+'B a K'!M140</f>
        <v>7018</v>
      </c>
      <c r="L21" s="273">
        <f t="shared" si="1"/>
        <v>135.78286724285135</v>
      </c>
      <c r="M21" s="274">
        <v>144</v>
      </c>
    </row>
    <row r="22" spans="1:13" x14ac:dyDescent="0.2">
      <c r="A22" s="268" t="s">
        <v>112</v>
      </c>
      <c r="B22" s="133" t="s">
        <v>393</v>
      </c>
      <c r="C22" s="270">
        <f>+'B a K'!E164</f>
        <v>1148706</v>
      </c>
      <c r="D22" s="271">
        <f>+'B a K'!F164</f>
        <v>1061297</v>
      </c>
      <c r="E22" s="271">
        <f>+'B a K'!G164</f>
        <v>87409</v>
      </c>
      <c r="F22" s="270">
        <f>+'B a K'!H164</f>
        <v>452510</v>
      </c>
      <c r="G22" s="271">
        <f>+'B a K'!I164</f>
        <v>447618</v>
      </c>
      <c r="H22" s="271">
        <f>+'B a K'!J164</f>
        <v>4892</v>
      </c>
      <c r="I22" s="270">
        <f>+'B a K'!K164</f>
        <v>1601216</v>
      </c>
      <c r="J22" s="271">
        <f>+'B a K'!L164</f>
        <v>1508915</v>
      </c>
      <c r="K22" s="272">
        <f>+'B a K'!M164</f>
        <v>92301</v>
      </c>
      <c r="L22" s="273">
        <f t="shared" si="1"/>
        <v>3997.3837020615829</v>
      </c>
      <c r="M22" s="274">
        <v>2438</v>
      </c>
    </row>
    <row r="23" spans="1:13" x14ac:dyDescent="0.2">
      <c r="A23" s="268" t="s">
        <v>206</v>
      </c>
      <c r="B23" s="269" t="s">
        <v>434</v>
      </c>
      <c r="C23" s="270">
        <f>+'B a K'!E173</f>
        <v>8500</v>
      </c>
      <c r="D23" s="271">
        <f>+'B a K'!F173</f>
        <v>5984</v>
      </c>
      <c r="E23" s="271">
        <f>+'B a K'!G173</f>
        <v>2516</v>
      </c>
      <c r="F23" s="270">
        <f>+'B a K'!H173</f>
        <v>550</v>
      </c>
      <c r="G23" s="271">
        <f>+'B a K'!I173</f>
        <v>0</v>
      </c>
      <c r="H23" s="271">
        <f>+'B a K'!J173</f>
        <v>550</v>
      </c>
      <c r="I23" s="270">
        <f>+'B a K'!K173</f>
        <v>9050</v>
      </c>
      <c r="J23" s="271">
        <f>+'B a K'!L173</f>
        <v>5984</v>
      </c>
      <c r="K23" s="272">
        <f>+'B a K'!M173</f>
        <v>3066</v>
      </c>
      <c r="L23" s="273">
        <f t="shared" si="1"/>
        <v>22.593030861331215</v>
      </c>
      <c r="M23" s="274">
        <v>21</v>
      </c>
    </row>
    <row r="24" spans="1:13" x14ac:dyDescent="0.2">
      <c r="A24" s="268" t="s">
        <v>113</v>
      </c>
      <c r="B24" s="133" t="s">
        <v>114</v>
      </c>
      <c r="C24" s="270">
        <f>+'B a K'!E178</f>
        <v>618077</v>
      </c>
      <c r="D24" s="271">
        <f>+'B a K'!F178</f>
        <v>617505</v>
      </c>
      <c r="E24" s="271">
        <f>+'B a K'!G178</f>
        <v>572</v>
      </c>
      <c r="F24" s="270">
        <f>+'B a K'!H178</f>
        <v>32020</v>
      </c>
      <c r="G24" s="271">
        <f>+'B a K'!I178</f>
        <v>27820</v>
      </c>
      <c r="H24" s="271">
        <f>+'B a K'!J178</f>
        <v>4200</v>
      </c>
      <c r="I24" s="270">
        <f>+'B a K'!K178</f>
        <v>650097</v>
      </c>
      <c r="J24" s="271">
        <f>+'B a K'!L178</f>
        <v>645325</v>
      </c>
      <c r="K24" s="272">
        <f>+'B a K'!M178</f>
        <v>4772</v>
      </c>
      <c r="L24" s="273">
        <f t="shared" si="1"/>
        <v>1622.9460313656177</v>
      </c>
      <c r="M24" s="274">
        <v>1470</v>
      </c>
    </row>
    <row r="25" spans="1:13" x14ac:dyDescent="0.2">
      <c r="A25" s="268" t="s">
        <v>207</v>
      </c>
      <c r="B25" s="133" t="s">
        <v>115</v>
      </c>
      <c r="C25" s="270">
        <f>+'B a K'!E183</f>
        <v>29091</v>
      </c>
      <c r="D25" s="271">
        <f>+'B a K'!F183</f>
        <v>12000</v>
      </c>
      <c r="E25" s="271">
        <f>+'B a K'!G183</f>
        <v>17091</v>
      </c>
      <c r="F25" s="270">
        <f>+'B a K'!H183</f>
        <v>80068</v>
      </c>
      <c r="G25" s="271">
        <f>+'B a K'!I183</f>
        <v>59603</v>
      </c>
      <c r="H25" s="271">
        <f>+'B a K'!J183</f>
        <v>20465</v>
      </c>
      <c r="I25" s="270">
        <f>+'B a K'!K183</f>
        <v>109159</v>
      </c>
      <c r="J25" s="271">
        <f>+'B a K'!L183</f>
        <v>71603</v>
      </c>
      <c r="K25" s="272">
        <f>+'B a K'!M183</f>
        <v>37556</v>
      </c>
      <c r="L25" s="273">
        <f t="shared" si="1"/>
        <v>272.51189566763031</v>
      </c>
      <c r="M25" s="274">
        <v>185</v>
      </c>
    </row>
    <row r="26" spans="1:13" x14ac:dyDescent="0.2">
      <c r="A26" s="268" t="s">
        <v>116</v>
      </c>
      <c r="B26" s="133" t="s">
        <v>394</v>
      </c>
      <c r="C26" s="270">
        <f>+'B a K'!E190</f>
        <v>2955421</v>
      </c>
      <c r="D26" s="271">
        <f>+'B a K'!F190</f>
        <v>1742907</v>
      </c>
      <c r="E26" s="271">
        <f>+'B a K'!G190</f>
        <v>1212514</v>
      </c>
      <c r="F26" s="270">
        <f>+'B a K'!H190</f>
        <v>259479</v>
      </c>
      <c r="G26" s="271">
        <f>+'B a K'!I190</f>
        <v>184075</v>
      </c>
      <c r="H26" s="271">
        <f>+'B a K'!J190</f>
        <v>75404</v>
      </c>
      <c r="I26" s="270">
        <f>+'B a K'!K190</f>
        <v>3214900</v>
      </c>
      <c r="J26" s="271">
        <f>+'B a K'!L190</f>
        <v>1926982</v>
      </c>
      <c r="K26" s="272">
        <f>+'B a K'!M190</f>
        <v>1287918</v>
      </c>
      <c r="L26" s="273">
        <f t="shared" si="1"/>
        <v>8025.8933608943344</v>
      </c>
      <c r="M26" s="274">
        <v>6993</v>
      </c>
    </row>
    <row r="27" spans="1:13" x14ac:dyDescent="0.2">
      <c r="A27" s="268" t="s">
        <v>118</v>
      </c>
      <c r="B27" s="133" t="s">
        <v>119</v>
      </c>
      <c r="C27" s="270">
        <f>+'B a K'!E194</f>
        <v>20753</v>
      </c>
      <c r="D27" s="271">
        <f>+'B a K'!F194</f>
        <v>20553</v>
      </c>
      <c r="E27" s="271">
        <f>+'B a K'!G194</f>
        <v>200</v>
      </c>
      <c r="F27" s="270">
        <f>+'B a K'!H194</f>
        <v>5730</v>
      </c>
      <c r="G27" s="271">
        <f>+'B a K'!I194</f>
        <v>5730</v>
      </c>
      <c r="H27" s="271">
        <f>+'B a K'!J194</f>
        <v>0</v>
      </c>
      <c r="I27" s="270">
        <f>+'B a K'!K194</f>
        <v>26483</v>
      </c>
      <c r="J27" s="271">
        <f>+'B a K'!L194</f>
        <v>26283</v>
      </c>
      <c r="K27" s="272">
        <f>+'B a K'!M194</f>
        <v>200</v>
      </c>
      <c r="L27" s="273">
        <f t="shared" si="1"/>
        <v>66.113948762501067</v>
      </c>
      <c r="M27" s="274">
        <v>54</v>
      </c>
    </row>
    <row r="28" spans="1:13" x14ac:dyDescent="0.2">
      <c r="A28" s="268" t="s">
        <v>120</v>
      </c>
      <c r="B28" s="269" t="s">
        <v>208</v>
      </c>
      <c r="C28" s="270">
        <f>+'B a K'!E200</f>
        <v>698209</v>
      </c>
      <c r="D28" s="271">
        <f>+'B a K'!F200</f>
        <v>3471747</v>
      </c>
      <c r="E28" s="271">
        <f>+'B a K'!G200</f>
        <v>130891</v>
      </c>
      <c r="F28" s="270">
        <f>+'B a K'!H200</f>
        <v>0</v>
      </c>
      <c r="G28" s="271">
        <f>+'B a K'!I200</f>
        <v>246640</v>
      </c>
      <c r="H28" s="271">
        <f>+'B a K'!J200</f>
        <v>0</v>
      </c>
      <c r="I28" s="270">
        <f>+'B a K'!K200</f>
        <v>698209</v>
      </c>
      <c r="J28" s="271">
        <f>+'B a K'!L200</f>
        <v>3718387</v>
      </c>
      <c r="K28" s="272">
        <f>+'B a K'!M200</f>
        <v>130891</v>
      </c>
      <c r="L28" s="273">
        <f t="shared" si="1"/>
        <v>1743.056075652951</v>
      </c>
      <c r="M28" s="274">
        <v>1753</v>
      </c>
    </row>
    <row r="29" spans="1:13" ht="13.5" thickBot="1" x14ac:dyDescent="0.25">
      <c r="A29" s="280" t="s">
        <v>209</v>
      </c>
      <c r="B29" s="281" t="s">
        <v>210</v>
      </c>
      <c r="C29" s="282">
        <f>+'B a K'!E203</f>
        <v>195970</v>
      </c>
      <c r="D29" s="283">
        <f>+'B a K'!F203</f>
        <v>105000</v>
      </c>
      <c r="E29" s="283">
        <f>+'B a K'!G203</f>
        <v>90970</v>
      </c>
      <c r="F29" s="282">
        <f>+'B a K'!H203</f>
        <v>76872</v>
      </c>
      <c r="G29" s="283">
        <f>+'B a K'!I203</f>
        <v>75666</v>
      </c>
      <c r="H29" s="283">
        <f>+'B a K'!J203</f>
        <v>1206</v>
      </c>
      <c r="I29" s="282">
        <f>+'B a K'!K203</f>
        <v>272842</v>
      </c>
      <c r="J29" s="283">
        <f>+'B a K'!L203</f>
        <v>180666</v>
      </c>
      <c r="K29" s="284">
        <f>+'B a K'!M203</f>
        <v>92176</v>
      </c>
      <c r="L29" s="273">
        <f t="shared" si="1"/>
        <v>681.1411852229096</v>
      </c>
      <c r="M29" s="274">
        <v>525</v>
      </c>
    </row>
    <row r="30" spans="1:13" ht="13.5" thickBot="1" x14ac:dyDescent="0.25">
      <c r="A30" s="285"/>
      <c r="B30" s="286" t="s">
        <v>87</v>
      </c>
      <c r="C30" s="287">
        <f>SUM(C9:C29)</f>
        <v>16092992</v>
      </c>
      <c r="D30" s="288">
        <f>SUM(D9:D29)</f>
        <v>15530468</v>
      </c>
      <c r="E30" s="288">
        <f>SUM(E9:E29)</f>
        <v>3466953</v>
      </c>
      <c r="F30" s="287">
        <f>SUM(F9:F29)</f>
        <v>10351692</v>
      </c>
      <c r="G30" s="288">
        <f>SUM(G8:G29)</f>
        <v>8514034</v>
      </c>
      <c r="H30" s="288">
        <f t="shared" ref="H30:L30" si="2">SUM(H9:H29)</f>
        <v>2084298</v>
      </c>
      <c r="I30" s="287">
        <f>SUM(I9:I29)</f>
        <v>26444684</v>
      </c>
      <c r="J30" s="288">
        <f t="shared" si="2"/>
        <v>24044502</v>
      </c>
      <c r="K30" s="289">
        <f t="shared" si="2"/>
        <v>5551251</v>
      </c>
      <c r="L30" s="276">
        <f t="shared" si="2"/>
        <v>66018.294113828932</v>
      </c>
      <c r="M30" s="277">
        <f>SUM(M9:M29)</f>
        <v>52216</v>
      </c>
    </row>
    <row r="31" spans="1:13" x14ac:dyDescent="0.2">
      <c r="M31" s="274"/>
    </row>
    <row r="32" spans="1:13" x14ac:dyDescent="0.2">
      <c r="A32" s="257" t="s">
        <v>122</v>
      </c>
      <c r="I32" s="274"/>
      <c r="L32" s="394">
        <v>400566</v>
      </c>
      <c r="M32" s="274"/>
    </row>
    <row r="33" spans="13:13" x14ac:dyDescent="0.2">
      <c r="M33" s="273"/>
    </row>
    <row r="36" spans="13:13" x14ac:dyDescent="0.2">
      <c r="M36" s="273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6"/>
  <sheetViews>
    <sheetView showZeros="0" zoomScale="115" zoomScaleNormal="115" zoomScaleSheetLayoutView="100" workbookViewId="0">
      <pane xSplit="4" ySplit="5" topLeftCell="E6" activePane="bottomRight" state="frozen"/>
      <selection activeCell="I64" sqref="I64"/>
      <selection pane="topRight" activeCell="I64" sqref="I64"/>
      <selection pane="bottomLeft" activeCell="I64" sqref="I64"/>
      <selection pane="bottomRight" activeCell="A3" sqref="A3"/>
    </sheetView>
  </sheetViews>
  <sheetFormatPr defaultColWidth="9.140625" defaultRowHeight="12.75" x14ac:dyDescent="0.2"/>
  <cols>
    <col min="1" max="1" width="8" style="290" customWidth="1"/>
    <col min="2" max="2" width="6.5703125" style="290" customWidth="1"/>
    <col min="3" max="3" width="5.7109375" style="291" customWidth="1"/>
    <col min="4" max="4" width="51.28515625" style="292" customWidth="1"/>
    <col min="5" max="5" width="13" style="293" customWidth="1"/>
    <col min="6" max="13" width="13" style="290" customWidth="1"/>
    <col min="14" max="16384" width="9.140625" style="290"/>
  </cols>
  <sheetData>
    <row r="1" spans="1:15" ht="18.75" x14ac:dyDescent="0.3">
      <c r="A1" s="410" t="s">
        <v>454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5" x14ac:dyDescent="0.2">
      <c r="A2" s="419" t="s">
        <v>130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15" x14ac:dyDescent="0.2">
      <c r="M3" s="294" t="s">
        <v>295</v>
      </c>
    </row>
    <row r="4" spans="1:15" x14ac:dyDescent="0.2">
      <c r="A4" s="436" t="s">
        <v>293</v>
      </c>
      <c r="B4" s="436" t="s">
        <v>131</v>
      </c>
      <c r="C4" s="438" t="s">
        <v>132</v>
      </c>
      <c r="D4" s="438" t="s">
        <v>211</v>
      </c>
      <c r="E4" s="435" t="s">
        <v>197</v>
      </c>
      <c r="F4" s="435"/>
      <c r="G4" s="435"/>
      <c r="H4" s="435" t="s">
        <v>198</v>
      </c>
      <c r="I4" s="435"/>
      <c r="J4" s="435"/>
      <c r="K4" s="435" t="s">
        <v>199</v>
      </c>
      <c r="L4" s="435"/>
      <c r="M4" s="435"/>
    </row>
    <row r="5" spans="1:15" ht="25.5" x14ac:dyDescent="0.2">
      <c r="A5" s="437"/>
      <c r="B5" s="437"/>
      <c r="C5" s="438"/>
      <c r="D5" s="438"/>
      <c r="E5" s="323" t="s">
        <v>80</v>
      </c>
      <c r="F5" s="323" t="s">
        <v>6</v>
      </c>
      <c r="G5" s="323" t="s">
        <v>7</v>
      </c>
      <c r="H5" s="323" t="s">
        <v>80</v>
      </c>
      <c r="I5" s="323" t="s">
        <v>6</v>
      </c>
      <c r="J5" s="323" t="s">
        <v>7</v>
      </c>
      <c r="K5" s="323" t="s">
        <v>80</v>
      </c>
      <c r="L5" s="323" t="s">
        <v>6</v>
      </c>
      <c r="M5" s="323" t="s">
        <v>7</v>
      </c>
    </row>
    <row r="6" spans="1:15" x14ac:dyDescent="0.2">
      <c r="A6" s="327"/>
      <c r="B6" s="328"/>
      <c r="C6" s="327"/>
      <c r="D6" s="327"/>
      <c r="E6" s="322"/>
      <c r="F6" s="322"/>
      <c r="G6" s="322"/>
      <c r="H6" s="322"/>
      <c r="I6" s="322"/>
      <c r="J6" s="322"/>
      <c r="K6" s="322"/>
      <c r="L6" s="322"/>
      <c r="M6" s="322"/>
    </row>
    <row r="7" spans="1:15" x14ac:dyDescent="0.2">
      <c r="A7" s="295" t="str">
        <f t="shared" ref="A7:A12" si="0">MID(C7,1,1)</f>
        <v>1</v>
      </c>
      <c r="B7" s="295" t="str">
        <f t="shared" ref="B7:B12" si="1">MID(C7,1,2)</f>
        <v>10</v>
      </c>
      <c r="C7" s="295">
        <v>1012</v>
      </c>
      <c r="D7" s="329" t="s">
        <v>403</v>
      </c>
      <c r="E7" s="296">
        <f t="shared" ref="E7:E12" si="2">+F7+G7</f>
        <v>50</v>
      </c>
      <c r="F7" s="296"/>
      <c r="G7" s="296">
        <v>50</v>
      </c>
      <c r="H7" s="296">
        <f>+I7+J7</f>
        <v>0</v>
      </c>
      <c r="I7" s="296"/>
      <c r="J7" s="296"/>
      <c r="K7" s="340">
        <f>+L7+M7</f>
        <v>50</v>
      </c>
      <c r="L7" s="296">
        <f t="shared" ref="L7:L12" si="3">+F7+I7</f>
        <v>0</v>
      </c>
      <c r="M7" s="324">
        <f t="shared" ref="M7" si="4">+G7+J7</f>
        <v>50</v>
      </c>
    </row>
    <row r="8" spans="1:15" x14ac:dyDescent="0.2">
      <c r="A8" s="295" t="str">
        <f t="shared" si="0"/>
        <v>1</v>
      </c>
      <c r="B8" s="295" t="str">
        <f t="shared" si="1"/>
        <v>10</v>
      </c>
      <c r="C8" s="295">
        <v>1014</v>
      </c>
      <c r="D8" s="379" t="s">
        <v>319</v>
      </c>
      <c r="E8" s="296">
        <f t="shared" si="2"/>
        <v>16177</v>
      </c>
      <c r="F8" s="296">
        <v>15366</v>
      </c>
      <c r="G8" s="296">
        <v>811</v>
      </c>
      <c r="H8" s="296">
        <f>+I8+J8</f>
        <v>1460</v>
      </c>
      <c r="I8" s="296">
        <v>1460</v>
      </c>
      <c r="J8" s="296"/>
      <c r="K8" s="340">
        <f t="shared" ref="K8:K12" si="5">+L8+M8</f>
        <v>17637</v>
      </c>
      <c r="L8" s="296">
        <f t="shared" si="3"/>
        <v>16826</v>
      </c>
      <c r="M8" s="324">
        <f t="shared" ref="M8:M12" si="6">+G8+J8</f>
        <v>811</v>
      </c>
    </row>
    <row r="9" spans="1:15" x14ac:dyDescent="0.2">
      <c r="A9" s="297" t="str">
        <f t="shared" si="0"/>
        <v>1</v>
      </c>
      <c r="B9" s="297" t="str">
        <f t="shared" si="1"/>
        <v>10</v>
      </c>
      <c r="C9" s="295">
        <v>1019</v>
      </c>
      <c r="D9" s="329" t="s">
        <v>139</v>
      </c>
      <c r="E9" s="296">
        <f t="shared" si="2"/>
        <v>280</v>
      </c>
      <c r="F9" s="296"/>
      <c r="G9" s="296">
        <v>280</v>
      </c>
      <c r="H9" s="296">
        <f t="shared" ref="H9:H12" si="7">+I9+J9</f>
        <v>7000</v>
      </c>
      <c r="I9" s="296"/>
      <c r="J9" s="296">
        <v>7000</v>
      </c>
      <c r="K9" s="340">
        <f t="shared" si="5"/>
        <v>7280</v>
      </c>
      <c r="L9" s="296">
        <f t="shared" si="3"/>
        <v>0</v>
      </c>
      <c r="M9" s="324">
        <f t="shared" si="6"/>
        <v>7280</v>
      </c>
    </row>
    <row r="10" spans="1:15" x14ac:dyDescent="0.2">
      <c r="A10" s="297" t="str">
        <f t="shared" si="0"/>
        <v>1</v>
      </c>
      <c r="B10" s="297" t="str">
        <f t="shared" si="1"/>
        <v>10</v>
      </c>
      <c r="C10" s="297">
        <v>1037</v>
      </c>
      <c r="D10" s="224" t="s">
        <v>212</v>
      </c>
      <c r="E10" s="296">
        <f t="shared" si="2"/>
        <v>180</v>
      </c>
      <c r="F10" s="298">
        <v>180</v>
      </c>
      <c r="G10" s="298"/>
      <c r="H10" s="296">
        <f t="shared" si="7"/>
        <v>0</v>
      </c>
      <c r="I10" s="298"/>
      <c r="J10" s="298"/>
      <c r="K10" s="340">
        <f t="shared" si="5"/>
        <v>180</v>
      </c>
      <c r="L10" s="296">
        <f t="shared" si="3"/>
        <v>180</v>
      </c>
      <c r="M10" s="324">
        <f t="shared" si="6"/>
        <v>0</v>
      </c>
    </row>
    <row r="11" spans="1:15" x14ac:dyDescent="0.2">
      <c r="A11" s="297" t="str">
        <f t="shared" ref="A11" si="8">MID(C11,1,1)</f>
        <v>1</v>
      </c>
      <c r="B11" s="297" t="str">
        <f t="shared" ref="B11" si="9">MID(C11,1,2)</f>
        <v>10</v>
      </c>
      <c r="C11" s="297">
        <v>1039</v>
      </c>
      <c r="D11" s="224" t="s">
        <v>389</v>
      </c>
      <c r="E11" s="296">
        <f t="shared" si="2"/>
        <v>0</v>
      </c>
      <c r="F11" s="298"/>
      <c r="G11" s="298"/>
      <c r="H11" s="296">
        <f t="shared" ref="H11" si="10">+I11+J11</f>
        <v>12400</v>
      </c>
      <c r="I11" s="298">
        <v>12400</v>
      </c>
      <c r="J11" s="298"/>
      <c r="K11" s="340">
        <f t="shared" ref="K11" si="11">+L11+M11</f>
        <v>12400</v>
      </c>
      <c r="L11" s="296">
        <f t="shared" si="3"/>
        <v>12400</v>
      </c>
      <c r="M11" s="324">
        <f t="shared" si="6"/>
        <v>0</v>
      </c>
    </row>
    <row r="12" spans="1:15" x14ac:dyDescent="0.2">
      <c r="A12" s="297" t="str">
        <f t="shared" si="0"/>
        <v>1</v>
      </c>
      <c r="B12" s="297" t="str">
        <f t="shared" si="1"/>
        <v>10</v>
      </c>
      <c r="C12" s="297">
        <v>1070</v>
      </c>
      <c r="D12" s="224" t="s">
        <v>408</v>
      </c>
      <c r="E12" s="296">
        <f t="shared" si="2"/>
        <v>25</v>
      </c>
      <c r="F12" s="298"/>
      <c r="G12" s="298">
        <v>25</v>
      </c>
      <c r="H12" s="296">
        <f t="shared" si="7"/>
        <v>0</v>
      </c>
      <c r="I12" s="298"/>
      <c r="J12" s="298"/>
      <c r="K12" s="340">
        <f t="shared" si="5"/>
        <v>25</v>
      </c>
      <c r="L12" s="296">
        <f t="shared" si="3"/>
        <v>0</v>
      </c>
      <c r="M12" s="324">
        <f t="shared" si="6"/>
        <v>25</v>
      </c>
    </row>
    <row r="13" spans="1:15" x14ac:dyDescent="0.2">
      <c r="A13" s="299" t="s">
        <v>395</v>
      </c>
      <c r="B13" s="299"/>
      <c r="C13" s="300"/>
      <c r="D13" s="330"/>
      <c r="E13" s="301">
        <f t="shared" ref="E13:M13" si="12">SUM(E7:E12)</f>
        <v>16712</v>
      </c>
      <c r="F13" s="301">
        <f t="shared" si="12"/>
        <v>15546</v>
      </c>
      <c r="G13" s="301">
        <f t="shared" si="12"/>
        <v>1166</v>
      </c>
      <c r="H13" s="301">
        <f t="shared" si="12"/>
        <v>20860</v>
      </c>
      <c r="I13" s="301">
        <f t="shared" si="12"/>
        <v>13860</v>
      </c>
      <c r="J13" s="301">
        <f t="shared" si="12"/>
        <v>7000</v>
      </c>
      <c r="K13" s="339">
        <f>SUM(K7:K12)</f>
        <v>37572</v>
      </c>
      <c r="L13" s="301">
        <f t="shared" si="12"/>
        <v>29406</v>
      </c>
      <c r="M13" s="302">
        <f t="shared" si="12"/>
        <v>8166</v>
      </c>
      <c r="N13" s="293"/>
      <c r="O13" s="293"/>
    </row>
    <row r="14" spans="1:15" ht="12" customHeight="1" thickBot="1" x14ac:dyDescent="0.25">
      <c r="A14" s="304"/>
      <c r="B14" s="303"/>
      <c r="C14" s="304"/>
      <c r="D14" s="331"/>
      <c r="E14" s="305"/>
      <c r="F14" s="305"/>
      <c r="G14" s="305"/>
      <c r="H14" s="305"/>
      <c r="I14" s="305"/>
      <c r="J14" s="305"/>
      <c r="K14" s="341"/>
      <c r="L14" s="305"/>
      <c r="M14" s="342"/>
      <c r="N14" s="293"/>
      <c r="O14" s="293"/>
    </row>
    <row r="15" spans="1:15" ht="14.25" thickTop="1" thickBot="1" x14ac:dyDescent="0.25">
      <c r="A15" s="319" t="s">
        <v>396</v>
      </c>
      <c r="B15" s="306"/>
      <c r="C15" s="306"/>
      <c r="D15" s="332"/>
      <c r="E15" s="307">
        <f>+E13</f>
        <v>16712</v>
      </c>
      <c r="F15" s="307">
        <f>+F13</f>
        <v>15546</v>
      </c>
      <c r="G15" s="307">
        <f>+G13</f>
        <v>1166</v>
      </c>
      <c r="H15" s="307">
        <f>+H13</f>
        <v>20860</v>
      </c>
      <c r="I15" s="307">
        <f>I13</f>
        <v>13860</v>
      </c>
      <c r="J15" s="307">
        <f>J13</f>
        <v>7000</v>
      </c>
      <c r="K15" s="343">
        <f>+K13</f>
        <v>37572</v>
      </c>
      <c r="L15" s="307">
        <f>+L13</f>
        <v>29406</v>
      </c>
      <c r="M15" s="344">
        <f>+M13</f>
        <v>8166</v>
      </c>
      <c r="N15" s="293"/>
      <c r="O15" s="293"/>
    </row>
    <row r="16" spans="1:15" ht="10.5" customHeight="1" thickTop="1" x14ac:dyDescent="0.2">
      <c r="A16" s="333"/>
      <c r="B16" s="295"/>
      <c r="C16" s="295"/>
      <c r="D16" s="329"/>
      <c r="E16" s="308"/>
      <c r="F16" s="308"/>
      <c r="G16" s="308"/>
      <c r="H16" s="308"/>
      <c r="I16" s="308"/>
      <c r="J16" s="308"/>
      <c r="K16" s="345"/>
      <c r="L16" s="308"/>
      <c r="M16" s="346"/>
      <c r="N16" s="293"/>
      <c r="O16" s="293"/>
    </row>
    <row r="17" spans="1:15" x14ac:dyDescent="0.2">
      <c r="A17" s="297" t="str">
        <f t="shared" ref="A17:A21" si="13">MID(C17,1,1)</f>
        <v>2</v>
      </c>
      <c r="B17" s="297" t="str">
        <f t="shared" ref="B17:B21" si="14">MID(C17,1,2)</f>
        <v>21</v>
      </c>
      <c r="C17" s="297">
        <v>2115</v>
      </c>
      <c r="D17" s="224" t="s">
        <v>213</v>
      </c>
      <c r="E17" s="296">
        <f>+F17+G17</f>
        <v>1930</v>
      </c>
      <c r="F17" s="298">
        <v>1930</v>
      </c>
      <c r="G17" s="298"/>
      <c r="H17" s="298">
        <f>+I17+J17</f>
        <v>0</v>
      </c>
      <c r="I17" s="298"/>
      <c r="J17" s="298"/>
      <c r="K17" s="340">
        <f t="shared" ref="K17:K18" si="15">+L17+M17</f>
        <v>1930</v>
      </c>
      <c r="L17" s="296">
        <f t="shared" ref="L17:L18" si="16">+F17+I17</f>
        <v>1930</v>
      </c>
      <c r="M17" s="324">
        <f t="shared" ref="M17:M18" si="17">+G17+J17</f>
        <v>0</v>
      </c>
      <c r="N17" s="293"/>
      <c r="O17" s="293"/>
    </row>
    <row r="18" spans="1:15" x14ac:dyDescent="0.2">
      <c r="A18" s="297" t="str">
        <f t="shared" ref="A18" si="18">MID(C18,1,1)</f>
        <v>2</v>
      </c>
      <c r="B18" s="297" t="str">
        <f t="shared" ref="B18" si="19">MID(C18,1,2)</f>
        <v>21</v>
      </c>
      <c r="C18" s="297">
        <v>2119</v>
      </c>
      <c r="D18" s="224" t="s">
        <v>440</v>
      </c>
      <c r="E18" s="296">
        <f>+F18+G18</f>
        <v>7650</v>
      </c>
      <c r="F18" s="298">
        <v>7650</v>
      </c>
      <c r="G18" s="298"/>
      <c r="H18" s="298">
        <f t="shared" ref="H18" si="20">+I18+J18</f>
        <v>0</v>
      </c>
      <c r="I18" s="298"/>
      <c r="J18" s="298"/>
      <c r="K18" s="340">
        <f t="shared" si="15"/>
        <v>7650</v>
      </c>
      <c r="L18" s="296">
        <f t="shared" si="16"/>
        <v>7650</v>
      </c>
      <c r="M18" s="324">
        <f t="shared" si="17"/>
        <v>0</v>
      </c>
      <c r="N18" s="293"/>
      <c r="O18" s="293"/>
    </row>
    <row r="19" spans="1:15" x14ac:dyDescent="0.2">
      <c r="A19" s="297" t="str">
        <f t="shared" si="13"/>
        <v>2</v>
      </c>
      <c r="B19" s="297" t="str">
        <f t="shared" si="14"/>
        <v>21</v>
      </c>
      <c r="C19" s="297">
        <v>2125</v>
      </c>
      <c r="D19" s="224" t="s">
        <v>316</v>
      </c>
      <c r="E19" s="296">
        <f>+F19+G19</f>
        <v>19400</v>
      </c>
      <c r="F19" s="298">
        <v>19400</v>
      </c>
      <c r="G19" s="298"/>
      <c r="H19" s="298">
        <f t="shared" ref="H19" si="21">+I19+J19</f>
        <v>2000</v>
      </c>
      <c r="I19" s="298">
        <v>2000</v>
      </c>
      <c r="J19" s="298"/>
      <c r="K19" s="340">
        <f t="shared" ref="K19:K20" si="22">+L19+M19</f>
        <v>21400</v>
      </c>
      <c r="L19" s="296">
        <f t="shared" ref="L19:L21" si="23">+F19+I19</f>
        <v>21400</v>
      </c>
      <c r="M19" s="324">
        <f t="shared" ref="M19:M21" si="24">+G19+J19</f>
        <v>0</v>
      </c>
      <c r="N19" s="293"/>
      <c r="O19" s="293"/>
    </row>
    <row r="20" spans="1:15" x14ac:dyDescent="0.2">
      <c r="A20" s="297" t="str">
        <f t="shared" si="13"/>
        <v>2</v>
      </c>
      <c r="B20" s="297" t="str">
        <f t="shared" si="14"/>
        <v>21</v>
      </c>
      <c r="C20" s="297">
        <v>2141</v>
      </c>
      <c r="D20" s="224" t="s">
        <v>142</v>
      </c>
      <c r="E20" s="296">
        <f t="shared" ref="E20" si="25">+F20+G20</f>
        <v>8200</v>
      </c>
      <c r="F20" s="298"/>
      <c r="G20" s="298">
        <v>8200</v>
      </c>
      <c r="H20" s="296">
        <f>+I20+J20</f>
        <v>500</v>
      </c>
      <c r="I20" s="298"/>
      <c r="J20" s="298">
        <v>500</v>
      </c>
      <c r="K20" s="340">
        <f t="shared" si="22"/>
        <v>8700</v>
      </c>
      <c r="L20" s="296">
        <f t="shared" si="23"/>
        <v>0</v>
      </c>
      <c r="M20" s="324">
        <f t="shared" si="24"/>
        <v>8700</v>
      </c>
      <c r="N20" s="293"/>
      <c r="O20" s="293"/>
    </row>
    <row r="21" spans="1:15" x14ac:dyDescent="0.2">
      <c r="A21" s="297" t="str">
        <f t="shared" si="13"/>
        <v>2</v>
      </c>
      <c r="B21" s="297" t="str">
        <f t="shared" si="14"/>
        <v>21</v>
      </c>
      <c r="C21" s="297">
        <v>2143</v>
      </c>
      <c r="D21" s="334" t="s">
        <v>143</v>
      </c>
      <c r="E21" s="296">
        <f t="shared" ref="E21" si="26">+F21+G21</f>
        <v>64833</v>
      </c>
      <c r="F21" s="298">
        <v>64603</v>
      </c>
      <c r="G21" s="298">
        <v>230</v>
      </c>
      <c r="H21" s="298">
        <f t="shared" ref="H21" si="27">+I21+J21</f>
        <v>3860</v>
      </c>
      <c r="I21" s="298">
        <v>3860</v>
      </c>
      <c r="J21" s="298"/>
      <c r="K21" s="340">
        <f t="shared" ref="K21" si="28">+L21+M21</f>
        <v>68693</v>
      </c>
      <c r="L21" s="296">
        <f t="shared" si="23"/>
        <v>68463</v>
      </c>
      <c r="M21" s="324">
        <f t="shared" si="24"/>
        <v>230</v>
      </c>
      <c r="N21" s="293"/>
      <c r="O21" s="293"/>
    </row>
    <row r="22" spans="1:15" x14ac:dyDescent="0.2">
      <c r="A22" s="299" t="s">
        <v>146</v>
      </c>
      <c r="B22" s="299"/>
      <c r="C22" s="300"/>
      <c r="D22" s="330"/>
      <c r="E22" s="301">
        <f t="shared" ref="E22:M22" si="29">SUM(E17:E21)</f>
        <v>102013</v>
      </c>
      <c r="F22" s="301">
        <f t="shared" si="29"/>
        <v>93583</v>
      </c>
      <c r="G22" s="301">
        <f t="shared" si="29"/>
        <v>8430</v>
      </c>
      <c r="H22" s="301">
        <f t="shared" si="29"/>
        <v>6360</v>
      </c>
      <c r="I22" s="301">
        <f t="shared" si="29"/>
        <v>5860</v>
      </c>
      <c r="J22" s="301">
        <f t="shared" si="29"/>
        <v>500</v>
      </c>
      <c r="K22" s="339">
        <f t="shared" si="29"/>
        <v>108373</v>
      </c>
      <c r="L22" s="301">
        <f t="shared" si="29"/>
        <v>99443</v>
      </c>
      <c r="M22" s="302">
        <f t="shared" si="29"/>
        <v>8930</v>
      </c>
      <c r="N22" s="293"/>
      <c r="O22" s="293"/>
    </row>
    <row r="23" spans="1:15" ht="10.5" customHeight="1" x14ac:dyDescent="0.2">
      <c r="A23" s="297"/>
      <c r="B23" s="309"/>
      <c r="C23" s="297"/>
      <c r="D23" s="224"/>
      <c r="E23" s="310"/>
      <c r="F23" s="310"/>
      <c r="G23" s="310"/>
      <c r="H23" s="310"/>
      <c r="I23" s="310"/>
      <c r="J23" s="310"/>
      <c r="K23" s="347"/>
      <c r="L23" s="310"/>
      <c r="M23" s="325"/>
      <c r="N23" s="293"/>
      <c r="O23" s="293"/>
    </row>
    <row r="24" spans="1:15" x14ac:dyDescent="0.2">
      <c r="A24" s="297" t="str">
        <f>MID(C24,1,1)</f>
        <v>2</v>
      </c>
      <c r="B24" s="297" t="str">
        <f>MID(C24,1,2)</f>
        <v>22</v>
      </c>
      <c r="C24" s="297">
        <v>2212</v>
      </c>
      <c r="D24" s="224" t="s">
        <v>214</v>
      </c>
      <c r="E24" s="296">
        <f t="shared" ref="E24:E34" si="30">+F24+G24</f>
        <v>973946</v>
      </c>
      <c r="F24" s="298">
        <v>806104</v>
      </c>
      <c r="G24" s="298">
        <v>167842</v>
      </c>
      <c r="H24" s="298">
        <f t="shared" ref="H24:H34" si="31">+I24+J24</f>
        <v>1617262</v>
      </c>
      <c r="I24" s="298">
        <v>1602507</v>
      </c>
      <c r="J24" s="298">
        <v>14755</v>
      </c>
      <c r="K24" s="340">
        <f t="shared" ref="K24" si="32">+L24+M24</f>
        <v>2591208</v>
      </c>
      <c r="L24" s="296">
        <f t="shared" ref="L24:L34" si="33">+F24+I24</f>
        <v>2408611</v>
      </c>
      <c r="M24" s="324">
        <f t="shared" ref="M24:M34" si="34">+G24+J24</f>
        <v>182597</v>
      </c>
      <c r="N24" s="293"/>
      <c r="O24" s="293"/>
    </row>
    <row r="25" spans="1:15" x14ac:dyDescent="0.2">
      <c r="A25" s="297">
        <v>2</v>
      </c>
      <c r="B25" s="297">
        <v>22</v>
      </c>
      <c r="C25" s="297">
        <v>2219</v>
      </c>
      <c r="D25" s="224" t="s">
        <v>148</v>
      </c>
      <c r="E25" s="296">
        <f t="shared" si="30"/>
        <v>572024</v>
      </c>
      <c r="F25" s="298">
        <v>377467</v>
      </c>
      <c r="G25" s="298">
        <v>194557</v>
      </c>
      <c r="H25" s="298">
        <f t="shared" si="31"/>
        <v>549157</v>
      </c>
      <c r="I25" s="298">
        <v>497449</v>
      </c>
      <c r="J25" s="298">
        <v>51708</v>
      </c>
      <c r="K25" s="340">
        <f t="shared" ref="K25:K34" si="35">+L25+M25</f>
        <v>1121181</v>
      </c>
      <c r="L25" s="296">
        <f t="shared" si="33"/>
        <v>874916</v>
      </c>
      <c r="M25" s="324">
        <f t="shared" si="34"/>
        <v>246265</v>
      </c>
      <c r="N25" s="293"/>
      <c r="O25" s="293"/>
    </row>
    <row r="26" spans="1:15" x14ac:dyDescent="0.2">
      <c r="A26" s="297">
        <v>2</v>
      </c>
      <c r="B26" s="297">
        <v>22</v>
      </c>
      <c r="C26" s="297">
        <v>2221</v>
      </c>
      <c r="D26" s="224" t="s">
        <v>331</v>
      </c>
      <c r="E26" s="296">
        <f t="shared" si="30"/>
        <v>366</v>
      </c>
      <c r="F26" s="298"/>
      <c r="G26" s="298">
        <v>366</v>
      </c>
      <c r="H26" s="296">
        <f>+I26+J26</f>
        <v>470</v>
      </c>
      <c r="I26" s="298"/>
      <c r="J26" s="298">
        <v>470</v>
      </c>
      <c r="K26" s="340">
        <f t="shared" si="35"/>
        <v>836</v>
      </c>
      <c r="L26" s="296">
        <f t="shared" si="33"/>
        <v>0</v>
      </c>
      <c r="M26" s="324">
        <f t="shared" si="34"/>
        <v>836</v>
      </c>
      <c r="N26" s="293"/>
      <c r="O26" s="293"/>
    </row>
    <row r="27" spans="1:15" x14ac:dyDescent="0.2">
      <c r="A27" s="297" t="str">
        <f t="shared" ref="A27:A31" si="36">MID(C27,1,1)</f>
        <v>2</v>
      </c>
      <c r="B27" s="297" t="str">
        <f t="shared" ref="B27:B31" si="37">MID(C27,1,2)</f>
        <v>22</v>
      </c>
      <c r="C27" s="297">
        <v>2223</v>
      </c>
      <c r="D27" s="224" t="s">
        <v>215</v>
      </c>
      <c r="E27" s="296">
        <f t="shared" si="30"/>
        <v>3529</v>
      </c>
      <c r="F27" s="298">
        <v>3109</v>
      </c>
      <c r="G27" s="298">
        <v>420</v>
      </c>
      <c r="H27" s="296">
        <f>+I27+J27</f>
        <v>0</v>
      </c>
      <c r="I27" s="298"/>
      <c r="J27" s="298"/>
      <c r="K27" s="340">
        <f>+L27+M27</f>
        <v>3529</v>
      </c>
      <c r="L27" s="296">
        <f t="shared" si="33"/>
        <v>3109</v>
      </c>
      <c r="M27" s="324">
        <f t="shared" si="34"/>
        <v>420</v>
      </c>
      <c r="N27" s="293"/>
      <c r="O27" s="293"/>
    </row>
    <row r="28" spans="1:15" x14ac:dyDescent="0.2">
      <c r="A28" s="297" t="str">
        <f t="shared" si="36"/>
        <v>2</v>
      </c>
      <c r="B28" s="297" t="str">
        <f t="shared" si="37"/>
        <v>22</v>
      </c>
      <c r="C28" s="297">
        <v>2229</v>
      </c>
      <c r="D28" s="224" t="s">
        <v>216</v>
      </c>
      <c r="E28" s="296">
        <f t="shared" si="30"/>
        <v>24625</v>
      </c>
      <c r="F28" s="298">
        <v>22530</v>
      </c>
      <c r="G28" s="298">
        <v>2095</v>
      </c>
      <c r="H28" s="298">
        <f t="shared" si="31"/>
        <v>24500</v>
      </c>
      <c r="I28" s="298">
        <v>24500</v>
      </c>
      <c r="J28" s="298"/>
      <c r="K28" s="340">
        <f t="shared" ref="K28:K30" si="38">+L28+M28</f>
        <v>49125</v>
      </c>
      <c r="L28" s="296">
        <f t="shared" si="33"/>
        <v>47030</v>
      </c>
      <c r="M28" s="324">
        <f t="shared" si="34"/>
        <v>2095</v>
      </c>
      <c r="N28" s="293"/>
      <c r="O28" s="293"/>
    </row>
    <row r="29" spans="1:15" x14ac:dyDescent="0.2">
      <c r="A29" s="297" t="str">
        <f t="shared" si="36"/>
        <v>2</v>
      </c>
      <c r="B29" s="297" t="str">
        <f t="shared" si="37"/>
        <v>22</v>
      </c>
      <c r="C29" s="297">
        <v>2271</v>
      </c>
      <c r="D29" s="224" t="s">
        <v>217</v>
      </c>
      <c r="E29" s="296">
        <f t="shared" si="30"/>
        <v>56875</v>
      </c>
      <c r="F29" s="298">
        <v>56875</v>
      </c>
      <c r="G29" s="298"/>
      <c r="H29" s="298">
        <f t="shared" si="31"/>
        <v>161020</v>
      </c>
      <c r="I29" s="298">
        <v>161020</v>
      </c>
      <c r="J29" s="298"/>
      <c r="K29" s="340">
        <f t="shared" si="38"/>
        <v>217895</v>
      </c>
      <c r="L29" s="296">
        <f t="shared" si="33"/>
        <v>217895</v>
      </c>
      <c r="M29" s="324">
        <f t="shared" si="34"/>
        <v>0</v>
      </c>
      <c r="N29" s="293"/>
      <c r="O29" s="293"/>
    </row>
    <row r="30" spans="1:15" x14ac:dyDescent="0.2">
      <c r="A30" s="297" t="str">
        <f t="shared" si="36"/>
        <v>2</v>
      </c>
      <c r="B30" s="297" t="str">
        <f t="shared" si="37"/>
        <v>22</v>
      </c>
      <c r="C30" s="297">
        <v>2291</v>
      </c>
      <c r="D30" s="224" t="s">
        <v>428</v>
      </c>
      <c r="E30" s="296">
        <f t="shared" si="30"/>
        <v>752</v>
      </c>
      <c r="F30" s="298">
        <v>752</v>
      </c>
      <c r="G30" s="298"/>
      <c r="H30" s="298"/>
      <c r="I30" s="298"/>
      <c r="J30" s="298"/>
      <c r="K30" s="340">
        <f t="shared" si="38"/>
        <v>752</v>
      </c>
      <c r="L30" s="296">
        <f t="shared" si="33"/>
        <v>752</v>
      </c>
      <c r="M30" s="324"/>
      <c r="N30" s="293"/>
      <c r="O30" s="293"/>
    </row>
    <row r="31" spans="1:15" x14ac:dyDescent="0.2">
      <c r="A31" s="297" t="str">
        <f t="shared" si="36"/>
        <v>2</v>
      </c>
      <c r="B31" s="297" t="str">
        <f t="shared" si="37"/>
        <v>22</v>
      </c>
      <c r="C31" s="297">
        <v>2292</v>
      </c>
      <c r="D31" s="224" t="s">
        <v>326</v>
      </c>
      <c r="E31" s="296">
        <f t="shared" si="30"/>
        <v>891497</v>
      </c>
      <c r="F31" s="298">
        <v>891497</v>
      </c>
      <c r="G31" s="298"/>
      <c r="H31" s="298">
        <f t="shared" si="31"/>
        <v>0</v>
      </c>
      <c r="I31" s="298"/>
      <c r="J31" s="298"/>
      <c r="K31" s="340">
        <f t="shared" si="35"/>
        <v>891497</v>
      </c>
      <c r="L31" s="296">
        <f t="shared" si="33"/>
        <v>891497</v>
      </c>
      <c r="M31" s="324">
        <f t="shared" si="34"/>
        <v>0</v>
      </c>
      <c r="N31" s="293"/>
      <c r="O31" s="293"/>
    </row>
    <row r="32" spans="1:15" x14ac:dyDescent="0.2">
      <c r="A32" s="297" t="str">
        <f t="shared" ref="A32:A33" si="39">MID(C32,1,1)</f>
        <v>2</v>
      </c>
      <c r="B32" s="297" t="str">
        <f t="shared" ref="B32:B33" si="40">MID(C32,1,2)</f>
        <v>22</v>
      </c>
      <c r="C32" s="297">
        <v>2293</v>
      </c>
      <c r="D32" s="224" t="s">
        <v>349</v>
      </c>
      <c r="E32" s="296">
        <f t="shared" ref="E32:E33" si="41">+F32+G32</f>
        <v>22149</v>
      </c>
      <c r="F32" s="298">
        <v>22149</v>
      </c>
      <c r="G32" s="298"/>
      <c r="H32" s="298">
        <f t="shared" ref="H32:H33" si="42">+I32+J32</f>
        <v>0</v>
      </c>
      <c r="I32" s="298"/>
      <c r="J32" s="298"/>
      <c r="K32" s="340">
        <f t="shared" ref="K32:K33" si="43">+L32+M32</f>
        <v>22149</v>
      </c>
      <c r="L32" s="296">
        <f t="shared" si="33"/>
        <v>22149</v>
      </c>
      <c r="M32" s="324">
        <f t="shared" si="34"/>
        <v>0</v>
      </c>
      <c r="N32" s="293"/>
      <c r="O32" s="293"/>
    </row>
    <row r="33" spans="1:15" x14ac:dyDescent="0.2">
      <c r="A33" s="297" t="str">
        <f t="shared" si="39"/>
        <v>2</v>
      </c>
      <c r="B33" s="297" t="str">
        <f t="shared" si="40"/>
        <v>22</v>
      </c>
      <c r="C33" s="297">
        <v>2294</v>
      </c>
      <c r="D33" s="224" t="s">
        <v>350</v>
      </c>
      <c r="E33" s="296">
        <f t="shared" si="41"/>
        <v>1833059</v>
      </c>
      <c r="F33" s="298">
        <v>1833059</v>
      </c>
      <c r="G33" s="298"/>
      <c r="H33" s="298">
        <f t="shared" si="42"/>
        <v>0</v>
      </c>
      <c r="I33" s="298"/>
      <c r="J33" s="298"/>
      <c r="K33" s="340">
        <f t="shared" si="43"/>
        <v>1833059</v>
      </c>
      <c r="L33" s="296">
        <f t="shared" si="33"/>
        <v>1833059</v>
      </c>
      <c r="M33" s="324">
        <f t="shared" si="34"/>
        <v>0</v>
      </c>
      <c r="N33" s="293"/>
      <c r="O33" s="293"/>
    </row>
    <row r="34" spans="1:15" x14ac:dyDescent="0.2">
      <c r="A34" s="297">
        <v>2</v>
      </c>
      <c r="B34" s="297">
        <v>22</v>
      </c>
      <c r="C34" s="297">
        <v>2299</v>
      </c>
      <c r="D34" s="224" t="s">
        <v>218</v>
      </c>
      <c r="E34" s="296">
        <f t="shared" si="30"/>
        <v>33460</v>
      </c>
      <c r="F34" s="298">
        <v>33460</v>
      </c>
      <c r="G34" s="298"/>
      <c r="H34" s="298">
        <f t="shared" si="31"/>
        <v>0</v>
      </c>
      <c r="I34" s="298"/>
      <c r="J34" s="298"/>
      <c r="K34" s="340">
        <f t="shared" si="35"/>
        <v>33460</v>
      </c>
      <c r="L34" s="296">
        <f t="shared" si="33"/>
        <v>33460</v>
      </c>
      <c r="M34" s="324">
        <f t="shared" si="34"/>
        <v>0</v>
      </c>
      <c r="N34" s="293"/>
      <c r="O34" s="293"/>
    </row>
    <row r="35" spans="1:15" x14ac:dyDescent="0.2">
      <c r="A35" s="299" t="s">
        <v>149</v>
      </c>
      <c r="B35" s="299"/>
      <c r="C35" s="300"/>
      <c r="D35" s="330"/>
      <c r="E35" s="301">
        <f t="shared" ref="E35:M35" si="44">SUM(E24:E34)</f>
        <v>4412282</v>
      </c>
      <c r="F35" s="301">
        <f t="shared" si="44"/>
        <v>4047002</v>
      </c>
      <c r="G35" s="301">
        <f t="shared" si="44"/>
        <v>365280</v>
      </c>
      <c r="H35" s="301">
        <f t="shared" si="44"/>
        <v>2352409</v>
      </c>
      <c r="I35" s="301">
        <f t="shared" si="44"/>
        <v>2285476</v>
      </c>
      <c r="J35" s="301">
        <f t="shared" si="44"/>
        <v>66933</v>
      </c>
      <c r="K35" s="339">
        <f t="shared" si="44"/>
        <v>6764691</v>
      </c>
      <c r="L35" s="301">
        <f t="shared" si="44"/>
        <v>6332478</v>
      </c>
      <c r="M35" s="302">
        <f t="shared" si="44"/>
        <v>432213</v>
      </c>
      <c r="N35" s="293"/>
      <c r="O35" s="293"/>
    </row>
    <row r="36" spans="1:15" ht="10.5" customHeight="1" x14ac:dyDescent="0.2">
      <c r="A36" s="297"/>
      <c r="B36" s="309"/>
      <c r="C36" s="297"/>
      <c r="D36" s="224"/>
      <c r="E36" s="310"/>
      <c r="F36" s="310"/>
      <c r="G36" s="310"/>
      <c r="H36" s="310"/>
      <c r="I36" s="310"/>
      <c r="J36" s="310"/>
      <c r="K36" s="347"/>
      <c r="L36" s="310"/>
      <c r="M36" s="325"/>
      <c r="N36" s="293"/>
      <c r="O36" s="293"/>
    </row>
    <row r="37" spans="1:15" x14ac:dyDescent="0.2">
      <c r="A37" s="297" t="str">
        <f>MID(C37,1,1)</f>
        <v>2</v>
      </c>
      <c r="B37" s="297" t="str">
        <f t="shared" ref="B37:B42" si="45">MID(C37,1,2)</f>
        <v>23</v>
      </c>
      <c r="C37" s="297">
        <v>2310</v>
      </c>
      <c r="D37" s="224" t="s">
        <v>219</v>
      </c>
      <c r="E37" s="296">
        <f t="shared" ref="E37:E41" si="46">+F37+G37</f>
        <v>672</v>
      </c>
      <c r="F37" s="298">
        <v>150</v>
      </c>
      <c r="G37" s="298">
        <v>522</v>
      </c>
      <c r="H37" s="298">
        <f t="shared" ref="H37:H42" si="47">+I37+J37</f>
        <v>241255</v>
      </c>
      <c r="I37" s="298">
        <v>240892</v>
      </c>
      <c r="J37" s="298">
        <v>363</v>
      </c>
      <c r="K37" s="340">
        <f t="shared" ref="K37" si="48">+L37+M37</f>
        <v>241927</v>
      </c>
      <c r="L37" s="296">
        <f t="shared" ref="L37:L42" si="49">+F37+I37</f>
        <v>241042</v>
      </c>
      <c r="M37" s="324">
        <f t="shared" ref="M37:M42" si="50">+G37+J37</f>
        <v>885</v>
      </c>
      <c r="N37" s="293"/>
      <c r="O37" s="293"/>
    </row>
    <row r="38" spans="1:15" x14ac:dyDescent="0.2">
      <c r="A38" s="297" t="str">
        <f>MID(C38,1,1)</f>
        <v>2</v>
      </c>
      <c r="B38" s="297" t="str">
        <f t="shared" si="45"/>
        <v>23</v>
      </c>
      <c r="C38" s="297">
        <v>2321</v>
      </c>
      <c r="D38" s="224" t="s">
        <v>220</v>
      </c>
      <c r="E38" s="296">
        <f t="shared" si="46"/>
        <v>1290</v>
      </c>
      <c r="F38" s="298">
        <v>100</v>
      </c>
      <c r="G38" s="298">
        <v>1190</v>
      </c>
      <c r="H38" s="298">
        <f t="shared" si="47"/>
        <v>831108</v>
      </c>
      <c r="I38" s="298">
        <v>830108</v>
      </c>
      <c r="J38" s="298">
        <v>1000</v>
      </c>
      <c r="K38" s="340">
        <f t="shared" ref="K38:K42" si="51">+L38+M38</f>
        <v>832398</v>
      </c>
      <c r="L38" s="296">
        <f t="shared" si="49"/>
        <v>830208</v>
      </c>
      <c r="M38" s="324">
        <f t="shared" si="50"/>
        <v>2190</v>
      </c>
      <c r="N38" s="293"/>
      <c r="O38" s="293"/>
    </row>
    <row r="39" spans="1:15" x14ac:dyDescent="0.2">
      <c r="A39" s="297">
        <v>2</v>
      </c>
      <c r="B39" s="297" t="str">
        <f t="shared" si="45"/>
        <v>23</v>
      </c>
      <c r="C39" s="297">
        <v>2329</v>
      </c>
      <c r="D39" s="224" t="s">
        <v>221</v>
      </c>
      <c r="E39" s="296">
        <f>+F39+G39</f>
        <v>1000</v>
      </c>
      <c r="F39" s="298">
        <v>1000</v>
      </c>
      <c r="G39" s="298"/>
      <c r="H39" s="298">
        <f t="shared" si="47"/>
        <v>9289</v>
      </c>
      <c r="I39" s="298">
        <v>9289</v>
      </c>
      <c r="J39" s="298"/>
      <c r="K39" s="340">
        <f t="shared" si="51"/>
        <v>10289</v>
      </c>
      <c r="L39" s="296">
        <f t="shared" si="49"/>
        <v>10289</v>
      </c>
      <c r="M39" s="324">
        <f t="shared" si="50"/>
        <v>0</v>
      </c>
      <c r="N39" s="293"/>
      <c r="O39" s="293"/>
    </row>
    <row r="40" spans="1:15" x14ac:dyDescent="0.2">
      <c r="A40" s="297">
        <v>2</v>
      </c>
      <c r="B40" s="297" t="str">
        <f t="shared" si="45"/>
        <v>23</v>
      </c>
      <c r="C40" s="297">
        <v>2331</v>
      </c>
      <c r="D40" s="224" t="s">
        <v>409</v>
      </c>
      <c r="E40" s="296">
        <f t="shared" si="46"/>
        <v>8000</v>
      </c>
      <c r="F40" s="298">
        <v>8000</v>
      </c>
      <c r="G40" s="298"/>
      <c r="H40" s="298">
        <f t="shared" si="47"/>
        <v>0</v>
      </c>
      <c r="I40" s="298"/>
      <c r="J40" s="298"/>
      <c r="K40" s="340">
        <f t="shared" si="51"/>
        <v>8000</v>
      </c>
      <c r="L40" s="296">
        <f t="shared" si="49"/>
        <v>8000</v>
      </c>
      <c r="M40" s="324">
        <f t="shared" si="50"/>
        <v>0</v>
      </c>
      <c r="N40" s="293"/>
      <c r="O40" s="293"/>
    </row>
    <row r="41" spans="1:15" x14ac:dyDescent="0.2">
      <c r="A41" s="297" t="str">
        <f>MID(C41,1,1)</f>
        <v>2</v>
      </c>
      <c r="B41" s="297" t="str">
        <f t="shared" si="45"/>
        <v>23</v>
      </c>
      <c r="C41" s="297">
        <v>2333</v>
      </c>
      <c r="D41" s="224" t="s">
        <v>222</v>
      </c>
      <c r="E41" s="296">
        <f t="shared" si="46"/>
        <v>4501</v>
      </c>
      <c r="F41" s="298">
        <v>3811</v>
      </c>
      <c r="G41" s="298">
        <v>690</v>
      </c>
      <c r="H41" s="298">
        <f t="shared" si="47"/>
        <v>200</v>
      </c>
      <c r="I41" s="298"/>
      <c r="J41" s="298">
        <v>200</v>
      </c>
      <c r="K41" s="340">
        <f t="shared" si="51"/>
        <v>4701</v>
      </c>
      <c r="L41" s="296">
        <f t="shared" si="49"/>
        <v>3811</v>
      </c>
      <c r="M41" s="324">
        <f t="shared" si="50"/>
        <v>890</v>
      </c>
      <c r="N41" s="293"/>
      <c r="O41" s="293"/>
    </row>
    <row r="42" spans="1:15" x14ac:dyDescent="0.2">
      <c r="A42" s="297">
        <v>2</v>
      </c>
      <c r="B42" s="297" t="str">
        <f t="shared" si="45"/>
        <v>23</v>
      </c>
      <c r="C42" s="297">
        <v>2341</v>
      </c>
      <c r="D42" s="224" t="s">
        <v>330</v>
      </c>
      <c r="E42" s="296">
        <f>+F42+G42</f>
        <v>800</v>
      </c>
      <c r="F42" s="298"/>
      <c r="G42" s="298">
        <v>800</v>
      </c>
      <c r="H42" s="298">
        <f t="shared" si="47"/>
        <v>7698</v>
      </c>
      <c r="I42" s="298"/>
      <c r="J42" s="298">
        <v>7698</v>
      </c>
      <c r="K42" s="340">
        <f t="shared" si="51"/>
        <v>8498</v>
      </c>
      <c r="L42" s="296">
        <f t="shared" si="49"/>
        <v>0</v>
      </c>
      <c r="M42" s="324">
        <f t="shared" si="50"/>
        <v>8498</v>
      </c>
      <c r="N42" s="293"/>
      <c r="O42" s="293"/>
    </row>
    <row r="43" spans="1:15" x14ac:dyDescent="0.2">
      <c r="A43" s="299" t="s">
        <v>151</v>
      </c>
      <c r="B43" s="299"/>
      <c r="C43" s="300"/>
      <c r="D43" s="330"/>
      <c r="E43" s="339">
        <f t="shared" ref="E43:M43" si="52">SUM(E37:E42)</f>
        <v>16263</v>
      </c>
      <c r="F43" s="301">
        <f t="shared" si="52"/>
        <v>13061</v>
      </c>
      <c r="G43" s="302">
        <f t="shared" si="52"/>
        <v>3202</v>
      </c>
      <c r="H43" s="301">
        <f t="shared" si="52"/>
        <v>1089550</v>
      </c>
      <c r="I43" s="301">
        <f t="shared" si="52"/>
        <v>1080289</v>
      </c>
      <c r="J43" s="301">
        <f t="shared" si="52"/>
        <v>9261</v>
      </c>
      <c r="K43" s="339">
        <f t="shared" si="52"/>
        <v>1105813</v>
      </c>
      <c r="L43" s="301">
        <f t="shared" si="52"/>
        <v>1093350</v>
      </c>
      <c r="M43" s="301">
        <f t="shared" si="52"/>
        <v>12463</v>
      </c>
      <c r="N43" s="293"/>
      <c r="O43" s="293"/>
    </row>
    <row r="44" spans="1:15" ht="8.25" customHeight="1" x14ac:dyDescent="0.2">
      <c r="A44" s="313"/>
      <c r="B44" s="313"/>
      <c r="C44" s="314"/>
      <c r="D44" s="337"/>
      <c r="E44" s="351"/>
      <c r="F44" s="315"/>
      <c r="G44" s="352"/>
      <c r="H44" s="315"/>
      <c r="I44" s="315"/>
      <c r="J44" s="315"/>
      <c r="K44" s="351"/>
      <c r="L44" s="315"/>
      <c r="M44" s="352"/>
      <c r="N44" s="293"/>
      <c r="O44" s="293"/>
    </row>
    <row r="45" spans="1:15" x14ac:dyDescent="0.2">
      <c r="A45" s="297">
        <v>2</v>
      </c>
      <c r="B45" s="297" t="str">
        <f>MID(C45,1,2)</f>
        <v>24</v>
      </c>
      <c r="C45" s="297">
        <v>2411</v>
      </c>
      <c r="D45" s="224" t="s">
        <v>323</v>
      </c>
      <c r="E45" s="298">
        <f>+F45+G45</f>
        <v>401</v>
      </c>
      <c r="F45" s="298"/>
      <c r="G45" s="298">
        <v>401</v>
      </c>
      <c r="H45" s="298">
        <f t="shared" ref="H45" si="53">+I45+J45</f>
        <v>0</v>
      </c>
      <c r="I45" s="298"/>
      <c r="J45" s="298"/>
      <c r="K45" s="350">
        <f t="shared" ref="K45" si="54">+L45+M45</f>
        <v>401</v>
      </c>
      <c r="L45" s="298">
        <f t="shared" ref="L45" si="55">+F45+I45</f>
        <v>0</v>
      </c>
      <c r="M45" s="326">
        <f t="shared" ref="M45" si="56">+G45+J45</f>
        <v>401</v>
      </c>
      <c r="N45" s="293"/>
      <c r="O45" s="293"/>
    </row>
    <row r="46" spans="1:15" x14ac:dyDescent="0.2">
      <c r="A46" s="297">
        <v>2</v>
      </c>
      <c r="B46" s="297" t="str">
        <f>MID(C46,1,2)</f>
        <v>24</v>
      </c>
      <c r="C46" s="297">
        <v>2419</v>
      </c>
      <c r="D46" s="224" t="s">
        <v>314</v>
      </c>
      <c r="E46" s="298">
        <f>+F46+G46</f>
        <v>476</v>
      </c>
      <c r="F46" s="298"/>
      <c r="G46" s="298">
        <v>476</v>
      </c>
      <c r="H46" s="298">
        <f t="shared" ref="H46" si="57">+I46+J46</f>
        <v>0</v>
      </c>
      <c r="I46" s="298"/>
      <c r="J46" s="298"/>
      <c r="K46" s="350">
        <f t="shared" ref="K46" si="58">+L46+M46</f>
        <v>476</v>
      </c>
      <c r="L46" s="298">
        <f t="shared" ref="L46" si="59">+F46+I46</f>
        <v>0</v>
      </c>
      <c r="M46" s="326">
        <f t="shared" ref="M46" si="60">+G46+J46</f>
        <v>476</v>
      </c>
      <c r="N46" s="293"/>
      <c r="O46" s="293"/>
    </row>
    <row r="47" spans="1:15" x14ac:dyDescent="0.2">
      <c r="A47" s="299" t="s">
        <v>313</v>
      </c>
      <c r="B47" s="299"/>
      <c r="C47" s="300"/>
      <c r="D47" s="330"/>
      <c r="E47" s="301">
        <f t="shared" ref="E47:M47" si="61">SUM(E45:E46)</f>
        <v>877</v>
      </c>
      <c r="F47" s="301">
        <f t="shared" si="61"/>
        <v>0</v>
      </c>
      <c r="G47" s="301">
        <f t="shared" si="61"/>
        <v>877</v>
      </c>
      <c r="H47" s="301">
        <f t="shared" si="61"/>
        <v>0</v>
      </c>
      <c r="I47" s="301">
        <f t="shared" si="61"/>
        <v>0</v>
      </c>
      <c r="J47" s="301">
        <f t="shared" si="61"/>
        <v>0</v>
      </c>
      <c r="K47" s="339">
        <f t="shared" si="61"/>
        <v>877</v>
      </c>
      <c r="L47" s="301">
        <f t="shared" si="61"/>
        <v>0</v>
      </c>
      <c r="M47" s="302">
        <f t="shared" si="61"/>
        <v>877</v>
      </c>
      <c r="N47" s="293"/>
      <c r="O47" s="293"/>
    </row>
    <row r="48" spans="1:15" ht="10.5" customHeight="1" thickBot="1" x14ac:dyDescent="0.25">
      <c r="A48" s="304"/>
      <c r="B48" s="303"/>
      <c r="C48" s="304"/>
      <c r="D48" s="331"/>
      <c r="E48" s="305"/>
      <c r="F48" s="305"/>
      <c r="G48" s="305"/>
      <c r="H48" s="305"/>
      <c r="I48" s="305"/>
      <c r="J48" s="305"/>
      <c r="K48" s="341"/>
      <c r="L48" s="305"/>
      <c r="M48" s="342"/>
      <c r="N48" s="293"/>
      <c r="O48" s="293"/>
    </row>
    <row r="49" spans="1:15" ht="14.25" thickTop="1" thickBot="1" x14ac:dyDescent="0.25">
      <c r="A49" s="335" t="s">
        <v>152</v>
      </c>
      <c r="B49" s="311"/>
      <c r="C49" s="311"/>
      <c r="D49" s="336"/>
      <c r="E49" s="312">
        <f t="shared" ref="E49:M49" si="62">+E22+E35+E43+E47</f>
        <v>4531435</v>
      </c>
      <c r="F49" s="312">
        <f t="shared" si="62"/>
        <v>4153646</v>
      </c>
      <c r="G49" s="312">
        <f t="shared" si="62"/>
        <v>377789</v>
      </c>
      <c r="H49" s="312">
        <f t="shared" si="62"/>
        <v>3448319</v>
      </c>
      <c r="I49" s="312">
        <f t="shared" si="62"/>
        <v>3371625</v>
      </c>
      <c r="J49" s="312">
        <f t="shared" si="62"/>
        <v>76694</v>
      </c>
      <c r="K49" s="348">
        <f t="shared" si="62"/>
        <v>7979754</v>
      </c>
      <c r="L49" s="312">
        <f t="shared" si="62"/>
        <v>7525271</v>
      </c>
      <c r="M49" s="349">
        <f t="shared" si="62"/>
        <v>454483</v>
      </c>
      <c r="N49" s="293"/>
      <c r="O49" s="293"/>
    </row>
    <row r="50" spans="1:15" ht="13.5" thickTop="1" x14ac:dyDescent="0.2">
      <c r="A50" s="333"/>
      <c r="B50" s="295"/>
      <c r="C50" s="295"/>
      <c r="D50" s="329"/>
      <c r="E50" s="308"/>
      <c r="F50" s="308"/>
      <c r="G50" s="308"/>
      <c r="H50" s="308"/>
      <c r="I50" s="308"/>
      <c r="J50" s="308"/>
      <c r="K50" s="345"/>
      <c r="L50" s="308"/>
      <c r="M50" s="346"/>
      <c r="N50" s="293"/>
      <c r="O50" s="293"/>
    </row>
    <row r="51" spans="1:15" x14ac:dyDescent="0.2">
      <c r="A51" s="295">
        <v>3</v>
      </c>
      <c r="B51" s="295">
        <v>31</v>
      </c>
      <c r="C51" s="295">
        <v>3111</v>
      </c>
      <c r="D51" s="329" t="s">
        <v>153</v>
      </c>
      <c r="E51" s="296">
        <f t="shared" ref="E51:E60" si="63">+F51+G51</f>
        <v>204761</v>
      </c>
      <c r="F51" s="296">
        <v>5467</v>
      </c>
      <c r="G51" s="296">
        <v>199294</v>
      </c>
      <c r="H51" s="298">
        <f t="shared" ref="H51:H60" si="64">+I51+J51</f>
        <v>160206</v>
      </c>
      <c r="I51" s="296">
        <v>51242</v>
      </c>
      <c r="J51" s="296">
        <v>108964</v>
      </c>
      <c r="K51" s="340">
        <f t="shared" ref="K51" si="65">+L51+M51</f>
        <v>364967</v>
      </c>
      <c r="L51" s="296">
        <f t="shared" ref="L51:L59" si="66">+F51+I51</f>
        <v>56709</v>
      </c>
      <c r="M51" s="324">
        <f t="shared" ref="M51:M59" si="67">+G51+J51</f>
        <v>308258</v>
      </c>
      <c r="N51" s="293"/>
      <c r="O51" s="293"/>
    </row>
    <row r="52" spans="1:15" x14ac:dyDescent="0.2">
      <c r="A52" s="297" t="str">
        <f>MID(C52,1,1)</f>
        <v>3</v>
      </c>
      <c r="B52" s="297" t="str">
        <f>MID(C52,1,2)</f>
        <v>31</v>
      </c>
      <c r="C52" s="297">
        <v>3113</v>
      </c>
      <c r="D52" s="224" t="s">
        <v>223</v>
      </c>
      <c r="E52" s="296">
        <f t="shared" si="63"/>
        <v>562121</v>
      </c>
      <c r="F52" s="298">
        <v>39902</v>
      </c>
      <c r="G52" s="298">
        <v>522219</v>
      </c>
      <c r="H52" s="298">
        <f t="shared" si="64"/>
        <v>475275</v>
      </c>
      <c r="I52" s="298">
        <v>99560</v>
      </c>
      <c r="J52" s="298">
        <v>375715</v>
      </c>
      <c r="K52" s="340">
        <f t="shared" ref="K52:K60" si="68">+L52+M52</f>
        <v>1037396</v>
      </c>
      <c r="L52" s="296">
        <f t="shared" si="66"/>
        <v>139462</v>
      </c>
      <c r="M52" s="324">
        <f t="shared" si="67"/>
        <v>897934</v>
      </c>
      <c r="N52" s="293"/>
      <c r="O52" s="293"/>
    </row>
    <row r="53" spans="1:15" x14ac:dyDescent="0.2">
      <c r="A53" s="297">
        <v>3</v>
      </c>
      <c r="B53" s="297">
        <v>31</v>
      </c>
      <c r="C53" s="297">
        <v>3114</v>
      </c>
      <c r="D53" s="224" t="s">
        <v>410</v>
      </c>
      <c r="E53" s="296">
        <f t="shared" si="63"/>
        <v>5</v>
      </c>
      <c r="F53" s="298"/>
      <c r="G53" s="298">
        <v>5</v>
      </c>
      <c r="H53" s="298">
        <f t="shared" si="64"/>
        <v>0</v>
      </c>
      <c r="I53" s="298"/>
      <c r="J53" s="298"/>
      <c r="K53" s="340">
        <f>+L53+M53</f>
        <v>5</v>
      </c>
      <c r="L53" s="296">
        <f t="shared" si="66"/>
        <v>0</v>
      </c>
      <c r="M53" s="324">
        <f t="shared" si="67"/>
        <v>5</v>
      </c>
      <c r="N53" s="293"/>
      <c r="O53" s="293"/>
    </row>
    <row r="54" spans="1:15" x14ac:dyDescent="0.2">
      <c r="A54" s="297">
        <v>3</v>
      </c>
      <c r="B54" s="297">
        <v>31</v>
      </c>
      <c r="C54" s="297">
        <v>3117</v>
      </c>
      <c r="D54" s="224" t="s">
        <v>224</v>
      </c>
      <c r="E54" s="296">
        <f t="shared" si="63"/>
        <v>164</v>
      </c>
      <c r="F54" s="298">
        <v>164</v>
      </c>
      <c r="G54" s="298"/>
      <c r="H54" s="298">
        <f t="shared" si="64"/>
        <v>0</v>
      </c>
      <c r="I54" s="298"/>
      <c r="J54" s="298"/>
      <c r="K54" s="340">
        <f t="shared" si="68"/>
        <v>164</v>
      </c>
      <c r="L54" s="296">
        <f t="shared" si="66"/>
        <v>164</v>
      </c>
      <c r="M54" s="324">
        <f t="shared" si="67"/>
        <v>0</v>
      </c>
      <c r="N54" s="293"/>
      <c r="O54" s="293"/>
    </row>
    <row r="55" spans="1:15" x14ac:dyDescent="0.2">
      <c r="A55" s="297">
        <v>3</v>
      </c>
      <c r="B55" s="297">
        <v>31</v>
      </c>
      <c r="C55" s="297">
        <v>3119</v>
      </c>
      <c r="D55" s="224" t="s">
        <v>327</v>
      </c>
      <c r="E55" s="296">
        <f t="shared" si="63"/>
        <v>7010</v>
      </c>
      <c r="F55" s="298">
        <v>6950</v>
      </c>
      <c r="G55" s="298">
        <v>60</v>
      </c>
      <c r="H55" s="298">
        <f t="shared" si="64"/>
        <v>6000</v>
      </c>
      <c r="I55" s="298">
        <v>6000</v>
      </c>
      <c r="J55" s="298"/>
      <c r="K55" s="340">
        <f t="shared" si="68"/>
        <v>13010</v>
      </c>
      <c r="L55" s="296">
        <f t="shared" si="66"/>
        <v>12950</v>
      </c>
      <c r="M55" s="324">
        <f t="shared" si="67"/>
        <v>60</v>
      </c>
      <c r="N55" s="293"/>
      <c r="O55" s="293"/>
    </row>
    <row r="56" spans="1:15" x14ac:dyDescent="0.2">
      <c r="A56" s="297">
        <v>3</v>
      </c>
      <c r="B56" s="297">
        <v>31</v>
      </c>
      <c r="C56" s="297">
        <v>3122</v>
      </c>
      <c r="D56" s="224" t="s">
        <v>388</v>
      </c>
      <c r="E56" s="296">
        <f t="shared" ref="E56" si="69">+F56+G56</f>
        <v>10516</v>
      </c>
      <c r="F56" s="298">
        <v>10516</v>
      </c>
      <c r="G56" s="298"/>
      <c r="H56" s="298">
        <f t="shared" ref="H56" si="70">+I56+J56</f>
        <v>1153</v>
      </c>
      <c r="I56" s="298">
        <v>1153</v>
      </c>
      <c r="J56" s="298"/>
      <c r="K56" s="340">
        <f t="shared" ref="K56" si="71">+L56+M56</f>
        <v>11669</v>
      </c>
      <c r="L56" s="296">
        <f t="shared" si="66"/>
        <v>11669</v>
      </c>
      <c r="M56" s="324">
        <f t="shared" si="67"/>
        <v>0</v>
      </c>
      <c r="N56" s="293"/>
      <c r="O56" s="293"/>
    </row>
    <row r="57" spans="1:15" x14ac:dyDescent="0.2">
      <c r="A57" s="297">
        <v>3</v>
      </c>
      <c r="B57" s="297">
        <v>31</v>
      </c>
      <c r="C57" s="297">
        <v>3123</v>
      </c>
      <c r="D57" s="224" t="s">
        <v>324</v>
      </c>
      <c r="E57" s="296">
        <f t="shared" ref="E57" si="72">+F57+G57</f>
        <v>0</v>
      </c>
      <c r="F57" s="298"/>
      <c r="G57" s="298"/>
      <c r="H57" s="298">
        <f t="shared" ref="H57" si="73">+I57+J57</f>
        <v>1</v>
      </c>
      <c r="I57" s="298"/>
      <c r="J57" s="298">
        <v>1</v>
      </c>
      <c r="K57" s="340">
        <f t="shared" ref="K57" si="74">+L57+M57</f>
        <v>1</v>
      </c>
      <c r="L57" s="296">
        <f t="shared" si="66"/>
        <v>0</v>
      </c>
      <c r="M57" s="324">
        <f t="shared" si="67"/>
        <v>1</v>
      </c>
      <c r="N57" s="293"/>
      <c r="O57" s="293"/>
    </row>
    <row r="58" spans="1:15" x14ac:dyDescent="0.2">
      <c r="A58" s="297">
        <v>3</v>
      </c>
      <c r="B58" s="297">
        <v>31</v>
      </c>
      <c r="C58" s="297">
        <v>3133</v>
      </c>
      <c r="D58" s="224" t="s">
        <v>225</v>
      </c>
      <c r="E58" s="296">
        <f t="shared" si="63"/>
        <v>5</v>
      </c>
      <c r="F58" s="298"/>
      <c r="G58" s="298">
        <v>5</v>
      </c>
      <c r="H58" s="296">
        <f>+I58+J58</f>
        <v>0</v>
      </c>
      <c r="I58" s="298"/>
      <c r="J58" s="298"/>
      <c r="K58" s="340">
        <f t="shared" si="68"/>
        <v>5</v>
      </c>
      <c r="L58" s="296">
        <f t="shared" si="66"/>
        <v>0</v>
      </c>
      <c r="M58" s="324">
        <f t="shared" si="67"/>
        <v>5</v>
      </c>
      <c r="N58" s="293"/>
      <c r="O58" s="293"/>
    </row>
    <row r="59" spans="1:15" x14ac:dyDescent="0.2">
      <c r="A59" s="297">
        <v>3</v>
      </c>
      <c r="B59" s="297">
        <v>31</v>
      </c>
      <c r="C59" s="297">
        <v>3141</v>
      </c>
      <c r="D59" s="224" t="s">
        <v>226</v>
      </c>
      <c r="E59" s="296">
        <f t="shared" si="63"/>
        <v>22705</v>
      </c>
      <c r="F59" s="298"/>
      <c r="G59" s="298">
        <v>22705</v>
      </c>
      <c r="H59" s="298">
        <f t="shared" si="64"/>
        <v>1000</v>
      </c>
      <c r="I59" s="298"/>
      <c r="J59" s="298">
        <v>1000</v>
      </c>
      <c r="K59" s="340">
        <f t="shared" si="68"/>
        <v>23705</v>
      </c>
      <c r="L59" s="296">
        <f t="shared" si="66"/>
        <v>0</v>
      </c>
      <c r="M59" s="324">
        <f t="shared" si="67"/>
        <v>23705</v>
      </c>
      <c r="N59" s="293"/>
      <c r="O59" s="293"/>
    </row>
    <row r="60" spans="1:15" x14ac:dyDescent="0.2">
      <c r="A60" s="297" t="str">
        <f>MID(C60,1,1)</f>
        <v>3</v>
      </c>
      <c r="B60" s="297" t="str">
        <f>MID(C60,1,2)</f>
        <v>31</v>
      </c>
      <c r="C60" s="297">
        <v>3149</v>
      </c>
      <c r="D60" s="224" t="s">
        <v>227</v>
      </c>
      <c r="E60" s="296">
        <f t="shared" si="63"/>
        <v>2960</v>
      </c>
      <c r="F60" s="298">
        <v>2960</v>
      </c>
      <c r="G60" s="298"/>
      <c r="H60" s="298">
        <f t="shared" si="64"/>
        <v>0</v>
      </c>
      <c r="I60" s="298"/>
      <c r="J60" s="298"/>
      <c r="K60" s="340">
        <f t="shared" si="68"/>
        <v>2960</v>
      </c>
      <c r="L60" s="296">
        <f t="shared" ref="L60" si="75">+F60+I60</f>
        <v>2960</v>
      </c>
      <c r="M60" s="324">
        <f t="shared" ref="M60" si="76">+G60+J60</f>
        <v>0</v>
      </c>
      <c r="N60" s="293"/>
      <c r="O60" s="293"/>
    </row>
    <row r="61" spans="1:15" x14ac:dyDescent="0.2">
      <c r="A61" s="299" t="s">
        <v>228</v>
      </c>
      <c r="B61" s="299"/>
      <c r="C61" s="300"/>
      <c r="D61" s="330"/>
      <c r="E61" s="301">
        <f t="shared" ref="E61:M61" si="77">SUM(E51:E60)</f>
        <v>810247</v>
      </c>
      <c r="F61" s="301">
        <f t="shared" si="77"/>
        <v>65959</v>
      </c>
      <c r="G61" s="301">
        <f t="shared" si="77"/>
        <v>744288</v>
      </c>
      <c r="H61" s="301">
        <f t="shared" si="77"/>
        <v>643635</v>
      </c>
      <c r="I61" s="301">
        <f t="shared" si="77"/>
        <v>157955</v>
      </c>
      <c r="J61" s="301">
        <f t="shared" si="77"/>
        <v>485680</v>
      </c>
      <c r="K61" s="339">
        <f t="shared" si="77"/>
        <v>1453882</v>
      </c>
      <c r="L61" s="301">
        <f t="shared" si="77"/>
        <v>223914</v>
      </c>
      <c r="M61" s="302">
        <f t="shared" si="77"/>
        <v>1229968</v>
      </c>
      <c r="N61" s="293"/>
      <c r="O61" s="293"/>
    </row>
    <row r="62" spans="1:15" x14ac:dyDescent="0.2">
      <c r="A62" s="309"/>
      <c r="B62" s="309"/>
      <c r="C62" s="297"/>
      <c r="D62" s="224"/>
      <c r="E62" s="310"/>
      <c r="F62" s="310"/>
      <c r="G62" s="310"/>
      <c r="H62" s="310"/>
      <c r="I62" s="310"/>
      <c r="J62" s="310"/>
      <c r="K62" s="347"/>
      <c r="L62" s="310"/>
      <c r="M62" s="325"/>
      <c r="N62" s="293"/>
      <c r="O62" s="293"/>
    </row>
    <row r="63" spans="1:15" x14ac:dyDescent="0.2">
      <c r="A63" s="297" t="str">
        <f>MID(C63,1,1)</f>
        <v>3</v>
      </c>
      <c r="B63" s="297">
        <v>32</v>
      </c>
      <c r="C63" s="297">
        <v>3231</v>
      </c>
      <c r="D63" s="224" t="s">
        <v>229</v>
      </c>
      <c r="E63" s="296">
        <f>+F63+G63</f>
        <v>861</v>
      </c>
      <c r="F63" s="298"/>
      <c r="G63" s="298">
        <v>861</v>
      </c>
      <c r="H63" s="298">
        <f t="shared" ref="H63:H66" si="78">+I63+J63</f>
        <v>0</v>
      </c>
      <c r="I63" s="298"/>
      <c r="J63" s="298"/>
      <c r="K63" s="340">
        <f t="shared" ref="K63:K66" si="79">+L63+M63</f>
        <v>861</v>
      </c>
      <c r="L63" s="296">
        <f t="shared" ref="L63" si="80">+F63+I63</f>
        <v>0</v>
      </c>
      <c r="M63" s="324">
        <f t="shared" ref="M63:M66" si="81">+G63+J63</f>
        <v>861</v>
      </c>
      <c r="N63" s="293"/>
      <c r="O63" s="293"/>
    </row>
    <row r="64" spans="1:15" x14ac:dyDescent="0.2">
      <c r="A64" s="297" t="str">
        <f>MID(C64,1,1)</f>
        <v>3</v>
      </c>
      <c r="B64" s="297">
        <v>32</v>
      </c>
      <c r="C64" s="297">
        <v>3233</v>
      </c>
      <c r="D64" s="224" t="s">
        <v>230</v>
      </c>
      <c r="E64" s="296">
        <f>+F64+G64</f>
        <v>8062</v>
      </c>
      <c r="F64" s="298">
        <v>3300</v>
      </c>
      <c r="G64" s="298">
        <v>4762</v>
      </c>
      <c r="H64" s="298">
        <f t="shared" si="78"/>
        <v>51300</v>
      </c>
      <c r="I64" s="298"/>
      <c r="J64" s="298">
        <v>51300</v>
      </c>
      <c r="K64" s="340">
        <f t="shared" si="79"/>
        <v>59362</v>
      </c>
      <c r="L64" s="296">
        <f t="shared" ref="L64:L66" si="82">+F64+I64</f>
        <v>3300</v>
      </c>
      <c r="M64" s="324">
        <f t="shared" si="81"/>
        <v>56062</v>
      </c>
      <c r="N64" s="293"/>
      <c r="O64" s="293"/>
    </row>
    <row r="65" spans="1:15" x14ac:dyDescent="0.2">
      <c r="A65" s="297" t="str">
        <f>MID(C65,1,1)</f>
        <v>3</v>
      </c>
      <c r="B65" s="297">
        <v>32</v>
      </c>
      <c r="C65" s="297">
        <v>3239</v>
      </c>
      <c r="D65" s="224" t="s">
        <v>411</v>
      </c>
      <c r="E65" s="298">
        <f>+F65+G65</f>
        <v>40</v>
      </c>
      <c r="F65" s="298"/>
      <c r="G65" s="298">
        <v>40</v>
      </c>
      <c r="H65" s="298">
        <f t="shared" ref="H65" si="83">+I65+J65</f>
        <v>0</v>
      </c>
      <c r="I65" s="298"/>
      <c r="J65" s="298"/>
      <c r="K65" s="340">
        <f t="shared" ref="K65" si="84">+L65+M65</f>
        <v>40</v>
      </c>
      <c r="L65" s="296">
        <f t="shared" ref="L65" si="85">+F65+I65</f>
        <v>0</v>
      </c>
      <c r="M65" s="324">
        <f t="shared" ref="M65" si="86">+G65+J65</f>
        <v>40</v>
      </c>
      <c r="N65" s="293"/>
      <c r="O65" s="293"/>
    </row>
    <row r="66" spans="1:15" x14ac:dyDescent="0.2">
      <c r="A66" s="297" t="str">
        <f>MID(C66,1,1)</f>
        <v>3</v>
      </c>
      <c r="B66" s="297">
        <v>32</v>
      </c>
      <c r="C66" s="297">
        <v>3299</v>
      </c>
      <c r="D66" s="224" t="s">
        <v>441</v>
      </c>
      <c r="E66" s="298">
        <f>+F66+G66</f>
        <v>550</v>
      </c>
      <c r="F66" s="298">
        <v>550</v>
      </c>
      <c r="G66" s="298"/>
      <c r="H66" s="298">
        <f t="shared" si="78"/>
        <v>0</v>
      </c>
      <c r="I66" s="298"/>
      <c r="J66" s="298"/>
      <c r="K66" s="340">
        <f t="shared" si="79"/>
        <v>550</v>
      </c>
      <c r="L66" s="296">
        <f t="shared" si="82"/>
        <v>550</v>
      </c>
      <c r="M66" s="324">
        <f t="shared" si="81"/>
        <v>0</v>
      </c>
      <c r="N66" s="293"/>
      <c r="O66" s="293"/>
    </row>
    <row r="67" spans="1:15" x14ac:dyDescent="0.2">
      <c r="A67" s="299" t="s">
        <v>231</v>
      </c>
      <c r="B67" s="299"/>
      <c r="C67" s="300"/>
      <c r="D67" s="330"/>
      <c r="E67" s="301">
        <f>SUM(E63:E66)</f>
        <v>9513</v>
      </c>
      <c r="F67" s="301">
        <f>SUM(F63:F66)</f>
        <v>3850</v>
      </c>
      <c r="G67" s="301">
        <f>SUM(G63:G66)</f>
        <v>5663</v>
      </c>
      <c r="H67" s="301">
        <f>SUM(H63:H66)</f>
        <v>51300</v>
      </c>
      <c r="I67" s="301">
        <f t="shared" ref="I67:J67" si="87">SUM(I63:I66)</f>
        <v>0</v>
      </c>
      <c r="J67" s="301">
        <f t="shared" si="87"/>
        <v>51300</v>
      </c>
      <c r="K67" s="339">
        <f>SUM(K63:K66)</f>
        <v>60813</v>
      </c>
      <c r="L67" s="301">
        <f>SUM(L63:L66)</f>
        <v>3850</v>
      </c>
      <c r="M67" s="302">
        <f>SUM(M63:M66)</f>
        <v>56963</v>
      </c>
      <c r="N67" s="293"/>
      <c r="O67" s="293"/>
    </row>
    <row r="68" spans="1:15" x14ac:dyDescent="0.2">
      <c r="A68" s="297"/>
      <c r="B68" s="297"/>
      <c r="C68" s="297"/>
      <c r="D68" s="224"/>
      <c r="E68" s="298"/>
      <c r="F68" s="298"/>
      <c r="G68" s="298"/>
      <c r="H68" s="298"/>
      <c r="I68" s="298"/>
      <c r="J68" s="298"/>
      <c r="K68" s="350"/>
      <c r="L68" s="298"/>
      <c r="M68" s="326"/>
      <c r="N68" s="293"/>
      <c r="O68" s="293"/>
    </row>
    <row r="69" spans="1:15" x14ac:dyDescent="0.2">
      <c r="A69" s="297" t="str">
        <f t="shared" ref="A69:A84" si="88">MID(C69,1,1)</f>
        <v>3</v>
      </c>
      <c r="B69" s="297" t="str">
        <f t="shared" ref="B69:B84" si="89">MID(C69,1,2)</f>
        <v>33</v>
      </c>
      <c r="C69" s="297">
        <v>3311</v>
      </c>
      <c r="D69" s="224" t="s">
        <v>232</v>
      </c>
      <c r="E69" s="296">
        <f t="shared" ref="E69:E84" si="90">+F69+G69</f>
        <v>977804</v>
      </c>
      <c r="F69" s="298">
        <v>977675</v>
      </c>
      <c r="G69" s="298">
        <v>129</v>
      </c>
      <c r="H69" s="298">
        <f t="shared" ref="H69:H84" si="91">+I69+J69</f>
        <v>17477</v>
      </c>
      <c r="I69" s="298">
        <v>17477</v>
      </c>
      <c r="J69" s="298"/>
      <c r="K69" s="340">
        <f t="shared" ref="K69" si="92">+L69+M69</f>
        <v>995281</v>
      </c>
      <c r="L69" s="296">
        <f t="shared" ref="L69" si="93">+F69+I69</f>
        <v>995152</v>
      </c>
      <c r="M69" s="324">
        <f t="shared" ref="M69" si="94">+G69+J69</f>
        <v>129</v>
      </c>
      <c r="N69" s="293"/>
      <c r="O69" s="293"/>
    </row>
    <row r="70" spans="1:15" x14ac:dyDescent="0.2">
      <c r="A70" s="297" t="str">
        <f t="shared" si="88"/>
        <v>3</v>
      </c>
      <c r="B70" s="297" t="str">
        <f t="shared" si="89"/>
        <v>33</v>
      </c>
      <c r="C70" s="297">
        <v>3312</v>
      </c>
      <c r="D70" s="224" t="s">
        <v>157</v>
      </c>
      <c r="E70" s="296">
        <f t="shared" si="90"/>
        <v>173295</v>
      </c>
      <c r="F70" s="298">
        <v>172913</v>
      </c>
      <c r="G70" s="298">
        <v>382</v>
      </c>
      <c r="H70" s="298">
        <f t="shared" si="91"/>
        <v>256244</v>
      </c>
      <c r="I70" s="298">
        <v>256244</v>
      </c>
      <c r="J70" s="298"/>
      <c r="K70" s="340">
        <f t="shared" ref="K70:K84" si="95">+L70+M70</f>
        <v>429539</v>
      </c>
      <c r="L70" s="296">
        <f t="shared" ref="L70:L84" si="96">+F70+I70</f>
        <v>429157</v>
      </c>
      <c r="M70" s="324">
        <f t="shared" ref="M70:M84" si="97">+G70+J70</f>
        <v>382</v>
      </c>
      <c r="N70" s="293"/>
      <c r="O70" s="293"/>
    </row>
    <row r="71" spans="1:15" x14ac:dyDescent="0.2">
      <c r="A71" s="297" t="str">
        <f t="shared" si="88"/>
        <v>3</v>
      </c>
      <c r="B71" s="297" t="str">
        <f t="shared" si="89"/>
        <v>33</v>
      </c>
      <c r="C71" s="297">
        <v>3313</v>
      </c>
      <c r="D71" s="224" t="s">
        <v>233</v>
      </c>
      <c r="E71" s="296">
        <f t="shared" si="90"/>
        <v>9395</v>
      </c>
      <c r="F71" s="298">
        <v>9206</v>
      </c>
      <c r="G71" s="298">
        <v>189</v>
      </c>
      <c r="H71" s="298">
        <f t="shared" si="91"/>
        <v>4620</v>
      </c>
      <c r="I71" s="298"/>
      <c r="J71" s="298">
        <v>4620</v>
      </c>
      <c r="K71" s="340">
        <f t="shared" si="95"/>
        <v>14015</v>
      </c>
      <c r="L71" s="296">
        <f t="shared" si="96"/>
        <v>9206</v>
      </c>
      <c r="M71" s="324">
        <f t="shared" si="97"/>
        <v>4809</v>
      </c>
      <c r="N71" s="293"/>
      <c r="O71" s="293"/>
    </row>
    <row r="72" spans="1:15" x14ac:dyDescent="0.2">
      <c r="A72" s="297" t="str">
        <f t="shared" si="88"/>
        <v>3</v>
      </c>
      <c r="B72" s="297" t="str">
        <f t="shared" si="89"/>
        <v>33</v>
      </c>
      <c r="C72" s="297">
        <v>3314</v>
      </c>
      <c r="D72" s="224" t="s">
        <v>234</v>
      </c>
      <c r="E72" s="296">
        <f t="shared" si="90"/>
        <v>106647</v>
      </c>
      <c r="F72" s="298">
        <v>105078</v>
      </c>
      <c r="G72" s="298">
        <v>1569</v>
      </c>
      <c r="H72" s="298">
        <f t="shared" si="91"/>
        <v>5240</v>
      </c>
      <c r="I72" s="298">
        <v>4990</v>
      </c>
      <c r="J72" s="298">
        <v>250</v>
      </c>
      <c r="K72" s="340">
        <f t="shared" si="95"/>
        <v>111887</v>
      </c>
      <c r="L72" s="296">
        <f t="shared" si="96"/>
        <v>110068</v>
      </c>
      <c r="M72" s="324">
        <f t="shared" si="97"/>
        <v>1819</v>
      </c>
      <c r="N72" s="293"/>
      <c r="O72" s="293"/>
    </row>
    <row r="73" spans="1:15" x14ac:dyDescent="0.2">
      <c r="A73" s="297" t="str">
        <f t="shared" si="88"/>
        <v>3</v>
      </c>
      <c r="B73" s="297" t="str">
        <f t="shared" si="89"/>
        <v>33</v>
      </c>
      <c r="C73" s="297">
        <v>3315</v>
      </c>
      <c r="D73" s="224" t="s">
        <v>235</v>
      </c>
      <c r="E73" s="296">
        <f t="shared" si="90"/>
        <v>103386</v>
      </c>
      <c r="F73" s="298">
        <v>103366</v>
      </c>
      <c r="G73" s="298">
        <v>20</v>
      </c>
      <c r="H73" s="298">
        <f t="shared" si="91"/>
        <v>47000</v>
      </c>
      <c r="I73" s="298">
        <v>47000</v>
      </c>
      <c r="J73" s="298"/>
      <c r="K73" s="340">
        <f t="shared" si="95"/>
        <v>150386</v>
      </c>
      <c r="L73" s="296">
        <f t="shared" si="96"/>
        <v>150366</v>
      </c>
      <c r="M73" s="324">
        <f t="shared" si="97"/>
        <v>20</v>
      </c>
      <c r="N73" s="293"/>
      <c r="O73" s="293"/>
    </row>
    <row r="74" spans="1:15" x14ac:dyDescent="0.2">
      <c r="A74" s="297" t="str">
        <f t="shared" si="88"/>
        <v>3</v>
      </c>
      <c r="B74" s="297" t="str">
        <f t="shared" si="89"/>
        <v>33</v>
      </c>
      <c r="C74" s="297">
        <v>3316</v>
      </c>
      <c r="D74" s="224" t="s">
        <v>236</v>
      </c>
      <c r="E74" s="296">
        <f t="shared" si="90"/>
        <v>1373</v>
      </c>
      <c r="F74" s="298">
        <v>1373</v>
      </c>
      <c r="G74" s="298"/>
      <c r="H74" s="296">
        <f>+I74+J74</f>
        <v>0</v>
      </c>
      <c r="I74" s="298"/>
      <c r="J74" s="298"/>
      <c r="K74" s="340">
        <f t="shared" si="95"/>
        <v>1373</v>
      </c>
      <c r="L74" s="296">
        <f t="shared" si="96"/>
        <v>1373</v>
      </c>
      <c r="M74" s="324">
        <f t="shared" si="97"/>
        <v>0</v>
      </c>
      <c r="N74" s="293"/>
      <c r="O74" s="293"/>
    </row>
    <row r="75" spans="1:15" x14ac:dyDescent="0.2">
      <c r="A75" s="297" t="str">
        <f t="shared" si="88"/>
        <v>3</v>
      </c>
      <c r="B75" s="297" t="str">
        <f t="shared" si="89"/>
        <v>33</v>
      </c>
      <c r="C75" s="297">
        <v>3317</v>
      </c>
      <c r="D75" s="224" t="s">
        <v>237</v>
      </c>
      <c r="E75" s="296">
        <f t="shared" si="90"/>
        <v>41237</v>
      </c>
      <c r="F75" s="298">
        <v>41177</v>
      </c>
      <c r="G75" s="298">
        <v>60</v>
      </c>
      <c r="H75" s="298">
        <f t="shared" si="91"/>
        <v>3863</v>
      </c>
      <c r="I75" s="298">
        <v>3863</v>
      </c>
      <c r="J75" s="298"/>
      <c r="K75" s="340">
        <f t="shared" si="95"/>
        <v>45100</v>
      </c>
      <c r="L75" s="296">
        <f t="shared" si="96"/>
        <v>45040</v>
      </c>
      <c r="M75" s="324">
        <f t="shared" si="97"/>
        <v>60</v>
      </c>
      <c r="N75" s="293"/>
      <c r="O75" s="293"/>
    </row>
    <row r="76" spans="1:15" x14ac:dyDescent="0.2">
      <c r="A76" s="297" t="str">
        <f t="shared" si="88"/>
        <v>3</v>
      </c>
      <c r="B76" s="297" t="str">
        <f t="shared" si="89"/>
        <v>33</v>
      </c>
      <c r="C76" s="297">
        <v>3319</v>
      </c>
      <c r="D76" s="224" t="s">
        <v>161</v>
      </c>
      <c r="E76" s="296">
        <f t="shared" si="90"/>
        <v>186164</v>
      </c>
      <c r="F76" s="298">
        <v>127833</v>
      </c>
      <c r="G76" s="298">
        <v>58331</v>
      </c>
      <c r="H76" s="298">
        <f t="shared" si="91"/>
        <v>22617</v>
      </c>
      <c r="I76" s="298">
        <v>19767</v>
      </c>
      <c r="J76" s="298">
        <v>2850</v>
      </c>
      <c r="K76" s="340">
        <f t="shared" si="95"/>
        <v>208781</v>
      </c>
      <c r="L76" s="296">
        <f t="shared" si="96"/>
        <v>147600</v>
      </c>
      <c r="M76" s="324">
        <f t="shared" si="97"/>
        <v>61181</v>
      </c>
      <c r="N76" s="293"/>
      <c r="O76" s="293"/>
    </row>
    <row r="77" spans="1:15" x14ac:dyDescent="0.2">
      <c r="A77" s="297" t="str">
        <f t="shared" si="88"/>
        <v>3</v>
      </c>
      <c r="B77" s="297" t="str">
        <f t="shared" si="89"/>
        <v>33</v>
      </c>
      <c r="C77" s="297">
        <v>3322</v>
      </c>
      <c r="D77" s="224" t="s">
        <v>238</v>
      </c>
      <c r="E77" s="296">
        <f t="shared" si="90"/>
        <v>20361</v>
      </c>
      <c r="F77" s="298">
        <v>20311</v>
      </c>
      <c r="G77" s="298">
        <v>50</v>
      </c>
      <c r="H77" s="298">
        <f t="shared" si="91"/>
        <v>20000</v>
      </c>
      <c r="I77" s="298">
        <v>19250</v>
      </c>
      <c r="J77" s="298">
        <v>750</v>
      </c>
      <c r="K77" s="340">
        <f t="shared" si="95"/>
        <v>40361</v>
      </c>
      <c r="L77" s="296">
        <f t="shared" si="96"/>
        <v>39561</v>
      </c>
      <c r="M77" s="324">
        <f t="shared" si="97"/>
        <v>800</v>
      </c>
      <c r="N77" s="293"/>
      <c r="O77" s="293"/>
    </row>
    <row r="78" spans="1:15" x14ac:dyDescent="0.2">
      <c r="A78" s="297" t="str">
        <f t="shared" si="88"/>
        <v>3</v>
      </c>
      <c r="B78" s="297" t="str">
        <f t="shared" si="89"/>
        <v>33</v>
      </c>
      <c r="C78" s="297">
        <v>3326</v>
      </c>
      <c r="D78" s="334" t="s">
        <v>412</v>
      </c>
      <c r="E78" s="296">
        <f t="shared" si="90"/>
        <v>5902</v>
      </c>
      <c r="F78" s="298">
        <v>2636</v>
      </c>
      <c r="G78" s="298">
        <v>3266</v>
      </c>
      <c r="H78" s="298">
        <f t="shared" si="91"/>
        <v>12584</v>
      </c>
      <c r="I78" s="298">
        <v>12584</v>
      </c>
      <c r="J78" s="298"/>
      <c r="K78" s="340">
        <f t="shared" si="95"/>
        <v>18486</v>
      </c>
      <c r="L78" s="296">
        <f t="shared" si="96"/>
        <v>15220</v>
      </c>
      <c r="M78" s="324">
        <f t="shared" si="97"/>
        <v>3266</v>
      </c>
      <c r="N78" s="293"/>
      <c r="O78" s="293"/>
    </row>
    <row r="79" spans="1:15" x14ac:dyDescent="0.2">
      <c r="A79" s="297" t="str">
        <f t="shared" si="88"/>
        <v>3</v>
      </c>
      <c r="B79" s="297" t="str">
        <f t="shared" si="89"/>
        <v>33</v>
      </c>
      <c r="C79" s="297">
        <v>3329</v>
      </c>
      <c r="D79" s="224" t="s">
        <v>239</v>
      </c>
      <c r="E79" s="296">
        <f t="shared" si="90"/>
        <v>2418</v>
      </c>
      <c r="F79" s="298">
        <v>2300</v>
      </c>
      <c r="G79" s="298">
        <v>118</v>
      </c>
      <c r="H79" s="296">
        <f>+I79+J79</f>
        <v>0</v>
      </c>
      <c r="I79" s="298"/>
      <c r="J79" s="298"/>
      <c r="K79" s="340">
        <f t="shared" si="95"/>
        <v>2418</v>
      </c>
      <c r="L79" s="296">
        <f t="shared" si="96"/>
        <v>2300</v>
      </c>
      <c r="M79" s="324">
        <f t="shared" si="97"/>
        <v>118</v>
      </c>
      <c r="N79" s="293"/>
      <c r="O79" s="293"/>
    </row>
    <row r="80" spans="1:15" x14ac:dyDescent="0.2">
      <c r="A80" s="297" t="str">
        <f t="shared" si="88"/>
        <v>3</v>
      </c>
      <c r="B80" s="297" t="str">
        <f t="shared" si="89"/>
        <v>33</v>
      </c>
      <c r="C80" s="297">
        <v>3330</v>
      </c>
      <c r="D80" s="334" t="s">
        <v>413</v>
      </c>
      <c r="E80" s="296">
        <f t="shared" si="90"/>
        <v>70</v>
      </c>
      <c r="F80" s="298"/>
      <c r="G80" s="298">
        <v>70</v>
      </c>
      <c r="H80" s="298">
        <f t="shared" si="91"/>
        <v>0</v>
      </c>
      <c r="I80" s="298"/>
      <c r="J80" s="298"/>
      <c r="K80" s="340">
        <f t="shared" si="95"/>
        <v>70</v>
      </c>
      <c r="L80" s="296">
        <f t="shared" si="96"/>
        <v>0</v>
      </c>
      <c r="M80" s="324">
        <f t="shared" si="97"/>
        <v>70</v>
      </c>
      <c r="N80" s="293"/>
      <c r="O80" s="293"/>
    </row>
    <row r="81" spans="1:15" x14ac:dyDescent="0.2">
      <c r="A81" s="297" t="str">
        <f t="shared" si="88"/>
        <v>3</v>
      </c>
      <c r="B81" s="297" t="str">
        <f t="shared" si="89"/>
        <v>33</v>
      </c>
      <c r="C81" s="297">
        <v>3341</v>
      </c>
      <c r="D81" s="224" t="s">
        <v>240</v>
      </c>
      <c r="E81" s="296">
        <f t="shared" si="90"/>
        <v>60</v>
      </c>
      <c r="F81" s="298"/>
      <c r="G81" s="298">
        <v>60</v>
      </c>
      <c r="H81" s="298">
        <f t="shared" si="91"/>
        <v>0</v>
      </c>
      <c r="I81" s="298"/>
      <c r="J81" s="298"/>
      <c r="K81" s="340">
        <f t="shared" si="95"/>
        <v>60</v>
      </c>
      <c r="L81" s="296">
        <f t="shared" si="96"/>
        <v>0</v>
      </c>
      <c r="M81" s="324">
        <f t="shared" si="97"/>
        <v>60</v>
      </c>
      <c r="N81" s="293"/>
      <c r="O81" s="293"/>
    </row>
    <row r="82" spans="1:15" x14ac:dyDescent="0.2">
      <c r="A82" s="297" t="str">
        <f t="shared" si="88"/>
        <v>3</v>
      </c>
      <c r="B82" s="297" t="str">
        <f t="shared" si="89"/>
        <v>33</v>
      </c>
      <c r="C82" s="297">
        <v>3349</v>
      </c>
      <c r="D82" s="224" t="s">
        <v>241</v>
      </c>
      <c r="E82" s="296">
        <f t="shared" si="90"/>
        <v>13601</v>
      </c>
      <c r="F82" s="298"/>
      <c r="G82" s="298">
        <v>13601</v>
      </c>
      <c r="H82" s="298">
        <f t="shared" si="91"/>
        <v>0</v>
      </c>
      <c r="I82" s="298"/>
      <c r="J82" s="298"/>
      <c r="K82" s="340">
        <f t="shared" si="95"/>
        <v>13601</v>
      </c>
      <c r="L82" s="296">
        <f t="shared" si="96"/>
        <v>0</v>
      </c>
      <c r="M82" s="324">
        <f t="shared" si="97"/>
        <v>13601</v>
      </c>
      <c r="N82" s="293"/>
      <c r="O82" s="293"/>
    </row>
    <row r="83" spans="1:15" x14ac:dyDescent="0.2">
      <c r="A83" s="297" t="str">
        <f t="shared" si="88"/>
        <v>3</v>
      </c>
      <c r="B83" s="297" t="str">
        <f t="shared" si="89"/>
        <v>33</v>
      </c>
      <c r="C83" s="297">
        <v>3392</v>
      </c>
      <c r="D83" s="224" t="s">
        <v>164</v>
      </c>
      <c r="E83" s="296">
        <f t="shared" si="90"/>
        <v>57165</v>
      </c>
      <c r="F83" s="298">
        <v>1800</v>
      </c>
      <c r="G83" s="298">
        <v>55365</v>
      </c>
      <c r="H83" s="296">
        <f>+I83+J83</f>
        <v>44865</v>
      </c>
      <c r="I83" s="298">
        <v>31890</v>
      </c>
      <c r="J83" s="298">
        <v>12975</v>
      </c>
      <c r="K83" s="340">
        <f t="shared" si="95"/>
        <v>102030</v>
      </c>
      <c r="L83" s="296">
        <f t="shared" si="96"/>
        <v>33690</v>
      </c>
      <c r="M83" s="324">
        <f t="shared" si="97"/>
        <v>68340</v>
      </c>
      <c r="N83" s="293"/>
      <c r="O83" s="293"/>
    </row>
    <row r="84" spans="1:15" x14ac:dyDescent="0.2">
      <c r="A84" s="297" t="str">
        <f t="shared" si="88"/>
        <v>3</v>
      </c>
      <c r="B84" s="297" t="str">
        <f t="shared" si="89"/>
        <v>33</v>
      </c>
      <c r="C84" s="297">
        <v>3399</v>
      </c>
      <c r="D84" s="224" t="s">
        <v>165</v>
      </c>
      <c r="E84" s="296">
        <f t="shared" si="90"/>
        <v>25383</v>
      </c>
      <c r="F84" s="298"/>
      <c r="G84" s="298">
        <v>25383</v>
      </c>
      <c r="H84" s="298">
        <f t="shared" si="91"/>
        <v>152</v>
      </c>
      <c r="I84" s="298"/>
      <c r="J84" s="298">
        <v>152</v>
      </c>
      <c r="K84" s="340">
        <f t="shared" si="95"/>
        <v>25535</v>
      </c>
      <c r="L84" s="296">
        <f t="shared" si="96"/>
        <v>0</v>
      </c>
      <c r="M84" s="324">
        <f t="shared" si="97"/>
        <v>25535</v>
      </c>
      <c r="N84" s="293"/>
      <c r="O84" s="293"/>
    </row>
    <row r="85" spans="1:15" x14ac:dyDescent="0.2">
      <c r="A85" s="299" t="s">
        <v>166</v>
      </c>
      <c r="B85" s="299"/>
      <c r="C85" s="300"/>
      <c r="D85" s="330"/>
      <c r="E85" s="301">
        <f t="shared" ref="E85:M85" si="98">SUM(E69:E84)</f>
        <v>1724261</v>
      </c>
      <c r="F85" s="301">
        <f t="shared" si="98"/>
        <v>1565668</v>
      </c>
      <c r="G85" s="301">
        <f t="shared" si="98"/>
        <v>158593</v>
      </c>
      <c r="H85" s="301">
        <f t="shared" si="98"/>
        <v>434662</v>
      </c>
      <c r="I85" s="301">
        <f t="shared" si="98"/>
        <v>413065</v>
      </c>
      <c r="J85" s="301">
        <f t="shared" si="98"/>
        <v>21597</v>
      </c>
      <c r="K85" s="339">
        <f t="shared" si="98"/>
        <v>2158923</v>
      </c>
      <c r="L85" s="301">
        <f t="shared" si="98"/>
        <v>1978733</v>
      </c>
      <c r="M85" s="302">
        <f t="shared" si="98"/>
        <v>180190</v>
      </c>
      <c r="N85" s="293"/>
      <c r="O85" s="293"/>
    </row>
    <row r="86" spans="1:15" x14ac:dyDescent="0.2">
      <c r="A86" s="297"/>
      <c r="B86" s="309"/>
      <c r="C86" s="297"/>
      <c r="D86" s="224"/>
      <c r="E86" s="310"/>
      <c r="F86" s="310"/>
      <c r="G86" s="310"/>
      <c r="H86" s="310"/>
      <c r="I86" s="310"/>
      <c r="J86" s="310"/>
      <c r="K86" s="347"/>
      <c r="L86" s="310"/>
      <c r="M86" s="325"/>
      <c r="N86" s="293"/>
      <c r="O86" s="293"/>
    </row>
    <row r="87" spans="1:15" x14ac:dyDescent="0.2">
      <c r="A87" s="297">
        <v>3</v>
      </c>
      <c r="B87" s="297">
        <v>34</v>
      </c>
      <c r="C87" s="297">
        <v>3412</v>
      </c>
      <c r="D87" s="224" t="s">
        <v>406</v>
      </c>
      <c r="E87" s="296">
        <f>+F87+G87</f>
        <v>96599</v>
      </c>
      <c r="F87" s="298">
        <v>35755</v>
      </c>
      <c r="G87" s="298">
        <v>60844</v>
      </c>
      <c r="H87" s="298">
        <f t="shared" ref="H87:H90" si="99">+I87+J87</f>
        <v>275535</v>
      </c>
      <c r="I87" s="298">
        <v>171259</v>
      </c>
      <c r="J87" s="298">
        <v>104276</v>
      </c>
      <c r="K87" s="340">
        <f t="shared" ref="K87:K90" si="100">+L87+M87</f>
        <v>372134</v>
      </c>
      <c r="L87" s="296">
        <f t="shared" ref="L87:L90" si="101">+F87+I87</f>
        <v>207014</v>
      </c>
      <c r="M87" s="324">
        <f t="shared" ref="M87:M90" si="102">+G87+J87</f>
        <v>165120</v>
      </c>
      <c r="N87" s="293"/>
      <c r="O87" s="293"/>
    </row>
    <row r="88" spans="1:15" x14ac:dyDescent="0.2">
      <c r="A88" s="297" t="str">
        <f>MID(C88,1,1)</f>
        <v>3</v>
      </c>
      <c r="B88" s="297" t="str">
        <f>MID(C88,1,2)</f>
        <v>34</v>
      </c>
      <c r="C88" s="297">
        <v>3419</v>
      </c>
      <c r="D88" s="224" t="s">
        <v>328</v>
      </c>
      <c r="E88" s="296">
        <f>+F88+G88</f>
        <v>517573</v>
      </c>
      <c r="F88" s="298">
        <v>509088</v>
      </c>
      <c r="G88" s="298">
        <v>8485</v>
      </c>
      <c r="H88" s="298">
        <f t="shared" si="99"/>
        <v>2055623</v>
      </c>
      <c r="I88" s="298">
        <v>2055223</v>
      </c>
      <c r="J88" s="298">
        <v>400</v>
      </c>
      <c r="K88" s="340">
        <f t="shared" si="100"/>
        <v>2573196</v>
      </c>
      <c r="L88" s="296">
        <f t="shared" si="101"/>
        <v>2564311</v>
      </c>
      <c r="M88" s="324">
        <f t="shared" si="102"/>
        <v>8885</v>
      </c>
      <c r="N88" s="293"/>
      <c r="O88" s="293"/>
    </row>
    <row r="89" spans="1:15" x14ac:dyDescent="0.2">
      <c r="A89" s="297" t="str">
        <f>MID(C89,1,1)</f>
        <v>3</v>
      </c>
      <c r="B89" s="297" t="str">
        <f>MID(C89,1,2)</f>
        <v>34</v>
      </c>
      <c r="C89" s="297">
        <v>3421</v>
      </c>
      <c r="D89" s="224" t="s">
        <v>167</v>
      </c>
      <c r="E89" s="296">
        <f>+F89+G89</f>
        <v>128802</v>
      </c>
      <c r="F89" s="298">
        <v>116000</v>
      </c>
      <c r="G89" s="298">
        <v>12802</v>
      </c>
      <c r="H89" s="298">
        <f t="shared" si="99"/>
        <v>27370</v>
      </c>
      <c r="I89" s="298">
        <v>2000</v>
      </c>
      <c r="J89" s="298">
        <v>25370</v>
      </c>
      <c r="K89" s="340">
        <f t="shared" si="100"/>
        <v>156172</v>
      </c>
      <c r="L89" s="296">
        <f t="shared" si="101"/>
        <v>118000</v>
      </c>
      <c r="M89" s="324">
        <f t="shared" si="102"/>
        <v>38172</v>
      </c>
      <c r="N89" s="293"/>
      <c r="O89" s="293"/>
    </row>
    <row r="90" spans="1:15" x14ac:dyDescent="0.2">
      <c r="A90" s="297" t="str">
        <f>MID(C90,1,1)</f>
        <v>3</v>
      </c>
      <c r="B90" s="297" t="str">
        <f>MID(C90,1,2)</f>
        <v>34</v>
      </c>
      <c r="C90" s="297">
        <v>3429</v>
      </c>
      <c r="D90" s="224" t="s">
        <v>168</v>
      </c>
      <c r="E90" s="296">
        <f>+F90+G90</f>
        <v>7915</v>
      </c>
      <c r="F90" s="298">
        <v>1200</v>
      </c>
      <c r="G90" s="298">
        <v>6715</v>
      </c>
      <c r="H90" s="298">
        <f t="shared" si="99"/>
        <v>100</v>
      </c>
      <c r="I90" s="298"/>
      <c r="J90" s="298">
        <v>100</v>
      </c>
      <c r="K90" s="340">
        <f t="shared" si="100"/>
        <v>8015</v>
      </c>
      <c r="L90" s="296">
        <f t="shared" si="101"/>
        <v>1200</v>
      </c>
      <c r="M90" s="324">
        <f t="shared" si="102"/>
        <v>6815</v>
      </c>
      <c r="N90" s="293"/>
      <c r="O90" s="293"/>
    </row>
    <row r="91" spans="1:15" x14ac:dyDescent="0.2">
      <c r="A91" s="299" t="s">
        <v>398</v>
      </c>
      <c r="B91" s="299"/>
      <c r="C91" s="300"/>
      <c r="D91" s="330"/>
      <c r="E91" s="301">
        <f t="shared" ref="E91:M91" si="103">SUM(E87:E90)</f>
        <v>750889</v>
      </c>
      <c r="F91" s="301">
        <f t="shared" si="103"/>
        <v>662043</v>
      </c>
      <c r="G91" s="301">
        <f t="shared" si="103"/>
        <v>88846</v>
      </c>
      <c r="H91" s="301">
        <f t="shared" si="103"/>
        <v>2358628</v>
      </c>
      <c r="I91" s="301">
        <f t="shared" si="103"/>
        <v>2228482</v>
      </c>
      <c r="J91" s="301">
        <f>SUM(J87:J90)</f>
        <v>130146</v>
      </c>
      <c r="K91" s="339">
        <f t="shared" si="103"/>
        <v>3109517</v>
      </c>
      <c r="L91" s="301">
        <f t="shared" si="103"/>
        <v>2890525</v>
      </c>
      <c r="M91" s="302">
        <f t="shared" si="103"/>
        <v>218992</v>
      </c>
      <c r="N91" s="293"/>
      <c r="O91" s="293"/>
    </row>
    <row r="92" spans="1:15" ht="13.7" customHeight="1" x14ac:dyDescent="0.2">
      <c r="A92" s="297"/>
      <c r="B92" s="309"/>
      <c r="C92" s="297"/>
      <c r="D92" s="224"/>
      <c r="E92" s="310"/>
      <c r="F92" s="310"/>
      <c r="G92" s="310"/>
      <c r="H92" s="310"/>
      <c r="I92" s="310"/>
      <c r="J92" s="310"/>
      <c r="K92" s="347"/>
      <c r="L92" s="310"/>
      <c r="M92" s="325"/>
      <c r="N92" s="293"/>
      <c r="O92" s="293"/>
    </row>
    <row r="93" spans="1:15" x14ac:dyDescent="0.2">
      <c r="A93" s="297" t="str">
        <f t="shared" ref="A93:A102" si="104">MID(C93,1,1)</f>
        <v>3</v>
      </c>
      <c r="B93" s="297" t="str">
        <f t="shared" ref="B93:B102" si="105">MID(C93,1,2)</f>
        <v>35</v>
      </c>
      <c r="C93" s="297">
        <v>3511</v>
      </c>
      <c r="D93" s="224" t="s">
        <v>242</v>
      </c>
      <c r="E93" s="296">
        <f t="shared" ref="E93:E102" si="106">+F93+G93</f>
        <v>20069</v>
      </c>
      <c r="F93" s="298">
        <v>8922</v>
      </c>
      <c r="G93" s="298">
        <v>11147</v>
      </c>
      <c r="H93" s="298">
        <f t="shared" ref="H93:H100" si="107">+I93+J93</f>
        <v>46814</v>
      </c>
      <c r="I93" s="298">
        <v>31754</v>
      </c>
      <c r="J93" s="298">
        <v>15060</v>
      </c>
      <c r="K93" s="340">
        <f t="shared" ref="K93" si="108">+L93+M93</f>
        <v>66883</v>
      </c>
      <c r="L93" s="296">
        <f t="shared" ref="L93:L101" si="109">+F93+I93</f>
        <v>40676</v>
      </c>
      <c r="M93" s="324">
        <f t="shared" ref="M93:M101" si="110">+G93+J93</f>
        <v>26207</v>
      </c>
      <c r="N93" s="293"/>
      <c r="O93" s="293"/>
    </row>
    <row r="94" spans="1:15" x14ac:dyDescent="0.2">
      <c r="A94" s="297" t="str">
        <f>MID(C94,1,1)</f>
        <v>3</v>
      </c>
      <c r="B94" s="297" t="str">
        <f>MID(C94,1,2)</f>
        <v>35</v>
      </c>
      <c r="C94" s="297">
        <v>3522</v>
      </c>
      <c r="D94" s="224" t="s">
        <v>243</v>
      </c>
      <c r="E94" s="296">
        <f t="shared" si="106"/>
        <v>103583</v>
      </c>
      <c r="F94" s="298">
        <v>103583</v>
      </c>
      <c r="G94" s="298"/>
      <c r="H94" s="298">
        <f t="shared" si="107"/>
        <v>89210</v>
      </c>
      <c r="I94" s="298">
        <v>89210</v>
      </c>
      <c r="J94" s="298"/>
      <c r="K94" s="340">
        <f t="shared" ref="K94:K102" si="111">+L94+M94</f>
        <v>192793</v>
      </c>
      <c r="L94" s="296">
        <f t="shared" si="109"/>
        <v>192793</v>
      </c>
      <c r="M94" s="324">
        <f t="shared" si="110"/>
        <v>0</v>
      </c>
      <c r="N94" s="293"/>
      <c r="O94" s="293"/>
    </row>
    <row r="95" spans="1:15" x14ac:dyDescent="0.2">
      <c r="A95" s="297" t="str">
        <f t="shared" si="104"/>
        <v>3</v>
      </c>
      <c r="B95" s="297" t="str">
        <f t="shared" si="105"/>
        <v>35</v>
      </c>
      <c r="C95" s="297">
        <v>3523</v>
      </c>
      <c r="D95" s="224" t="s">
        <v>244</v>
      </c>
      <c r="E95" s="296">
        <f t="shared" si="106"/>
        <v>24815</v>
      </c>
      <c r="F95" s="298">
        <v>24815</v>
      </c>
      <c r="G95" s="298"/>
      <c r="H95" s="298">
        <f t="shared" si="107"/>
        <v>0</v>
      </c>
      <c r="I95" s="298"/>
      <c r="J95" s="298"/>
      <c r="K95" s="340">
        <f t="shared" si="111"/>
        <v>24815</v>
      </c>
      <c r="L95" s="296">
        <f t="shared" si="109"/>
        <v>24815</v>
      </c>
      <c r="M95" s="324">
        <f t="shared" si="110"/>
        <v>0</v>
      </c>
      <c r="N95" s="293"/>
      <c r="O95" s="293"/>
    </row>
    <row r="96" spans="1:15" x14ac:dyDescent="0.2">
      <c r="A96" s="297" t="str">
        <f t="shared" ref="A96" si="112">MID(C96,1,1)</f>
        <v>3</v>
      </c>
      <c r="B96" s="297" t="str">
        <f t="shared" ref="B96" si="113">MID(C96,1,2)</f>
        <v>35</v>
      </c>
      <c r="C96" s="297">
        <v>3525</v>
      </c>
      <c r="D96" s="224" t="s">
        <v>427</v>
      </c>
      <c r="E96" s="296">
        <f t="shared" si="106"/>
        <v>3000</v>
      </c>
      <c r="F96" s="298">
        <v>3000</v>
      </c>
      <c r="G96" s="298"/>
      <c r="H96" s="298">
        <f t="shared" si="107"/>
        <v>2150</v>
      </c>
      <c r="I96" s="298">
        <v>2150</v>
      </c>
      <c r="J96" s="298"/>
      <c r="K96" s="340">
        <f t="shared" si="111"/>
        <v>5150</v>
      </c>
      <c r="L96" s="296">
        <f t="shared" si="109"/>
        <v>5150</v>
      </c>
      <c r="M96" s="324"/>
      <c r="N96" s="293"/>
      <c r="O96" s="293"/>
    </row>
    <row r="97" spans="1:15" x14ac:dyDescent="0.2">
      <c r="A97" s="297" t="str">
        <f t="shared" si="104"/>
        <v>3</v>
      </c>
      <c r="B97" s="297" t="str">
        <f t="shared" si="105"/>
        <v>35</v>
      </c>
      <c r="C97" s="297">
        <v>3529</v>
      </c>
      <c r="D97" s="224" t="s">
        <v>170</v>
      </c>
      <c r="E97" s="296">
        <f t="shared" si="106"/>
        <v>64253</v>
      </c>
      <c r="F97" s="298">
        <v>64253</v>
      </c>
      <c r="G97" s="298"/>
      <c r="H97" s="298">
        <f t="shared" si="107"/>
        <v>700</v>
      </c>
      <c r="I97" s="298">
        <v>700</v>
      </c>
      <c r="J97" s="298"/>
      <c r="K97" s="340">
        <f t="shared" si="111"/>
        <v>64953</v>
      </c>
      <c r="L97" s="296">
        <f t="shared" si="109"/>
        <v>64953</v>
      </c>
      <c r="M97" s="324">
        <f t="shared" si="110"/>
        <v>0</v>
      </c>
      <c r="N97" s="293"/>
      <c r="O97" s="293"/>
    </row>
    <row r="98" spans="1:15" ht="12.75" customHeight="1" x14ac:dyDescent="0.2">
      <c r="A98" s="297" t="str">
        <f t="shared" si="104"/>
        <v>3</v>
      </c>
      <c r="B98" s="297" t="str">
        <f t="shared" si="105"/>
        <v>35</v>
      </c>
      <c r="C98" s="297">
        <v>3533</v>
      </c>
      <c r="D98" s="224" t="s">
        <v>320</v>
      </c>
      <c r="E98" s="296">
        <f t="shared" si="106"/>
        <v>0</v>
      </c>
      <c r="F98" s="298"/>
      <c r="G98" s="298"/>
      <c r="H98" s="298">
        <f t="shared" si="107"/>
        <v>4000</v>
      </c>
      <c r="I98" s="298">
        <v>4000</v>
      </c>
      <c r="J98" s="298"/>
      <c r="K98" s="340">
        <f t="shared" si="111"/>
        <v>4000</v>
      </c>
      <c r="L98" s="296">
        <f t="shared" si="109"/>
        <v>4000</v>
      </c>
      <c r="M98" s="324">
        <f t="shared" si="110"/>
        <v>0</v>
      </c>
      <c r="N98" s="293"/>
      <c r="O98" s="293"/>
    </row>
    <row r="99" spans="1:15" x14ac:dyDescent="0.2">
      <c r="A99" s="297" t="str">
        <f t="shared" si="104"/>
        <v>3</v>
      </c>
      <c r="B99" s="297" t="str">
        <f t="shared" si="105"/>
        <v>35</v>
      </c>
      <c r="C99" s="297">
        <v>3541</v>
      </c>
      <c r="D99" s="334" t="s">
        <v>245</v>
      </c>
      <c r="E99" s="296">
        <f t="shared" si="106"/>
        <v>8377</v>
      </c>
      <c r="F99" s="298">
        <v>8377</v>
      </c>
      <c r="G99" s="298"/>
      <c r="H99" s="298">
        <f t="shared" si="107"/>
        <v>0</v>
      </c>
      <c r="I99" s="298"/>
      <c r="J99" s="298"/>
      <c r="K99" s="340">
        <f t="shared" si="111"/>
        <v>8377</v>
      </c>
      <c r="L99" s="296">
        <f t="shared" si="109"/>
        <v>8377</v>
      </c>
      <c r="M99" s="324">
        <f t="shared" si="110"/>
        <v>0</v>
      </c>
      <c r="N99" s="293"/>
      <c r="O99" s="293"/>
    </row>
    <row r="100" spans="1:15" x14ac:dyDescent="0.2">
      <c r="A100" s="297" t="str">
        <f t="shared" si="104"/>
        <v>3</v>
      </c>
      <c r="B100" s="297" t="str">
        <f t="shared" si="105"/>
        <v>35</v>
      </c>
      <c r="C100" s="297">
        <v>3543</v>
      </c>
      <c r="D100" s="224" t="s">
        <v>246</v>
      </c>
      <c r="E100" s="296">
        <f t="shared" si="106"/>
        <v>233</v>
      </c>
      <c r="F100" s="298">
        <v>150</v>
      </c>
      <c r="G100" s="298">
        <v>83</v>
      </c>
      <c r="H100" s="298">
        <f t="shared" si="107"/>
        <v>0</v>
      </c>
      <c r="I100" s="298"/>
      <c r="J100" s="298"/>
      <c r="K100" s="340">
        <f t="shared" si="111"/>
        <v>233</v>
      </c>
      <c r="L100" s="296">
        <f t="shared" si="109"/>
        <v>150</v>
      </c>
      <c r="M100" s="324">
        <f t="shared" si="110"/>
        <v>83</v>
      </c>
      <c r="N100" s="293"/>
      <c r="O100" s="293"/>
    </row>
    <row r="101" spans="1:15" x14ac:dyDescent="0.2">
      <c r="A101" s="297" t="str">
        <f t="shared" ref="A101" si="114">MID(C101,1,1)</f>
        <v>3</v>
      </c>
      <c r="B101" s="297" t="str">
        <f t="shared" ref="B101" si="115">MID(C101,1,2)</f>
        <v>35</v>
      </c>
      <c r="C101" s="297">
        <v>3545</v>
      </c>
      <c r="D101" s="224" t="s">
        <v>351</v>
      </c>
      <c r="E101" s="296">
        <f t="shared" ref="E101" si="116">+F101+G101</f>
        <v>5155</v>
      </c>
      <c r="F101" s="298">
        <v>5155</v>
      </c>
      <c r="G101" s="298"/>
      <c r="H101" s="298">
        <f t="shared" ref="H101" si="117">+I101+J101</f>
        <v>0</v>
      </c>
      <c r="I101" s="298"/>
      <c r="J101" s="298"/>
      <c r="K101" s="340">
        <f t="shared" ref="K101" si="118">+L101+M101</f>
        <v>5155</v>
      </c>
      <c r="L101" s="296">
        <f t="shared" si="109"/>
        <v>5155</v>
      </c>
      <c r="M101" s="324">
        <f t="shared" si="110"/>
        <v>0</v>
      </c>
      <c r="N101" s="293"/>
      <c r="O101" s="293"/>
    </row>
    <row r="102" spans="1:15" x14ac:dyDescent="0.2">
      <c r="A102" s="297" t="str">
        <f t="shared" si="104"/>
        <v>3</v>
      </c>
      <c r="B102" s="297" t="str">
        <f t="shared" si="105"/>
        <v>35</v>
      </c>
      <c r="C102" s="297">
        <v>3599</v>
      </c>
      <c r="D102" s="224" t="s">
        <v>247</v>
      </c>
      <c r="E102" s="296">
        <f t="shared" si="106"/>
        <v>15012</v>
      </c>
      <c r="F102" s="298">
        <v>14951</v>
      </c>
      <c r="G102" s="298">
        <v>61</v>
      </c>
      <c r="H102" s="298">
        <f t="shared" ref="H102" si="119">+I102+J102</f>
        <v>0</v>
      </c>
      <c r="I102" s="298"/>
      <c r="J102" s="298"/>
      <c r="K102" s="340">
        <f t="shared" si="111"/>
        <v>15012</v>
      </c>
      <c r="L102" s="296">
        <f t="shared" ref="L102" si="120">+F102+I102</f>
        <v>14951</v>
      </c>
      <c r="M102" s="324">
        <f t="shared" ref="M102" si="121">+G102+J102</f>
        <v>61</v>
      </c>
      <c r="N102" s="293"/>
      <c r="O102" s="293"/>
    </row>
    <row r="103" spans="1:15" x14ac:dyDescent="0.2">
      <c r="A103" s="299" t="s">
        <v>171</v>
      </c>
      <c r="B103" s="299"/>
      <c r="C103" s="300"/>
      <c r="D103" s="330"/>
      <c r="E103" s="301">
        <f t="shared" ref="E103:M103" si="122">SUM(E93:E102)</f>
        <v>244497</v>
      </c>
      <c r="F103" s="301">
        <f t="shared" si="122"/>
        <v>233206</v>
      </c>
      <c r="G103" s="301">
        <f t="shared" si="122"/>
        <v>11291</v>
      </c>
      <c r="H103" s="301">
        <f t="shared" si="122"/>
        <v>142874</v>
      </c>
      <c r="I103" s="301">
        <f t="shared" si="122"/>
        <v>127814</v>
      </c>
      <c r="J103" s="301">
        <f t="shared" si="122"/>
        <v>15060</v>
      </c>
      <c r="K103" s="339">
        <f t="shared" si="122"/>
        <v>387371</v>
      </c>
      <c r="L103" s="301">
        <f t="shared" si="122"/>
        <v>361020</v>
      </c>
      <c r="M103" s="302">
        <f t="shared" si="122"/>
        <v>26351</v>
      </c>
      <c r="N103" s="293"/>
      <c r="O103" s="293"/>
    </row>
    <row r="104" spans="1:15" ht="13.7" customHeight="1" x14ac:dyDescent="0.2">
      <c r="A104" s="297"/>
      <c r="B104" s="309"/>
      <c r="C104" s="297"/>
      <c r="D104" s="224"/>
      <c r="E104" s="310"/>
      <c r="F104" s="310"/>
      <c r="G104" s="310"/>
      <c r="H104" s="310"/>
      <c r="I104" s="310"/>
      <c r="J104" s="310"/>
      <c r="K104" s="347"/>
      <c r="L104" s="310"/>
      <c r="M104" s="325"/>
      <c r="N104" s="293"/>
      <c r="O104" s="293"/>
    </row>
    <row r="105" spans="1:15" x14ac:dyDescent="0.2">
      <c r="A105" s="297" t="str">
        <f t="shared" ref="A105:A115" si="123">MID(C105,1,1)</f>
        <v>3</v>
      </c>
      <c r="B105" s="297" t="str">
        <f t="shared" ref="B105:B115" si="124">MID(C105,1,2)</f>
        <v>36</v>
      </c>
      <c r="C105" s="297">
        <v>3612</v>
      </c>
      <c r="D105" s="224" t="s">
        <v>248</v>
      </c>
      <c r="E105" s="296">
        <f t="shared" ref="E105:E115" si="125">+F105+G105</f>
        <v>131256</v>
      </c>
      <c r="F105" s="298">
        <v>124261</v>
      </c>
      <c r="G105" s="298">
        <v>6995</v>
      </c>
      <c r="H105" s="298">
        <f t="shared" ref="H105:H115" si="126">+I105+J105</f>
        <v>986545</v>
      </c>
      <c r="I105" s="298">
        <v>169225</v>
      </c>
      <c r="J105" s="298">
        <v>817320</v>
      </c>
      <c r="K105" s="340">
        <f t="shared" ref="K105" si="127">+L105+M105</f>
        <v>1117801</v>
      </c>
      <c r="L105" s="296">
        <f t="shared" ref="L105:L115" si="128">+F105+I105</f>
        <v>293486</v>
      </c>
      <c r="M105" s="324">
        <f t="shared" ref="M105:M115" si="129">+G105+J105</f>
        <v>824315</v>
      </c>
      <c r="N105" s="293"/>
      <c r="O105" s="293"/>
    </row>
    <row r="106" spans="1:15" x14ac:dyDescent="0.2">
      <c r="A106" s="297" t="str">
        <f>MID(C106,1,1)</f>
        <v>3</v>
      </c>
      <c r="B106" s="297" t="str">
        <f>MID(C106,1,2)</f>
        <v>36</v>
      </c>
      <c r="C106" s="297">
        <v>3613</v>
      </c>
      <c r="D106" s="224" t="s">
        <v>173</v>
      </c>
      <c r="E106" s="296">
        <f t="shared" si="125"/>
        <v>149341</v>
      </c>
      <c r="F106" s="298">
        <v>117455</v>
      </c>
      <c r="G106" s="298">
        <v>31886</v>
      </c>
      <c r="H106" s="298">
        <f t="shared" si="126"/>
        <v>177007</v>
      </c>
      <c r="I106" s="298">
        <v>82250</v>
      </c>
      <c r="J106" s="298">
        <v>94757</v>
      </c>
      <c r="K106" s="340">
        <f t="shared" ref="K106:K115" si="130">+L106+M106</f>
        <v>326348</v>
      </c>
      <c r="L106" s="296">
        <f t="shared" si="128"/>
        <v>199705</v>
      </c>
      <c r="M106" s="324">
        <f t="shared" si="129"/>
        <v>126643</v>
      </c>
      <c r="N106" s="293"/>
      <c r="O106" s="293"/>
    </row>
    <row r="107" spans="1:15" x14ac:dyDescent="0.2">
      <c r="A107" s="297" t="str">
        <f t="shared" si="123"/>
        <v>3</v>
      </c>
      <c r="B107" s="297" t="str">
        <f t="shared" si="124"/>
        <v>36</v>
      </c>
      <c r="C107" s="297">
        <v>3619</v>
      </c>
      <c r="D107" s="224" t="s">
        <v>414</v>
      </c>
      <c r="E107" s="296">
        <f t="shared" si="125"/>
        <v>50</v>
      </c>
      <c r="F107" s="298">
        <v>50</v>
      </c>
      <c r="G107" s="298"/>
      <c r="H107" s="298">
        <f t="shared" si="126"/>
        <v>0</v>
      </c>
      <c r="I107" s="298"/>
      <c r="J107" s="298"/>
      <c r="K107" s="340">
        <f t="shared" si="130"/>
        <v>50</v>
      </c>
      <c r="L107" s="296">
        <f t="shared" si="128"/>
        <v>50</v>
      </c>
      <c r="M107" s="324">
        <f t="shared" si="129"/>
        <v>0</v>
      </c>
      <c r="N107" s="293"/>
      <c r="O107" s="293"/>
    </row>
    <row r="108" spans="1:15" x14ac:dyDescent="0.2">
      <c r="A108" s="297" t="str">
        <f t="shared" si="123"/>
        <v>3</v>
      </c>
      <c r="B108" s="297" t="str">
        <f t="shared" si="124"/>
        <v>36</v>
      </c>
      <c r="C108" s="297">
        <v>3631</v>
      </c>
      <c r="D108" s="224" t="s">
        <v>249</v>
      </c>
      <c r="E108" s="296">
        <f t="shared" si="125"/>
        <v>298156</v>
      </c>
      <c r="F108" s="298">
        <v>294775</v>
      </c>
      <c r="G108" s="298">
        <v>3381</v>
      </c>
      <c r="H108" s="298">
        <f t="shared" si="126"/>
        <v>42500</v>
      </c>
      <c r="I108" s="298">
        <v>42500</v>
      </c>
      <c r="J108" s="298"/>
      <c r="K108" s="340">
        <f t="shared" si="130"/>
        <v>340656</v>
      </c>
      <c r="L108" s="296">
        <f t="shared" si="128"/>
        <v>337275</v>
      </c>
      <c r="M108" s="324">
        <f t="shared" si="129"/>
        <v>3381</v>
      </c>
      <c r="N108" s="293"/>
      <c r="O108" s="293"/>
    </row>
    <row r="109" spans="1:15" x14ac:dyDescent="0.2">
      <c r="A109" s="297" t="str">
        <f t="shared" si="123"/>
        <v>3</v>
      </c>
      <c r="B109" s="297" t="str">
        <f t="shared" si="124"/>
        <v>36</v>
      </c>
      <c r="C109" s="297">
        <v>3632</v>
      </c>
      <c r="D109" s="224" t="s">
        <v>250</v>
      </c>
      <c r="E109" s="296">
        <f t="shared" si="125"/>
        <v>70605</v>
      </c>
      <c r="F109" s="298">
        <v>66257</v>
      </c>
      <c r="G109" s="298">
        <v>4348</v>
      </c>
      <c r="H109" s="298">
        <f t="shared" si="126"/>
        <v>82788</v>
      </c>
      <c r="I109" s="298">
        <v>82036</v>
      </c>
      <c r="J109" s="298">
        <v>752</v>
      </c>
      <c r="K109" s="340">
        <f t="shared" si="130"/>
        <v>153393</v>
      </c>
      <c r="L109" s="296">
        <f t="shared" si="128"/>
        <v>148293</v>
      </c>
      <c r="M109" s="324">
        <f t="shared" si="129"/>
        <v>5100</v>
      </c>
      <c r="N109" s="293"/>
      <c r="O109" s="293"/>
    </row>
    <row r="110" spans="1:15" x14ac:dyDescent="0.2">
      <c r="A110" s="297" t="str">
        <f t="shared" si="123"/>
        <v>3</v>
      </c>
      <c r="B110" s="297" t="str">
        <f t="shared" si="124"/>
        <v>36</v>
      </c>
      <c r="C110" s="297">
        <v>3633</v>
      </c>
      <c r="D110" s="224" t="s">
        <v>176</v>
      </c>
      <c r="E110" s="296">
        <f t="shared" si="125"/>
        <v>27914</v>
      </c>
      <c r="F110" s="298">
        <v>27875</v>
      </c>
      <c r="G110" s="298">
        <v>39</v>
      </c>
      <c r="H110" s="298">
        <f t="shared" si="126"/>
        <v>160700</v>
      </c>
      <c r="I110" s="298">
        <v>160200</v>
      </c>
      <c r="J110" s="298">
        <v>500</v>
      </c>
      <c r="K110" s="340">
        <f t="shared" si="130"/>
        <v>188614</v>
      </c>
      <c r="L110" s="296">
        <f t="shared" si="128"/>
        <v>188075</v>
      </c>
      <c r="M110" s="324">
        <f t="shared" si="129"/>
        <v>539</v>
      </c>
      <c r="N110" s="293"/>
      <c r="O110" s="293"/>
    </row>
    <row r="111" spans="1:15" x14ac:dyDescent="0.2">
      <c r="A111" s="297" t="str">
        <f t="shared" ref="A111" si="131">MID(C111,1,1)</f>
        <v>3</v>
      </c>
      <c r="B111" s="297" t="str">
        <f t="shared" ref="B111" si="132">MID(C111,1,2)</f>
        <v>36</v>
      </c>
      <c r="C111" s="297">
        <v>3634</v>
      </c>
      <c r="D111" s="224" t="s">
        <v>429</v>
      </c>
      <c r="E111" s="296">
        <f t="shared" ref="E111" si="133">+F111+G111</f>
        <v>360</v>
      </c>
      <c r="F111" s="298"/>
      <c r="G111" s="298">
        <v>360</v>
      </c>
      <c r="H111" s="298">
        <f t="shared" ref="H111" si="134">+I111+J111</f>
        <v>0</v>
      </c>
      <c r="I111" s="298"/>
      <c r="J111" s="298"/>
      <c r="K111" s="340">
        <f t="shared" ref="K111" si="135">+L111+M111</f>
        <v>360</v>
      </c>
      <c r="L111" s="296">
        <f t="shared" ref="L111" si="136">+F111+I111</f>
        <v>0</v>
      </c>
      <c r="M111" s="324">
        <f t="shared" ref="M111" si="137">+G111+J111</f>
        <v>360</v>
      </c>
      <c r="N111" s="293"/>
      <c r="O111" s="293"/>
    </row>
    <row r="112" spans="1:15" x14ac:dyDescent="0.2">
      <c r="A112" s="297" t="str">
        <f t="shared" si="123"/>
        <v>3</v>
      </c>
      <c r="B112" s="297" t="str">
        <f t="shared" si="124"/>
        <v>36</v>
      </c>
      <c r="C112" s="297">
        <v>3635</v>
      </c>
      <c r="D112" s="224" t="s">
        <v>251</v>
      </c>
      <c r="E112" s="296">
        <f t="shared" si="125"/>
        <v>64654</v>
      </c>
      <c r="F112" s="298">
        <v>64454</v>
      </c>
      <c r="G112" s="298">
        <v>200</v>
      </c>
      <c r="H112" s="298">
        <f t="shared" si="126"/>
        <v>31040</v>
      </c>
      <c r="I112" s="298">
        <v>31040</v>
      </c>
      <c r="J112" s="298"/>
      <c r="K112" s="340">
        <f t="shared" si="130"/>
        <v>95694</v>
      </c>
      <c r="L112" s="296">
        <f t="shared" si="128"/>
        <v>95494</v>
      </c>
      <c r="M112" s="324">
        <f t="shared" si="129"/>
        <v>200</v>
      </c>
      <c r="N112" s="293"/>
      <c r="O112" s="293"/>
    </row>
    <row r="113" spans="1:15" x14ac:dyDescent="0.2">
      <c r="A113" s="297" t="str">
        <f t="shared" si="123"/>
        <v>3</v>
      </c>
      <c r="B113" s="297" t="str">
        <f t="shared" si="124"/>
        <v>36</v>
      </c>
      <c r="C113" s="297">
        <v>3636</v>
      </c>
      <c r="D113" s="224" t="s">
        <v>252</v>
      </c>
      <c r="E113" s="296">
        <f t="shared" si="125"/>
        <v>46265</v>
      </c>
      <c r="F113" s="298">
        <v>44153</v>
      </c>
      <c r="G113" s="298">
        <v>2112</v>
      </c>
      <c r="H113" s="298">
        <f t="shared" si="126"/>
        <v>3575</v>
      </c>
      <c r="I113" s="298">
        <v>200</v>
      </c>
      <c r="J113" s="298">
        <v>3375</v>
      </c>
      <c r="K113" s="340">
        <f t="shared" si="130"/>
        <v>49840</v>
      </c>
      <c r="L113" s="296">
        <f t="shared" si="128"/>
        <v>44353</v>
      </c>
      <c r="M113" s="324">
        <f t="shared" si="129"/>
        <v>5487</v>
      </c>
      <c r="N113" s="293"/>
      <c r="O113" s="293"/>
    </row>
    <row r="114" spans="1:15" x14ac:dyDescent="0.2">
      <c r="A114" s="297" t="str">
        <f t="shared" si="123"/>
        <v>3</v>
      </c>
      <c r="B114" s="297" t="str">
        <f t="shared" si="124"/>
        <v>36</v>
      </c>
      <c r="C114" s="297">
        <v>3639</v>
      </c>
      <c r="D114" s="224" t="s">
        <v>253</v>
      </c>
      <c r="E114" s="296">
        <f t="shared" si="125"/>
        <v>461069</v>
      </c>
      <c r="F114" s="298">
        <v>386036</v>
      </c>
      <c r="G114" s="298">
        <v>75033</v>
      </c>
      <c r="H114" s="298">
        <f t="shared" si="126"/>
        <v>293184</v>
      </c>
      <c r="I114" s="298">
        <v>210116</v>
      </c>
      <c r="J114" s="298">
        <v>83068</v>
      </c>
      <c r="K114" s="340">
        <f t="shared" si="130"/>
        <v>754253</v>
      </c>
      <c r="L114" s="296">
        <f t="shared" si="128"/>
        <v>596152</v>
      </c>
      <c r="M114" s="324">
        <f t="shared" si="129"/>
        <v>158101</v>
      </c>
      <c r="N114" s="293"/>
      <c r="O114" s="293"/>
    </row>
    <row r="115" spans="1:15" x14ac:dyDescent="0.2">
      <c r="A115" s="297" t="str">
        <f t="shared" si="123"/>
        <v>3</v>
      </c>
      <c r="B115" s="297" t="str">
        <f t="shared" si="124"/>
        <v>36</v>
      </c>
      <c r="C115" s="297">
        <v>3699</v>
      </c>
      <c r="D115" s="224" t="s">
        <v>425</v>
      </c>
      <c r="E115" s="296">
        <f t="shared" si="125"/>
        <v>9145</v>
      </c>
      <c r="F115" s="298">
        <v>2234</v>
      </c>
      <c r="G115" s="298">
        <v>6911</v>
      </c>
      <c r="H115" s="298">
        <f t="shared" si="126"/>
        <v>7300</v>
      </c>
      <c r="I115" s="298"/>
      <c r="J115" s="298">
        <v>7300</v>
      </c>
      <c r="K115" s="340">
        <f t="shared" si="130"/>
        <v>16445</v>
      </c>
      <c r="L115" s="296">
        <f t="shared" si="128"/>
        <v>2234</v>
      </c>
      <c r="M115" s="324">
        <f t="shared" si="129"/>
        <v>14211</v>
      </c>
      <c r="N115" s="293"/>
      <c r="O115" s="293"/>
    </row>
    <row r="116" spans="1:15" x14ac:dyDescent="0.2">
      <c r="A116" s="299" t="s">
        <v>178</v>
      </c>
      <c r="B116" s="299"/>
      <c r="C116" s="300"/>
      <c r="D116" s="330"/>
      <c r="E116" s="301">
        <f t="shared" ref="E116:M116" si="138">SUM(E105:E115)</f>
        <v>1258815</v>
      </c>
      <c r="F116" s="301">
        <f t="shared" si="138"/>
        <v>1127550</v>
      </c>
      <c r="G116" s="301">
        <f t="shared" si="138"/>
        <v>131265</v>
      </c>
      <c r="H116" s="301">
        <f t="shared" si="138"/>
        <v>1784639</v>
      </c>
      <c r="I116" s="301">
        <f t="shared" si="138"/>
        <v>777567</v>
      </c>
      <c r="J116" s="301">
        <f t="shared" si="138"/>
        <v>1007072</v>
      </c>
      <c r="K116" s="339">
        <f t="shared" si="138"/>
        <v>3043454</v>
      </c>
      <c r="L116" s="301">
        <f t="shared" si="138"/>
        <v>1905117</v>
      </c>
      <c r="M116" s="302">
        <f t="shared" si="138"/>
        <v>1138337</v>
      </c>
      <c r="N116" s="293"/>
      <c r="O116" s="293"/>
    </row>
    <row r="117" spans="1:15" ht="13.7" customHeight="1" x14ac:dyDescent="0.2">
      <c r="A117" s="297"/>
      <c r="B117" s="309"/>
      <c r="C117" s="297"/>
      <c r="D117" s="224"/>
      <c r="E117" s="310"/>
      <c r="F117" s="310"/>
      <c r="G117" s="310"/>
      <c r="H117" s="310"/>
      <c r="I117" s="310"/>
      <c r="J117" s="310"/>
      <c r="K117" s="347"/>
      <c r="L117" s="310"/>
      <c r="M117" s="325"/>
      <c r="N117" s="293"/>
      <c r="O117" s="293"/>
    </row>
    <row r="118" spans="1:15" x14ac:dyDescent="0.2">
      <c r="A118" s="297" t="str">
        <f t="shared" ref="A118:A133" si="139">MID(C118,1,1)</f>
        <v>3</v>
      </c>
      <c r="B118" s="297" t="str">
        <f t="shared" ref="B118:B133" si="140">MID(C118,1,2)</f>
        <v>37</v>
      </c>
      <c r="C118" s="297">
        <v>3716</v>
      </c>
      <c r="D118" s="224" t="s">
        <v>254</v>
      </c>
      <c r="E118" s="296">
        <f t="shared" ref="E118:E133" si="141">+F118+G118</f>
        <v>3341</v>
      </c>
      <c r="F118" s="298">
        <v>3341</v>
      </c>
      <c r="G118" s="298"/>
      <c r="H118" s="298">
        <f t="shared" ref="H118:H133" si="142">+I118+J118</f>
        <v>2000</v>
      </c>
      <c r="I118" s="298">
        <v>2000</v>
      </c>
      <c r="J118" s="298"/>
      <c r="K118" s="340">
        <f t="shared" ref="K118" si="143">+L118+M118</f>
        <v>5341</v>
      </c>
      <c r="L118" s="296">
        <f t="shared" ref="L118:L133" si="144">+F118+I118</f>
        <v>5341</v>
      </c>
      <c r="M118" s="324">
        <f t="shared" ref="M118:M133" si="145">+G118+J118</f>
        <v>0</v>
      </c>
      <c r="N118" s="293"/>
      <c r="O118" s="293"/>
    </row>
    <row r="119" spans="1:15" x14ac:dyDescent="0.2">
      <c r="A119" s="297" t="str">
        <f t="shared" ref="A119" si="146">MID(C119,1,1)</f>
        <v>3</v>
      </c>
      <c r="B119" s="297" t="str">
        <f t="shared" ref="B119" si="147">MID(C119,1,2)</f>
        <v>37</v>
      </c>
      <c r="C119" s="297">
        <v>3719</v>
      </c>
      <c r="D119" s="224" t="s">
        <v>311</v>
      </c>
      <c r="E119" s="296">
        <f t="shared" ref="E119" si="148">+F119+G119</f>
        <v>1209</v>
      </c>
      <c r="F119" s="298">
        <v>1209</v>
      </c>
      <c r="G119" s="298"/>
      <c r="H119" s="298">
        <f t="shared" ref="H119" si="149">+I119+J119</f>
        <v>0</v>
      </c>
      <c r="I119" s="298"/>
      <c r="J119" s="298"/>
      <c r="K119" s="340">
        <f t="shared" ref="K119:K131" si="150">+L119+M119</f>
        <v>1209</v>
      </c>
      <c r="L119" s="296">
        <f t="shared" si="144"/>
        <v>1209</v>
      </c>
      <c r="M119" s="324">
        <f t="shared" si="145"/>
        <v>0</v>
      </c>
      <c r="N119" s="293"/>
      <c r="O119" s="293"/>
    </row>
    <row r="120" spans="1:15" x14ac:dyDescent="0.2">
      <c r="A120" s="297" t="str">
        <f>MID(C120,1,1)</f>
        <v>3</v>
      </c>
      <c r="B120" s="297" t="str">
        <f>MID(C120,1,2)</f>
        <v>37</v>
      </c>
      <c r="C120" s="297">
        <v>3722</v>
      </c>
      <c r="D120" s="224" t="s">
        <v>255</v>
      </c>
      <c r="E120" s="296">
        <f t="shared" si="141"/>
        <v>288249</v>
      </c>
      <c r="F120" s="298">
        <v>236726</v>
      </c>
      <c r="G120" s="298">
        <v>51523</v>
      </c>
      <c r="H120" s="298">
        <f t="shared" si="142"/>
        <v>32858</v>
      </c>
      <c r="I120" s="298"/>
      <c r="J120" s="298">
        <v>32858</v>
      </c>
      <c r="K120" s="340">
        <f t="shared" si="150"/>
        <v>321107</v>
      </c>
      <c r="L120" s="296">
        <f t="shared" si="144"/>
        <v>236726</v>
      </c>
      <c r="M120" s="324">
        <f t="shared" si="145"/>
        <v>84381</v>
      </c>
      <c r="N120" s="293"/>
      <c r="O120" s="293"/>
    </row>
    <row r="121" spans="1:15" x14ac:dyDescent="0.2">
      <c r="A121" s="297" t="str">
        <f>MID(C121,1,1)</f>
        <v>3</v>
      </c>
      <c r="B121" s="297" t="str">
        <f>MID(C121,1,2)</f>
        <v>37</v>
      </c>
      <c r="C121" s="297">
        <v>3723</v>
      </c>
      <c r="D121" s="334" t="s">
        <v>415</v>
      </c>
      <c r="E121" s="296">
        <f>+F121+G121</f>
        <v>270</v>
      </c>
      <c r="F121" s="298"/>
      <c r="G121" s="298">
        <v>270</v>
      </c>
      <c r="H121" s="298">
        <f t="shared" si="142"/>
        <v>0</v>
      </c>
      <c r="I121" s="298"/>
      <c r="J121" s="298"/>
      <c r="K121" s="340">
        <f t="shared" si="150"/>
        <v>270</v>
      </c>
      <c r="L121" s="296">
        <f t="shared" si="144"/>
        <v>0</v>
      </c>
      <c r="M121" s="324">
        <f t="shared" si="145"/>
        <v>270</v>
      </c>
      <c r="N121" s="293"/>
      <c r="O121" s="293"/>
    </row>
    <row r="122" spans="1:15" x14ac:dyDescent="0.2">
      <c r="A122" s="297" t="str">
        <f>MID(C122,1,1)</f>
        <v>3</v>
      </c>
      <c r="B122" s="297" t="str">
        <f>MID(C122,1,2)</f>
        <v>37</v>
      </c>
      <c r="C122" s="297">
        <v>3725</v>
      </c>
      <c r="D122" s="224" t="s">
        <v>390</v>
      </c>
      <c r="E122" s="296">
        <f t="shared" si="141"/>
        <v>162719</v>
      </c>
      <c r="F122" s="298">
        <v>156184</v>
      </c>
      <c r="G122" s="298">
        <v>6535</v>
      </c>
      <c r="H122" s="298">
        <f t="shared" si="142"/>
        <v>6852</v>
      </c>
      <c r="I122" s="298">
        <v>1900</v>
      </c>
      <c r="J122" s="298">
        <v>4952</v>
      </c>
      <c r="K122" s="340">
        <f t="shared" si="150"/>
        <v>169571</v>
      </c>
      <c r="L122" s="296">
        <f t="shared" si="144"/>
        <v>158084</v>
      </c>
      <c r="M122" s="324">
        <f t="shared" si="145"/>
        <v>11487</v>
      </c>
      <c r="N122" s="293"/>
      <c r="O122" s="293"/>
    </row>
    <row r="123" spans="1:15" x14ac:dyDescent="0.2">
      <c r="A123" s="297" t="str">
        <f>MID(C123,1,1)</f>
        <v>3</v>
      </c>
      <c r="B123" s="297" t="str">
        <f>MID(C123,1,2)</f>
        <v>37</v>
      </c>
      <c r="C123" s="297">
        <v>3727</v>
      </c>
      <c r="D123" s="224" t="s">
        <v>468</v>
      </c>
      <c r="E123" s="298">
        <f t="shared" si="141"/>
        <v>220</v>
      </c>
      <c r="F123" s="298"/>
      <c r="G123" s="298">
        <v>220</v>
      </c>
      <c r="H123" s="296"/>
      <c r="I123" s="298"/>
      <c r="J123" s="298"/>
      <c r="K123" s="340">
        <f t="shared" ref="K123" si="151">+L123+M123</f>
        <v>220</v>
      </c>
      <c r="L123" s="296">
        <f t="shared" ref="L123" si="152">+F123+I123</f>
        <v>0</v>
      </c>
      <c r="M123" s="324">
        <f t="shared" ref="M123" si="153">+G123+J123</f>
        <v>220</v>
      </c>
      <c r="N123" s="293"/>
      <c r="O123" s="293"/>
    </row>
    <row r="124" spans="1:15" x14ac:dyDescent="0.2">
      <c r="A124" s="297" t="str">
        <f t="shared" si="139"/>
        <v>3</v>
      </c>
      <c r="B124" s="297" t="str">
        <f t="shared" si="140"/>
        <v>37</v>
      </c>
      <c r="C124" s="297">
        <v>3729</v>
      </c>
      <c r="D124" s="224" t="s">
        <v>256</v>
      </c>
      <c r="E124" s="296">
        <f t="shared" si="141"/>
        <v>7847</v>
      </c>
      <c r="F124" s="298">
        <v>1300</v>
      </c>
      <c r="G124" s="298">
        <v>6547</v>
      </c>
      <c r="H124" s="296">
        <f>+I124+J124</f>
        <v>0</v>
      </c>
      <c r="I124" s="298"/>
      <c r="J124" s="298"/>
      <c r="K124" s="340">
        <f t="shared" si="150"/>
        <v>7847</v>
      </c>
      <c r="L124" s="296">
        <f t="shared" si="144"/>
        <v>1300</v>
      </c>
      <c r="M124" s="324">
        <f t="shared" si="145"/>
        <v>6547</v>
      </c>
      <c r="N124" s="293"/>
      <c r="O124" s="293"/>
    </row>
    <row r="125" spans="1:15" x14ac:dyDescent="0.2">
      <c r="A125" s="297" t="str">
        <f t="shared" si="139"/>
        <v>3</v>
      </c>
      <c r="B125" s="297" t="str">
        <f t="shared" si="140"/>
        <v>37</v>
      </c>
      <c r="C125" s="297">
        <v>3733</v>
      </c>
      <c r="D125" s="224" t="s">
        <v>257</v>
      </c>
      <c r="E125" s="296">
        <f t="shared" si="141"/>
        <v>642</v>
      </c>
      <c r="F125" s="298">
        <v>642</v>
      </c>
      <c r="G125" s="298"/>
      <c r="H125" s="296">
        <f>+I125+J125</f>
        <v>0</v>
      </c>
      <c r="I125" s="298"/>
      <c r="J125" s="298"/>
      <c r="K125" s="340">
        <f t="shared" si="150"/>
        <v>642</v>
      </c>
      <c r="L125" s="296">
        <f t="shared" si="144"/>
        <v>642</v>
      </c>
      <c r="M125" s="324">
        <f t="shared" si="145"/>
        <v>0</v>
      </c>
      <c r="N125" s="293"/>
      <c r="O125" s="293"/>
    </row>
    <row r="126" spans="1:15" x14ac:dyDescent="0.2">
      <c r="A126" s="297" t="str">
        <f t="shared" si="139"/>
        <v>3</v>
      </c>
      <c r="B126" s="297" t="str">
        <f t="shared" si="140"/>
        <v>37</v>
      </c>
      <c r="C126" s="297">
        <v>3739</v>
      </c>
      <c r="D126" s="224" t="s">
        <v>258</v>
      </c>
      <c r="E126" s="296">
        <f t="shared" si="141"/>
        <v>1160</v>
      </c>
      <c r="F126" s="298">
        <v>1160</v>
      </c>
      <c r="G126" s="298"/>
      <c r="H126" s="298">
        <f t="shared" si="142"/>
        <v>10500</v>
      </c>
      <c r="I126" s="298">
        <v>10500</v>
      </c>
      <c r="J126" s="298"/>
      <c r="K126" s="340">
        <f t="shared" si="150"/>
        <v>11660</v>
      </c>
      <c r="L126" s="296">
        <f t="shared" si="144"/>
        <v>11660</v>
      </c>
      <c r="M126" s="324">
        <f t="shared" si="145"/>
        <v>0</v>
      </c>
      <c r="N126" s="293"/>
      <c r="O126" s="293"/>
    </row>
    <row r="127" spans="1:15" x14ac:dyDescent="0.2">
      <c r="A127" s="297" t="str">
        <f t="shared" si="139"/>
        <v>3</v>
      </c>
      <c r="B127" s="297" t="str">
        <f t="shared" si="140"/>
        <v>37</v>
      </c>
      <c r="C127" s="297">
        <v>3741</v>
      </c>
      <c r="D127" s="224" t="s">
        <v>259</v>
      </c>
      <c r="E127" s="296">
        <f t="shared" si="141"/>
        <v>85973</v>
      </c>
      <c r="F127" s="298">
        <v>85973</v>
      </c>
      <c r="G127" s="298"/>
      <c r="H127" s="298">
        <f t="shared" si="142"/>
        <v>39948</v>
      </c>
      <c r="I127" s="298">
        <v>39948</v>
      </c>
      <c r="J127" s="298"/>
      <c r="K127" s="340">
        <f t="shared" si="150"/>
        <v>125921</v>
      </c>
      <c r="L127" s="296">
        <f t="shared" si="144"/>
        <v>125921</v>
      </c>
      <c r="M127" s="324">
        <f t="shared" si="145"/>
        <v>0</v>
      </c>
      <c r="N127" s="293"/>
      <c r="O127" s="293"/>
    </row>
    <row r="128" spans="1:15" x14ac:dyDescent="0.2">
      <c r="A128" s="297" t="str">
        <f t="shared" si="139"/>
        <v>3</v>
      </c>
      <c r="B128" s="297" t="str">
        <f t="shared" si="140"/>
        <v>37</v>
      </c>
      <c r="C128" s="297">
        <v>3742</v>
      </c>
      <c r="D128" s="224" t="s">
        <v>260</v>
      </c>
      <c r="E128" s="296">
        <f t="shared" si="141"/>
        <v>989</v>
      </c>
      <c r="F128" s="298">
        <v>980</v>
      </c>
      <c r="G128" s="298">
        <v>9</v>
      </c>
      <c r="H128" s="298">
        <f t="shared" si="142"/>
        <v>50</v>
      </c>
      <c r="I128" s="298"/>
      <c r="J128" s="298">
        <v>50</v>
      </c>
      <c r="K128" s="340">
        <f t="shared" si="150"/>
        <v>1039</v>
      </c>
      <c r="L128" s="296">
        <f t="shared" si="144"/>
        <v>980</v>
      </c>
      <c r="M128" s="324">
        <f t="shared" si="145"/>
        <v>59</v>
      </c>
      <c r="N128" s="293"/>
      <c r="O128" s="293"/>
    </row>
    <row r="129" spans="1:15" x14ac:dyDescent="0.2">
      <c r="A129" s="297" t="str">
        <f t="shared" si="139"/>
        <v>3</v>
      </c>
      <c r="B129" s="297" t="str">
        <f t="shared" si="140"/>
        <v>37</v>
      </c>
      <c r="C129" s="297">
        <v>3744</v>
      </c>
      <c r="D129" s="224" t="s">
        <v>416</v>
      </c>
      <c r="E129" s="296">
        <f t="shared" si="141"/>
        <v>996</v>
      </c>
      <c r="F129" s="298">
        <v>996</v>
      </c>
      <c r="G129" s="298"/>
      <c r="H129" s="298">
        <f t="shared" si="142"/>
        <v>277820</v>
      </c>
      <c r="I129" s="298">
        <v>277820</v>
      </c>
      <c r="J129" s="298"/>
      <c r="K129" s="340">
        <f t="shared" si="150"/>
        <v>278816</v>
      </c>
      <c r="L129" s="296">
        <f t="shared" si="144"/>
        <v>278816</v>
      </c>
      <c r="M129" s="324">
        <f t="shared" si="145"/>
        <v>0</v>
      </c>
      <c r="N129" s="293"/>
      <c r="O129" s="293"/>
    </row>
    <row r="130" spans="1:15" x14ac:dyDescent="0.2">
      <c r="A130" s="297" t="str">
        <f t="shared" si="139"/>
        <v>3</v>
      </c>
      <c r="B130" s="297" t="str">
        <f t="shared" si="140"/>
        <v>37</v>
      </c>
      <c r="C130" s="297">
        <v>3745</v>
      </c>
      <c r="D130" s="224" t="s">
        <v>261</v>
      </c>
      <c r="E130" s="296">
        <f t="shared" si="141"/>
        <v>412766</v>
      </c>
      <c r="F130" s="298">
        <v>81494</v>
      </c>
      <c r="G130" s="298">
        <v>331272</v>
      </c>
      <c r="H130" s="298">
        <f t="shared" si="142"/>
        <v>186843</v>
      </c>
      <c r="I130" s="298">
        <v>43246</v>
      </c>
      <c r="J130" s="298">
        <v>143597</v>
      </c>
      <c r="K130" s="340">
        <f t="shared" si="150"/>
        <v>599609</v>
      </c>
      <c r="L130" s="296">
        <f t="shared" si="144"/>
        <v>124740</v>
      </c>
      <c r="M130" s="324">
        <f t="shared" si="145"/>
        <v>474869</v>
      </c>
      <c r="N130" s="293"/>
      <c r="O130" s="293"/>
    </row>
    <row r="131" spans="1:15" x14ac:dyDescent="0.2">
      <c r="A131" s="297" t="str">
        <f t="shared" si="139"/>
        <v>3</v>
      </c>
      <c r="B131" s="297" t="str">
        <f t="shared" si="140"/>
        <v>37</v>
      </c>
      <c r="C131" s="297">
        <v>3749</v>
      </c>
      <c r="D131" s="224" t="s">
        <v>262</v>
      </c>
      <c r="E131" s="296">
        <f t="shared" si="141"/>
        <v>2645</v>
      </c>
      <c r="F131" s="298">
        <v>250</v>
      </c>
      <c r="G131" s="298">
        <v>2395</v>
      </c>
      <c r="H131" s="298">
        <f t="shared" si="142"/>
        <v>1575</v>
      </c>
      <c r="I131" s="298"/>
      <c r="J131" s="298">
        <v>1575</v>
      </c>
      <c r="K131" s="340">
        <f t="shared" si="150"/>
        <v>4220</v>
      </c>
      <c r="L131" s="296">
        <f t="shared" si="144"/>
        <v>250</v>
      </c>
      <c r="M131" s="324">
        <f t="shared" si="145"/>
        <v>3970</v>
      </c>
      <c r="N131" s="293"/>
      <c r="O131" s="293"/>
    </row>
    <row r="132" spans="1:15" x14ac:dyDescent="0.2">
      <c r="A132" s="297" t="str">
        <f t="shared" ref="A132" si="154">MID(C132,1,1)</f>
        <v>3</v>
      </c>
      <c r="B132" s="297" t="str">
        <f t="shared" ref="B132" si="155">MID(C132,1,2)</f>
        <v>37</v>
      </c>
      <c r="C132" s="297">
        <v>3759</v>
      </c>
      <c r="D132" s="224" t="s">
        <v>469</v>
      </c>
      <c r="E132" s="298">
        <f t="shared" si="141"/>
        <v>80</v>
      </c>
      <c r="F132" s="298"/>
      <c r="G132" s="298">
        <v>80</v>
      </c>
      <c r="H132" s="298"/>
      <c r="I132" s="298"/>
      <c r="J132" s="298"/>
      <c r="K132" s="340">
        <f t="shared" ref="K132" si="156">+L132+M132</f>
        <v>80</v>
      </c>
      <c r="L132" s="296">
        <f t="shared" ref="L132" si="157">+F132+I132</f>
        <v>0</v>
      </c>
      <c r="M132" s="324">
        <f t="shared" ref="M132" si="158">+G132+J132</f>
        <v>80</v>
      </c>
      <c r="N132" s="293"/>
      <c r="O132" s="293"/>
    </row>
    <row r="133" spans="1:15" x14ac:dyDescent="0.2">
      <c r="A133" s="297" t="str">
        <f t="shared" si="139"/>
        <v>3</v>
      </c>
      <c r="B133" s="297" t="str">
        <f t="shared" si="140"/>
        <v>37</v>
      </c>
      <c r="C133" s="297">
        <v>3792</v>
      </c>
      <c r="D133" s="224" t="s">
        <v>263</v>
      </c>
      <c r="E133" s="296">
        <f t="shared" si="141"/>
        <v>6600</v>
      </c>
      <c r="F133" s="298">
        <v>6580</v>
      </c>
      <c r="G133" s="298">
        <v>20</v>
      </c>
      <c r="H133" s="298">
        <f t="shared" si="142"/>
        <v>300</v>
      </c>
      <c r="I133" s="298">
        <v>300</v>
      </c>
      <c r="J133" s="298"/>
      <c r="K133" s="340">
        <f t="shared" ref="K133" si="159">+L133+M133</f>
        <v>6900</v>
      </c>
      <c r="L133" s="296">
        <f t="shared" si="144"/>
        <v>6880</v>
      </c>
      <c r="M133" s="324">
        <f t="shared" si="145"/>
        <v>20</v>
      </c>
      <c r="N133" s="293"/>
      <c r="O133" s="293"/>
    </row>
    <row r="134" spans="1:15" x14ac:dyDescent="0.2">
      <c r="A134" s="299" t="s">
        <v>182</v>
      </c>
      <c r="B134" s="299"/>
      <c r="C134" s="300"/>
      <c r="D134" s="330"/>
      <c r="E134" s="301">
        <f t="shared" ref="E134:M134" si="160">SUM(E118:E133)</f>
        <v>975706</v>
      </c>
      <c r="F134" s="301">
        <f t="shared" si="160"/>
        <v>576835</v>
      </c>
      <c r="G134" s="301">
        <f t="shared" si="160"/>
        <v>398871</v>
      </c>
      <c r="H134" s="301">
        <f t="shared" si="160"/>
        <v>558746</v>
      </c>
      <c r="I134" s="301">
        <f t="shared" si="160"/>
        <v>375714</v>
      </c>
      <c r="J134" s="301">
        <f t="shared" si="160"/>
        <v>183032</v>
      </c>
      <c r="K134" s="339">
        <f t="shared" si="160"/>
        <v>1534452</v>
      </c>
      <c r="L134" s="301">
        <f t="shared" si="160"/>
        <v>952549</v>
      </c>
      <c r="M134" s="302">
        <f t="shared" si="160"/>
        <v>581903</v>
      </c>
      <c r="N134" s="293"/>
      <c r="O134" s="293"/>
    </row>
    <row r="135" spans="1:15" ht="12.75" customHeight="1" x14ac:dyDescent="0.2">
      <c r="A135" s="314"/>
      <c r="B135" s="313"/>
      <c r="C135" s="314"/>
      <c r="D135" s="337"/>
      <c r="E135" s="315"/>
      <c r="F135" s="315"/>
      <c r="G135" s="315"/>
      <c r="H135" s="315"/>
      <c r="I135" s="315"/>
      <c r="J135" s="315"/>
      <c r="K135" s="351"/>
      <c r="L135" s="315"/>
      <c r="M135" s="352"/>
      <c r="N135" s="293"/>
      <c r="O135" s="293"/>
    </row>
    <row r="136" spans="1:15" x14ac:dyDescent="0.2">
      <c r="A136" s="297" t="str">
        <f>MID(C136,1,1)</f>
        <v>3</v>
      </c>
      <c r="B136" s="297" t="str">
        <f>MID(C136,1,2)</f>
        <v>38</v>
      </c>
      <c r="C136" s="297">
        <v>3809</v>
      </c>
      <c r="D136" s="224" t="s">
        <v>417</v>
      </c>
      <c r="E136" s="298">
        <f>+F136+G136</f>
        <v>42600</v>
      </c>
      <c r="F136" s="298">
        <v>42600</v>
      </c>
      <c r="G136" s="298"/>
      <c r="H136" s="298">
        <f>+I136+J136</f>
        <v>0</v>
      </c>
      <c r="I136" s="298"/>
      <c r="J136" s="298"/>
      <c r="K136" s="350">
        <f t="shared" ref="K136" si="161">+L136+M136</f>
        <v>42600</v>
      </c>
      <c r="L136" s="298">
        <f t="shared" ref="L136" si="162">+F136+I136</f>
        <v>42600</v>
      </c>
      <c r="M136" s="326">
        <f t="shared" ref="M136" si="163">+G136+J136</f>
        <v>0</v>
      </c>
      <c r="N136" s="293"/>
      <c r="O136" s="293"/>
    </row>
    <row r="137" spans="1:15" x14ac:dyDescent="0.2">
      <c r="A137" s="299" t="s">
        <v>264</v>
      </c>
      <c r="B137" s="299"/>
      <c r="C137" s="300"/>
      <c r="D137" s="330"/>
      <c r="E137" s="301">
        <f t="shared" ref="E137:M137" si="164">SUM(E136:E136)</f>
        <v>42600</v>
      </c>
      <c r="F137" s="301">
        <f t="shared" si="164"/>
        <v>42600</v>
      </c>
      <c r="G137" s="301">
        <f t="shared" si="164"/>
        <v>0</v>
      </c>
      <c r="H137" s="301">
        <f t="shared" si="164"/>
        <v>0</v>
      </c>
      <c r="I137" s="301">
        <f t="shared" si="164"/>
        <v>0</v>
      </c>
      <c r="J137" s="301">
        <f t="shared" si="164"/>
        <v>0</v>
      </c>
      <c r="K137" s="339">
        <f t="shared" si="164"/>
        <v>42600</v>
      </c>
      <c r="L137" s="301">
        <f t="shared" si="164"/>
        <v>42600</v>
      </c>
      <c r="M137" s="302">
        <f t="shared" si="164"/>
        <v>0</v>
      </c>
      <c r="N137" s="293"/>
      <c r="O137" s="293"/>
    </row>
    <row r="138" spans="1:15" ht="12.75" customHeight="1" x14ac:dyDescent="0.2">
      <c r="A138" s="317"/>
      <c r="B138" s="316"/>
      <c r="C138" s="317"/>
      <c r="D138" s="338"/>
      <c r="E138" s="318"/>
      <c r="F138" s="318"/>
      <c r="G138" s="318"/>
      <c r="H138" s="310"/>
      <c r="I138" s="310"/>
      <c r="J138" s="310"/>
      <c r="K138" s="347"/>
      <c r="L138" s="310"/>
      <c r="M138" s="325"/>
      <c r="N138" s="293"/>
      <c r="O138" s="293"/>
    </row>
    <row r="139" spans="1:15" x14ac:dyDescent="0.2">
      <c r="A139" s="297" t="str">
        <f>MID(C139,1,1)</f>
        <v>3</v>
      </c>
      <c r="B139" s="297" t="str">
        <f>MID(C139,1,2)</f>
        <v>39</v>
      </c>
      <c r="C139" s="297">
        <v>3900</v>
      </c>
      <c r="D139" s="224" t="s">
        <v>418</v>
      </c>
      <c r="E139" s="298">
        <f>+F139+G139</f>
        <v>53590</v>
      </c>
      <c r="F139" s="298">
        <v>46572</v>
      </c>
      <c r="G139" s="298">
        <v>7018</v>
      </c>
      <c r="H139" s="298">
        <f>+I139+J139</f>
        <v>800</v>
      </c>
      <c r="I139" s="298">
        <v>800</v>
      </c>
      <c r="J139" s="298"/>
      <c r="K139" s="340">
        <f t="shared" ref="K139" si="165">+L139+M139</f>
        <v>54390</v>
      </c>
      <c r="L139" s="296">
        <f t="shared" ref="L139" si="166">+F139+I139</f>
        <v>47372</v>
      </c>
      <c r="M139" s="324">
        <f t="shared" ref="M139" si="167">+G139+J139</f>
        <v>7018</v>
      </c>
      <c r="N139" s="293"/>
      <c r="O139" s="293"/>
    </row>
    <row r="140" spans="1:15" x14ac:dyDescent="0.2">
      <c r="A140" s="299" t="s">
        <v>433</v>
      </c>
      <c r="B140" s="299"/>
      <c r="C140" s="300"/>
      <c r="D140" s="330"/>
      <c r="E140" s="301">
        <f t="shared" ref="E140:M140" si="168">SUM(E139:E139)</f>
        <v>53590</v>
      </c>
      <c r="F140" s="301">
        <f t="shared" si="168"/>
        <v>46572</v>
      </c>
      <c r="G140" s="301">
        <f t="shared" si="168"/>
        <v>7018</v>
      </c>
      <c r="H140" s="301">
        <f t="shared" si="168"/>
        <v>800</v>
      </c>
      <c r="I140" s="301">
        <f t="shared" si="168"/>
        <v>800</v>
      </c>
      <c r="J140" s="301">
        <f t="shared" si="168"/>
        <v>0</v>
      </c>
      <c r="K140" s="339">
        <f t="shared" si="168"/>
        <v>54390</v>
      </c>
      <c r="L140" s="301">
        <f t="shared" si="168"/>
        <v>47372</v>
      </c>
      <c r="M140" s="302">
        <f t="shared" si="168"/>
        <v>7018</v>
      </c>
      <c r="N140" s="293"/>
      <c r="O140" s="293"/>
    </row>
    <row r="141" spans="1:15" ht="11.25" customHeight="1" thickBot="1" x14ac:dyDescent="0.25">
      <c r="A141" s="306"/>
      <c r="B141" s="319"/>
      <c r="C141" s="306"/>
      <c r="D141" s="332"/>
      <c r="E141" s="307"/>
      <c r="F141" s="307"/>
      <c r="G141" s="307"/>
      <c r="H141" s="307"/>
      <c r="I141" s="307"/>
      <c r="J141" s="307"/>
      <c r="K141" s="343"/>
      <c r="L141" s="307"/>
      <c r="M141" s="344"/>
      <c r="N141" s="293"/>
      <c r="O141" s="293"/>
    </row>
    <row r="142" spans="1:15" ht="14.25" thickTop="1" thickBot="1" x14ac:dyDescent="0.25">
      <c r="A142" s="319" t="s">
        <v>397</v>
      </c>
      <c r="B142" s="306"/>
      <c r="C142" s="306"/>
      <c r="D142" s="332"/>
      <c r="E142" s="307">
        <f>+E134+E116+E103+E91+E85+E61+E67+E137+E140</f>
        <v>5870118</v>
      </c>
      <c r="F142" s="307">
        <f>+F134+F116+F103+F91+F85+F61+F67+F137+F140</f>
        <v>4324283</v>
      </c>
      <c r="G142" s="307">
        <f>+G134+G116+G103+G91+G85+G61+G67+G137+G140</f>
        <v>1545835</v>
      </c>
      <c r="H142" s="307">
        <f>+H134+H116+H103+H91+H85+H61+H137+H140+H67</f>
        <v>5975284</v>
      </c>
      <c r="I142" s="307">
        <f>+I134+I116+I103+I91+I85+I61+I137+I140+I67</f>
        <v>4081397</v>
      </c>
      <c r="J142" s="307">
        <f>+J134+J116+J103+J91+J85+J61+J137+J140+J67</f>
        <v>1893887</v>
      </c>
      <c r="K142" s="343">
        <f>+K134+K116+K103+K91+K85+K61+K67+K137+K140</f>
        <v>11845402</v>
      </c>
      <c r="L142" s="307">
        <f>+L134+L116+L103+L91+L85+L61+L67+L137+L140</f>
        <v>8405680</v>
      </c>
      <c r="M142" s="344">
        <f>+M134+M116+M103+M91+M85+M61+M67+M137+M140</f>
        <v>3439722</v>
      </c>
      <c r="N142" s="293"/>
      <c r="O142" s="293"/>
    </row>
    <row r="143" spans="1:15" ht="13.5" thickTop="1" x14ac:dyDescent="0.2">
      <c r="A143" s="333"/>
      <c r="B143" s="295"/>
      <c r="C143" s="295"/>
      <c r="D143" s="329"/>
      <c r="E143" s="308"/>
      <c r="F143" s="308"/>
      <c r="G143" s="308"/>
      <c r="H143" s="308"/>
      <c r="I143" s="308"/>
      <c r="J143" s="308"/>
      <c r="K143" s="345"/>
      <c r="L143" s="308"/>
      <c r="M143" s="346"/>
      <c r="N143" s="293"/>
      <c r="O143" s="293"/>
    </row>
    <row r="144" spans="1:15" x14ac:dyDescent="0.2">
      <c r="A144" s="297" t="str">
        <f>MID(C144,1,1)</f>
        <v>4</v>
      </c>
      <c r="B144" s="297" t="str">
        <f>MID(C144,1,2)</f>
        <v>43</v>
      </c>
      <c r="C144" s="297">
        <v>4312</v>
      </c>
      <c r="D144" s="224" t="s">
        <v>463</v>
      </c>
      <c r="E144" s="296">
        <f t="shared" ref="E144:E163" si="169">+F144+G144</f>
        <v>12500</v>
      </c>
      <c r="F144" s="298">
        <v>12500</v>
      </c>
      <c r="G144" s="298"/>
      <c r="H144" s="298"/>
      <c r="I144" s="298"/>
      <c r="J144" s="298"/>
      <c r="K144" s="340">
        <f t="shared" ref="K144:K163" si="170">+L144+M144</f>
        <v>12500</v>
      </c>
      <c r="L144" s="296">
        <f t="shared" ref="L144:L163" si="171">+F144+I144</f>
        <v>12500</v>
      </c>
      <c r="M144" s="324">
        <f t="shared" ref="M144:M163" si="172">+G144+J144</f>
        <v>0</v>
      </c>
      <c r="N144" s="293"/>
      <c r="O144" s="293"/>
    </row>
    <row r="145" spans="1:15" x14ac:dyDescent="0.2">
      <c r="A145" s="297" t="str">
        <f>MID(C145,1,1)</f>
        <v>4</v>
      </c>
      <c r="B145" s="297" t="str">
        <f>MID(C145,1,2)</f>
        <v>43</v>
      </c>
      <c r="C145" s="297">
        <v>4324</v>
      </c>
      <c r="D145" s="224" t="s">
        <v>265</v>
      </c>
      <c r="E145" s="296">
        <f t="shared" ref="E145" si="173">+F145+G145</f>
        <v>79080</v>
      </c>
      <c r="F145" s="298">
        <v>1000</v>
      </c>
      <c r="G145" s="298">
        <v>78080</v>
      </c>
      <c r="H145" s="298"/>
      <c r="I145" s="298"/>
      <c r="J145" s="298"/>
      <c r="K145" s="340">
        <f t="shared" ref="K145" si="174">+L145+M145</f>
        <v>79080</v>
      </c>
      <c r="L145" s="296">
        <f t="shared" ref="L145" si="175">+F145+I145</f>
        <v>1000</v>
      </c>
      <c r="M145" s="324">
        <f t="shared" ref="M145" si="176">+G145+J145</f>
        <v>78080</v>
      </c>
      <c r="N145" s="293"/>
      <c r="O145" s="293"/>
    </row>
    <row r="146" spans="1:15" x14ac:dyDescent="0.2">
      <c r="A146" s="297" t="str">
        <f t="shared" ref="A146:A163" si="177">MID(C146,1,1)</f>
        <v>4</v>
      </c>
      <c r="B146" s="297" t="str">
        <f t="shared" ref="B146:B163" si="178">MID(C146,1,2)</f>
        <v>43</v>
      </c>
      <c r="C146" s="297">
        <v>4329</v>
      </c>
      <c r="D146" s="224" t="s">
        <v>266</v>
      </c>
      <c r="E146" s="296">
        <f t="shared" si="169"/>
        <v>219</v>
      </c>
      <c r="F146" s="298"/>
      <c r="G146" s="298">
        <v>219</v>
      </c>
      <c r="H146" s="298">
        <f t="shared" ref="H146:H163" si="179">+I146+J146</f>
        <v>0</v>
      </c>
      <c r="I146" s="298"/>
      <c r="J146" s="298"/>
      <c r="K146" s="340">
        <f t="shared" si="170"/>
        <v>219</v>
      </c>
      <c r="L146" s="296">
        <f t="shared" si="171"/>
        <v>0</v>
      </c>
      <c r="M146" s="324">
        <f t="shared" si="172"/>
        <v>219</v>
      </c>
      <c r="N146" s="293"/>
      <c r="O146" s="293"/>
    </row>
    <row r="147" spans="1:15" x14ac:dyDescent="0.2">
      <c r="A147" s="297" t="str">
        <f t="shared" si="177"/>
        <v>4</v>
      </c>
      <c r="B147" s="297" t="str">
        <f t="shared" si="178"/>
        <v>43</v>
      </c>
      <c r="C147" s="297">
        <v>4339</v>
      </c>
      <c r="D147" s="224" t="s">
        <v>267</v>
      </c>
      <c r="E147" s="296">
        <f t="shared" si="169"/>
        <v>17037</v>
      </c>
      <c r="F147" s="298">
        <v>16824</v>
      </c>
      <c r="G147" s="298">
        <v>213</v>
      </c>
      <c r="H147" s="298">
        <f t="shared" si="179"/>
        <v>4000</v>
      </c>
      <c r="I147" s="298"/>
      <c r="J147" s="298">
        <v>4000</v>
      </c>
      <c r="K147" s="340">
        <f t="shared" si="170"/>
        <v>21037</v>
      </c>
      <c r="L147" s="296">
        <f t="shared" si="171"/>
        <v>16824</v>
      </c>
      <c r="M147" s="324">
        <f t="shared" si="172"/>
        <v>4213</v>
      </c>
      <c r="N147" s="293"/>
      <c r="O147" s="293"/>
    </row>
    <row r="148" spans="1:15" x14ac:dyDescent="0.2">
      <c r="A148" s="297" t="str">
        <f t="shared" si="177"/>
        <v>4</v>
      </c>
      <c r="B148" s="297" t="str">
        <f t="shared" si="178"/>
        <v>43</v>
      </c>
      <c r="C148" s="297">
        <v>4341</v>
      </c>
      <c r="D148" s="224" t="s">
        <v>407</v>
      </c>
      <c r="E148" s="296">
        <f t="shared" si="169"/>
        <v>12864</v>
      </c>
      <c r="F148" s="298">
        <v>12859</v>
      </c>
      <c r="G148" s="298">
        <v>5</v>
      </c>
      <c r="H148" s="298">
        <f t="shared" si="179"/>
        <v>35400</v>
      </c>
      <c r="I148" s="298">
        <v>35400</v>
      </c>
      <c r="J148" s="298"/>
      <c r="K148" s="340">
        <f t="shared" si="170"/>
        <v>48264</v>
      </c>
      <c r="L148" s="296">
        <f t="shared" si="171"/>
        <v>48259</v>
      </c>
      <c r="M148" s="324">
        <f t="shared" si="172"/>
        <v>5</v>
      </c>
      <c r="N148" s="293"/>
      <c r="O148" s="293"/>
    </row>
    <row r="149" spans="1:15" x14ac:dyDescent="0.2">
      <c r="A149" s="297" t="str">
        <f t="shared" si="177"/>
        <v>4</v>
      </c>
      <c r="B149" s="297" t="str">
        <f t="shared" si="178"/>
        <v>43</v>
      </c>
      <c r="C149" s="297">
        <v>4342</v>
      </c>
      <c r="D149" s="224" t="s">
        <v>419</v>
      </c>
      <c r="E149" s="296">
        <f t="shared" si="169"/>
        <v>24107</v>
      </c>
      <c r="F149" s="298">
        <v>24107</v>
      </c>
      <c r="G149" s="298"/>
      <c r="H149" s="298">
        <f t="shared" si="179"/>
        <v>0</v>
      </c>
      <c r="I149" s="298"/>
      <c r="J149" s="298"/>
      <c r="K149" s="340">
        <f t="shared" si="170"/>
        <v>24107</v>
      </c>
      <c r="L149" s="296">
        <f t="shared" si="171"/>
        <v>24107</v>
      </c>
      <c r="M149" s="324">
        <f t="shared" si="172"/>
        <v>0</v>
      </c>
      <c r="N149" s="293"/>
      <c r="O149" s="293"/>
    </row>
    <row r="150" spans="1:15" x14ac:dyDescent="0.2">
      <c r="A150" s="297" t="str">
        <f t="shared" ref="A150" si="180">MID(C150,1,1)</f>
        <v>4</v>
      </c>
      <c r="B150" s="297" t="str">
        <f t="shared" ref="B150" si="181">MID(C150,1,2)</f>
        <v>43</v>
      </c>
      <c r="C150" s="297">
        <v>4344</v>
      </c>
      <c r="D150" s="224" t="s">
        <v>352</v>
      </c>
      <c r="E150" s="296">
        <f t="shared" ref="E150" si="182">+F150+G150</f>
        <v>55</v>
      </c>
      <c r="F150" s="298"/>
      <c r="G150" s="298">
        <v>55</v>
      </c>
      <c r="H150" s="298">
        <f t="shared" ref="H150" si="183">+I150+J150</f>
        <v>0</v>
      </c>
      <c r="I150" s="298"/>
      <c r="J150" s="298"/>
      <c r="K150" s="340">
        <f t="shared" ref="K150" si="184">+L150+M150</f>
        <v>55</v>
      </c>
      <c r="L150" s="296">
        <f t="shared" si="171"/>
        <v>0</v>
      </c>
      <c r="M150" s="324">
        <f t="shared" si="172"/>
        <v>55</v>
      </c>
      <c r="N150" s="293"/>
      <c r="O150" s="293"/>
    </row>
    <row r="151" spans="1:15" x14ac:dyDescent="0.2">
      <c r="A151" s="297" t="str">
        <f t="shared" si="177"/>
        <v>4</v>
      </c>
      <c r="B151" s="297" t="str">
        <f t="shared" si="178"/>
        <v>43</v>
      </c>
      <c r="C151" s="297">
        <v>4349</v>
      </c>
      <c r="D151" s="224" t="s">
        <v>420</v>
      </c>
      <c r="E151" s="296">
        <f t="shared" si="169"/>
        <v>30221</v>
      </c>
      <c r="F151" s="298">
        <v>28947</v>
      </c>
      <c r="G151" s="298">
        <v>1274</v>
      </c>
      <c r="H151" s="298">
        <f t="shared" si="179"/>
        <v>0</v>
      </c>
      <c r="I151" s="298"/>
      <c r="J151" s="298"/>
      <c r="K151" s="340">
        <f t="shared" si="170"/>
        <v>30221</v>
      </c>
      <c r="L151" s="296">
        <f t="shared" si="171"/>
        <v>28947</v>
      </c>
      <c r="M151" s="324">
        <f t="shared" si="172"/>
        <v>1274</v>
      </c>
      <c r="N151" s="293"/>
      <c r="O151" s="293"/>
    </row>
    <row r="152" spans="1:15" x14ac:dyDescent="0.2">
      <c r="A152" s="297" t="str">
        <f t="shared" si="177"/>
        <v>4</v>
      </c>
      <c r="B152" s="297" t="str">
        <f t="shared" si="178"/>
        <v>43</v>
      </c>
      <c r="C152" s="297">
        <v>4350</v>
      </c>
      <c r="D152" s="224" t="s">
        <v>183</v>
      </c>
      <c r="E152" s="296">
        <f t="shared" si="169"/>
        <v>311647</v>
      </c>
      <c r="F152" s="298">
        <v>311647</v>
      </c>
      <c r="G152" s="298"/>
      <c r="H152" s="298">
        <f t="shared" si="179"/>
        <v>11070</v>
      </c>
      <c r="I152" s="298">
        <v>11070</v>
      </c>
      <c r="J152" s="298"/>
      <c r="K152" s="340">
        <f t="shared" si="170"/>
        <v>322717</v>
      </c>
      <c r="L152" s="296">
        <f t="shared" si="171"/>
        <v>322717</v>
      </c>
      <c r="M152" s="324">
        <f t="shared" si="172"/>
        <v>0</v>
      </c>
      <c r="N152" s="293"/>
      <c r="O152" s="293"/>
    </row>
    <row r="153" spans="1:15" x14ac:dyDescent="0.2">
      <c r="A153" s="297" t="str">
        <f t="shared" si="177"/>
        <v>4</v>
      </c>
      <c r="B153" s="297" t="str">
        <f t="shared" si="178"/>
        <v>43</v>
      </c>
      <c r="C153" s="297">
        <v>4351</v>
      </c>
      <c r="D153" s="334" t="s">
        <v>421</v>
      </c>
      <c r="E153" s="296">
        <f t="shared" si="169"/>
        <v>95223</v>
      </c>
      <c r="F153" s="298">
        <v>95000</v>
      </c>
      <c r="G153" s="298">
        <v>223</v>
      </c>
      <c r="H153" s="298">
        <f t="shared" si="179"/>
        <v>313142</v>
      </c>
      <c r="I153" s="298">
        <v>312500</v>
      </c>
      <c r="J153" s="298">
        <v>642</v>
      </c>
      <c r="K153" s="340">
        <f t="shared" si="170"/>
        <v>408365</v>
      </c>
      <c r="L153" s="296">
        <f t="shared" si="171"/>
        <v>407500</v>
      </c>
      <c r="M153" s="324">
        <f t="shared" si="172"/>
        <v>865</v>
      </c>
      <c r="N153" s="293"/>
      <c r="O153" s="293"/>
    </row>
    <row r="154" spans="1:15" x14ac:dyDescent="0.2">
      <c r="A154" s="297" t="str">
        <f t="shared" ref="A154:A155" si="185">MID(C154,1,1)</f>
        <v>4</v>
      </c>
      <c r="B154" s="297" t="str">
        <f t="shared" ref="B154:B155" si="186">MID(C154,1,2)</f>
        <v>43</v>
      </c>
      <c r="C154" s="297">
        <v>4355</v>
      </c>
      <c r="D154" s="334" t="s">
        <v>459</v>
      </c>
      <c r="E154" s="296">
        <f t="shared" ref="E154:E155" si="187">+F154+G154</f>
        <v>240</v>
      </c>
      <c r="F154" s="298">
        <v>240</v>
      </c>
      <c r="G154" s="298"/>
      <c r="H154" s="298">
        <f t="shared" ref="H154:H155" si="188">+I154+J154</f>
        <v>0</v>
      </c>
      <c r="I154" s="298"/>
      <c r="J154" s="298"/>
      <c r="K154" s="340">
        <f t="shared" ref="K154:K155" si="189">+L154+M154</f>
        <v>240</v>
      </c>
      <c r="L154" s="296">
        <f t="shared" ref="L154:L155" si="190">+F154+I154</f>
        <v>240</v>
      </c>
      <c r="M154" s="324">
        <f t="shared" ref="M154:M155" si="191">+G154+J154</f>
        <v>0</v>
      </c>
      <c r="N154" s="293"/>
      <c r="O154" s="293"/>
    </row>
    <row r="155" spans="1:15" x14ac:dyDescent="0.2">
      <c r="A155" s="297" t="str">
        <f t="shared" si="185"/>
        <v>4</v>
      </c>
      <c r="B155" s="297" t="str">
        <f t="shared" si="186"/>
        <v>43</v>
      </c>
      <c r="C155" s="297">
        <v>4356</v>
      </c>
      <c r="D155" s="334" t="s">
        <v>460</v>
      </c>
      <c r="E155" s="296">
        <f t="shared" si="187"/>
        <v>15500</v>
      </c>
      <c r="F155" s="298">
        <v>15500</v>
      </c>
      <c r="G155" s="298"/>
      <c r="H155" s="298">
        <f t="shared" si="188"/>
        <v>0</v>
      </c>
      <c r="I155" s="298"/>
      <c r="J155" s="298"/>
      <c r="K155" s="340">
        <f t="shared" si="189"/>
        <v>15500</v>
      </c>
      <c r="L155" s="296">
        <f t="shared" si="190"/>
        <v>15500</v>
      </c>
      <c r="M155" s="324">
        <f t="shared" si="191"/>
        <v>0</v>
      </c>
      <c r="N155" s="293"/>
      <c r="O155" s="293"/>
    </row>
    <row r="156" spans="1:15" x14ac:dyDescent="0.2">
      <c r="A156" s="297" t="str">
        <f t="shared" si="177"/>
        <v>4</v>
      </c>
      <c r="B156" s="297" t="str">
        <f t="shared" si="178"/>
        <v>43</v>
      </c>
      <c r="C156" s="297">
        <v>4357</v>
      </c>
      <c r="D156" s="334" t="s">
        <v>184</v>
      </c>
      <c r="E156" s="296">
        <f t="shared" si="169"/>
        <v>144604</v>
      </c>
      <c r="F156" s="298">
        <v>144364</v>
      </c>
      <c r="G156" s="298">
        <v>240</v>
      </c>
      <c r="H156" s="298">
        <f t="shared" si="179"/>
        <v>54098</v>
      </c>
      <c r="I156" s="298">
        <v>54098</v>
      </c>
      <c r="J156" s="298"/>
      <c r="K156" s="340">
        <f t="shared" si="170"/>
        <v>198702</v>
      </c>
      <c r="L156" s="296">
        <f t="shared" si="171"/>
        <v>198462</v>
      </c>
      <c r="M156" s="324">
        <f t="shared" si="172"/>
        <v>240</v>
      </c>
      <c r="N156" s="293"/>
      <c r="O156" s="293"/>
    </row>
    <row r="157" spans="1:15" x14ac:dyDescent="0.2">
      <c r="A157" s="297" t="str">
        <f t="shared" si="177"/>
        <v>4</v>
      </c>
      <c r="B157" s="297" t="str">
        <f t="shared" si="178"/>
        <v>43</v>
      </c>
      <c r="C157" s="297">
        <v>4359</v>
      </c>
      <c r="D157" s="224" t="s">
        <v>268</v>
      </c>
      <c r="E157" s="296">
        <f t="shared" si="169"/>
        <v>169194</v>
      </c>
      <c r="F157" s="298">
        <v>164600</v>
      </c>
      <c r="G157" s="298">
        <v>4594</v>
      </c>
      <c r="H157" s="298">
        <f t="shared" si="179"/>
        <v>31250</v>
      </c>
      <c r="I157" s="298">
        <v>31000</v>
      </c>
      <c r="J157" s="298">
        <v>250</v>
      </c>
      <c r="K157" s="340">
        <f t="shared" si="170"/>
        <v>200444</v>
      </c>
      <c r="L157" s="296">
        <f t="shared" si="171"/>
        <v>195600</v>
      </c>
      <c r="M157" s="324">
        <f t="shared" si="172"/>
        <v>4844</v>
      </c>
      <c r="N157" s="293"/>
      <c r="O157" s="293"/>
    </row>
    <row r="158" spans="1:15" x14ac:dyDescent="0.2">
      <c r="A158" s="297" t="str">
        <f t="shared" si="177"/>
        <v>4</v>
      </c>
      <c r="B158" s="297" t="str">
        <f t="shared" si="178"/>
        <v>43</v>
      </c>
      <c r="C158" s="297">
        <v>4372</v>
      </c>
      <c r="D158" s="224" t="s">
        <v>317</v>
      </c>
      <c r="E158" s="296">
        <f t="shared" si="169"/>
        <v>4200</v>
      </c>
      <c r="F158" s="298">
        <v>4200</v>
      </c>
      <c r="G158" s="298"/>
      <c r="H158" s="298">
        <f t="shared" si="179"/>
        <v>0</v>
      </c>
      <c r="I158" s="298"/>
      <c r="J158" s="298"/>
      <c r="K158" s="340">
        <f t="shared" si="170"/>
        <v>4200</v>
      </c>
      <c r="L158" s="296">
        <f t="shared" si="171"/>
        <v>4200</v>
      </c>
      <c r="M158" s="324">
        <f t="shared" si="172"/>
        <v>0</v>
      </c>
      <c r="N158" s="293"/>
      <c r="O158" s="293"/>
    </row>
    <row r="159" spans="1:15" x14ac:dyDescent="0.2">
      <c r="A159" s="297" t="str">
        <f t="shared" si="177"/>
        <v>4</v>
      </c>
      <c r="B159" s="297" t="str">
        <f t="shared" si="178"/>
        <v>43</v>
      </c>
      <c r="C159" s="297">
        <v>4374</v>
      </c>
      <c r="D159" s="224" t="s">
        <v>269</v>
      </c>
      <c r="E159" s="296">
        <f t="shared" si="169"/>
        <v>220587</v>
      </c>
      <c r="F159" s="298">
        <v>220507</v>
      </c>
      <c r="G159" s="298">
        <v>80</v>
      </c>
      <c r="H159" s="298">
        <f t="shared" si="179"/>
        <v>3550</v>
      </c>
      <c r="I159" s="298">
        <v>3550</v>
      </c>
      <c r="J159" s="298"/>
      <c r="K159" s="340">
        <f t="shared" si="170"/>
        <v>224137</v>
      </c>
      <c r="L159" s="296">
        <f t="shared" si="171"/>
        <v>224057</v>
      </c>
      <c r="M159" s="324">
        <f t="shared" si="172"/>
        <v>80</v>
      </c>
      <c r="N159" s="293"/>
      <c r="O159" s="293"/>
    </row>
    <row r="160" spans="1:15" x14ac:dyDescent="0.2">
      <c r="A160" s="297" t="str">
        <f t="shared" ref="A160:A161" si="192">MID(C160,1,1)</f>
        <v>4</v>
      </c>
      <c r="B160" s="297" t="str">
        <f t="shared" ref="B160:B161" si="193">MID(C160,1,2)</f>
        <v>43</v>
      </c>
      <c r="C160" s="297">
        <v>4375</v>
      </c>
      <c r="D160" s="224" t="s">
        <v>461</v>
      </c>
      <c r="E160" s="296">
        <f t="shared" ref="E160:E161" si="194">+F160+G160</f>
        <v>3500</v>
      </c>
      <c r="F160" s="298">
        <v>3500</v>
      </c>
      <c r="G160" s="298"/>
      <c r="H160" s="298">
        <f t="shared" ref="H160:H161" si="195">+I160+J160</f>
        <v>0</v>
      </c>
      <c r="I160" s="298"/>
      <c r="J160" s="298"/>
      <c r="K160" s="340">
        <f t="shared" ref="K160:K161" si="196">+L160+M160</f>
        <v>3500</v>
      </c>
      <c r="L160" s="296">
        <f t="shared" ref="L160:L161" si="197">+F160+I160</f>
        <v>3500</v>
      </c>
      <c r="M160" s="324">
        <f t="shared" ref="M160:M161" si="198">+G160+J160</f>
        <v>0</v>
      </c>
      <c r="N160" s="293"/>
      <c r="O160" s="293"/>
    </row>
    <row r="161" spans="1:15" x14ac:dyDescent="0.2">
      <c r="A161" s="297" t="str">
        <f t="shared" si="192"/>
        <v>4</v>
      </c>
      <c r="B161" s="297" t="str">
        <f t="shared" si="193"/>
        <v>43</v>
      </c>
      <c r="C161" s="297">
        <v>4378</v>
      </c>
      <c r="D161" s="224" t="s">
        <v>462</v>
      </c>
      <c r="E161" s="296">
        <f t="shared" si="194"/>
        <v>3800</v>
      </c>
      <c r="F161" s="298">
        <v>3800</v>
      </c>
      <c r="G161" s="298"/>
      <c r="H161" s="298">
        <f t="shared" si="195"/>
        <v>0</v>
      </c>
      <c r="I161" s="298"/>
      <c r="J161" s="298"/>
      <c r="K161" s="340">
        <f t="shared" si="196"/>
        <v>3800</v>
      </c>
      <c r="L161" s="296">
        <f t="shared" si="197"/>
        <v>3800</v>
      </c>
      <c r="M161" s="324">
        <f t="shared" si="198"/>
        <v>0</v>
      </c>
      <c r="N161" s="293"/>
      <c r="O161" s="293"/>
    </row>
    <row r="162" spans="1:15" x14ac:dyDescent="0.2">
      <c r="A162" s="297" t="str">
        <f t="shared" si="177"/>
        <v>4</v>
      </c>
      <c r="B162" s="297" t="str">
        <f t="shared" si="178"/>
        <v>43</v>
      </c>
      <c r="C162" s="297">
        <v>4379</v>
      </c>
      <c r="D162" s="224" t="s">
        <v>348</v>
      </c>
      <c r="E162" s="296">
        <f t="shared" si="169"/>
        <v>3068</v>
      </c>
      <c r="F162" s="298">
        <v>1702</v>
      </c>
      <c r="G162" s="298">
        <v>1366</v>
      </c>
      <c r="H162" s="298">
        <f t="shared" si="179"/>
        <v>0</v>
      </c>
      <c r="I162" s="298"/>
      <c r="J162" s="298"/>
      <c r="K162" s="340">
        <f t="shared" si="170"/>
        <v>3068</v>
      </c>
      <c r="L162" s="296">
        <f t="shared" si="171"/>
        <v>1702</v>
      </c>
      <c r="M162" s="324">
        <f t="shared" si="172"/>
        <v>1366</v>
      </c>
      <c r="N162" s="293"/>
      <c r="O162" s="293"/>
    </row>
    <row r="163" spans="1:15" x14ac:dyDescent="0.2">
      <c r="A163" s="297" t="str">
        <f t="shared" si="177"/>
        <v>4</v>
      </c>
      <c r="B163" s="297" t="str">
        <f t="shared" si="178"/>
        <v>43</v>
      </c>
      <c r="C163" s="297">
        <v>4399</v>
      </c>
      <c r="D163" s="224" t="s">
        <v>270</v>
      </c>
      <c r="E163" s="296">
        <f t="shared" si="169"/>
        <v>1060</v>
      </c>
      <c r="F163" s="298"/>
      <c r="G163" s="298">
        <v>1060</v>
      </c>
      <c r="H163" s="298">
        <f t="shared" si="179"/>
        <v>0</v>
      </c>
      <c r="I163" s="298"/>
      <c r="J163" s="298"/>
      <c r="K163" s="340">
        <f t="shared" si="170"/>
        <v>1060</v>
      </c>
      <c r="L163" s="296">
        <f t="shared" si="171"/>
        <v>0</v>
      </c>
      <c r="M163" s="324">
        <f t="shared" si="172"/>
        <v>1060</v>
      </c>
      <c r="N163" s="293"/>
      <c r="O163" s="293"/>
    </row>
    <row r="164" spans="1:15" x14ac:dyDescent="0.2">
      <c r="A164" s="299" t="s">
        <v>318</v>
      </c>
      <c r="B164" s="299"/>
      <c r="C164" s="300"/>
      <c r="D164" s="330"/>
      <c r="E164" s="301">
        <f t="shared" ref="E164:M164" si="199">SUM(E144:E163)</f>
        <v>1148706</v>
      </c>
      <c r="F164" s="301">
        <f t="shared" si="199"/>
        <v>1061297</v>
      </c>
      <c r="G164" s="301">
        <f t="shared" si="199"/>
        <v>87409</v>
      </c>
      <c r="H164" s="301">
        <f t="shared" si="199"/>
        <v>452510</v>
      </c>
      <c r="I164" s="301">
        <f t="shared" si="199"/>
        <v>447618</v>
      </c>
      <c r="J164" s="301">
        <f t="shared" si="199"/>
        <v>4892</v>
      </c>
      <c r="K164" s="339">
        <f t="shared" si="199"/>
        <v>1601216</v>
      </c>
      <c r="L164" s="301">
        <f t="shared" si="199"/>
        <v>1508915</v>
      </c>
      <c r="M164" s="302">
        <f t="shared" si="199"/>
        <v>92301</v>
      </c>
      <c r="N164" s="293"/>
      <c r="O164" s="293"/>
    </row>
    <row r="165" spans="1:15" ht="13.5" thickBot="1" x14ac:dyDescent="0.25">
      <c r="A165" s="304"/>
      <c r="B165" s="303"/>
      <c r="C165" s="304"/>
      <c r="D165" s="331"/>
      <c r="E165" s="305"/>
      <c r="F165" s="305"/>
      <c r="G165" s="305"/>
      <c r="H165" s="305"/>
      <c r="I165" s="305"/>
      <c r="J165" s="305"/>
      <c r="K165" s="341"/>
      <c r="L165" s="305"/>
      <c r="M165" s="342"/>
      <c r="N165" s="293"/>
      <c r="O165" s="293"/>
    </row>
    <row r="166" spans="1:15" ht="14.25" thickTop="1" thickBot="1" x14ac:dyDescent="0.25">
      <c r="A166" s="319" t="s">
        <v>186</v>
      </c>
      <c r="B166" s="306"/>
      <c r="C166" s="306"/>
      <c r="D166" s="332"/>
      <c r="E166" s="307">
        <f>+E164</f>
        <v>1148706</v>
      </c>
      <c r="F166" s="307">
        <f t="shared" ref="F166:M166" si="200">+F164</f>
        <v>1061297</v>
      </c>
      <c r="G166" s="307">
        <f t="shared" si="200"/>
        <v>87409</v>
      </c>
      <c r="H166" s="307">
        <f t="shared" si="200"/>
        <v>452510</v>
      </c>
      <c r="I166" s="307">
        <f t="shared" si="200"/>
        <v>447618</v>
      </c>
      <c r="J166" s="307">
        <f t="shared" si="200"/>
        <v>4892</v>
      </c>
      <c r="K166" s="343">
        <f t="shared" si="200"/>
        <v>1601216</v>
      </c>
      <c r="L166" s="307">
        <f t="shared" si="200"/>
        <v>1508915</v>
      </c>
      <c r="M166" s="344">
        <f t="shared" si="200"/>
        <v>92301</v>
      </c>
      <c r="N166" s="293"/>
      <c r="O166" s="293"/>
    </row>
    <row r="167" spans="1:15" ht="13.5" thickTop="1" x14ac:dyDescent="0.2">
      <c r="A167" s="316"/>
      <c r="B167" s="317"/>
      <c r="C167" s="317"/>
      <c r="D167" s="338"/>
      <c r="E167" s="318"/>
      <c r="F167" s="318"/>
      <c r="G167" s="318"/>
      <c r="H167" s="318"/>
      <c r="I167" s="318"/>
      <c r="J167" s="318"/>
      <c r="K167" s="353"/>
      <c r="L167" s="318"/>
      <c r="M167" s="354"/>
      <c r="N167" s="293"/>
      <c r="O167" s="293"/>
    </row>
    <row r="168" spans="1:15" x14ac:dyDescent="0.2">
      <c r="A168" s="297" t="str">
        <f t="shared" ref="A168:A172" si="201">MID(C168,1,1)</f>
        <v>5</v>
      </c>
      <c r="B168" s="297" t="str">
        <f t="shared" ref="B168:B172" si="202">MID(C168,1,2)</f>
        <v>52</v>
      </c>
      <c r="C168" s="297">
        <v>5212</v>
      </c>
      <c r="D168" s="224" t="s">
        <v>271</v>
      </c>
      <c r="E168" s="298">
        <f t="shared" ref="E168:E172" si="203">+F168+G168</f>
        <v>3219</v>
      </c>
      <c r="F168" s="298">
        <v>1824</v>
      </c>
      <c r="G168" s="298">
        <v>1395</v>
      </c>
      <c r="H168" s="298">
        <f t="shared" ref="H168:H172" si="204">+I168+J168</f>
        <v>0</v>
      </c>
      <c r="I168" s="298"/>
      <c r="J168" s="298"/>
      <c r="K168" s="350">
        <f t="shared" ref="K168" si="205">+L168+M168</f>
        <v>3219</v>
      </c>
      <c r="L168" s="298">
        <f t="shared" ref="L168:L172" si="206">+F168+I168</f>
        <v>1824</v>
      </c>
      <c r="M168" s="326">
        <f t="shared" ref="M168:M172" si="207">+G168+J168</f>
        <v>1395</v>
      </c>
      <c r="N168" s="293"/>
      <c r="O168" s="293"/>
    </row>
    <row r="169" spans="1:15" x14ac:dyDescent="0.2">
      <c r="A169" s="297" t="str">
        <f t="shared" si="201"/>
        <v>5</v>
      </c>
      <c r="B169" s="297" t="str">
        <f t="shared" si="202"/>
        <v>52</v>
      </c>
      <c r="C169" s="297">
        <v>5213</v>
      </c>
      <c r="D169" s="224" t="s">
        <v>321</v>
      </c>
      <c r="E169" s="296">
        <f t="shared" si="203"/>
        <v>5076</v>
      </c>
      <c r="F169" s="298">
        <v>4110</v>
      </c>
      <c r="G169" s="298">
        <v>966</v>
      </c>
      <c r="H169" s="298">
        <f t="shared" si="204"/>
        <v>550</v>
      </c>
      <c r="I169" s="298"/>
      <c r="J169" s="298">
        <v>550</v>
      </c>
      <c r="K169" s="350">
        <f t="shared" ref="K169:K170" si="208">+L169+M169</f>
        <v>5626</v>
      </c>
      <c r="L169" s="298">
        <f t="shared" si="206"/>
        <v>4110</v>
      </c>
      <c r="M169" s="326">
        <f t="shared" si="207"/>
        <v>1516</v>
      </c>
      <c r="N169" s="293"/>
      <c r="O169" s="293"/>
    </row>
    <row r="170" spans="1:15" x14ac:dyDescent="0.2">
      <c r="A170" s="297" t="str">
        <f t="shared" si="201"/>
        <v>5</v>
      </c>
      <c r="B170" s="297" t="str">
        <f t="shared" si="202"/>
        <v>52</v>
      </c>
      <c r="C170" s="297">
        <v>5269</v>
      </c>
      <c r="D170" s="224" t="s">
        <v>426</v>
      </c>
      <c r="E170" s="296">
        <f t="shared" si="203"/>
        <v>40</v>
      </c>
      <c r="F170" s="298"/>
      <c r="G170" s="298">
        <v>40</v>
      </c>
      <c r="H170" s="298">
        <f t="shared" si="204"/>
        <v>0</v>
      </c>
      <c r="I170" s="298"/>
      <c r="J170" s="298"/>
      <c r="K170" s="350">
        <f t="shared" si="208"/>
        <v>40</v>
      </c>
      <c r="L170" s="298">
        <f t="shared" si="206"/>
        <v>0</v>
      </c>
      <c r="M170" s="326">
        <f t="shared" si="207"/>
        <v>40</v>
      </c>
      <c r="N170" s="293"/>
      <c r="O170" s="293"/>
    </row>
    <row r="171" spans="1:15" x14ac:dyDescent="0.2">
      <c r="A171" s="297" t="str">
        <f t="shared" si="201"/>
        <v>5</v>
      </c>
      <c r="B171" s="297" t="str">
        <f t="shared" si="202"/>
        <v>52</v>
      </c>
      <c r="C171" s="297">
        <v>5273</v>
      </c>
      <c r="D171" s="224" t="s">
        <v>272</v>
      </c>
      <c r="E171" s="298">
        <f t="shared" si="203"/>
        <v>150</v>
      </c>
      <c r="F171" s="298">
        <v>50</v>
      </c>
      <c r="G171" s="298">
        <v>100</v>
      </c>
      <c r="H171" s="298">
        <f t="shared" si="204"/>
        <v>0</v>
      </c>
      <c r="I171" s="298"/>
      <c r="J171" s="298"/>
      <c r="K171" s="340">
        <f t="shared" ref="K171:K172" si="209">+L171+M171</f>
        <v>150</v>
      </c>
      <c r="L171" s="296">
        <f t="shared" si="206"/>
        <v>50</v>
      </c>
      <c r="M171" s="324">
        <f t="shared" si="207"/>
        <v>100</v>
      </c>
      <c r="N171" s="293"/>
      <c r="O171" s="293"/>
    </row>
    <row r="172" spans="1:15" x14ac:dyDescent="0.2">
      <c r="A172" s="297" t="str">
        <f t="shared" si="201"/>
        <v>5</v>
      </c>
      <c r="B172" s="297" t="str">
        <f t="shared" si="202"/>
        <v>52</v>
      </c>
      <c r="C172" s="297">
        <v>5279</v>
      </c>
      <c r="D172" s="224" t="s">
        <v>422</v>
      </c>
      <c r="E172" s="298">
        <f t="shared" si="203"/>
        <v>15</v>
      </c>
      <c r="F172" s="298"/>
      <c r="G172" s="298">
        <v>15</v>
      </c>
      <c r="H172" s="298">
        <f t="shared" si="204"/>
        <v>0</v>
      </c>
      <c r="I172" s="298"/>
      <c r="J172" s="298"/>
      <c r="K172" s="340">
        <f t="shared" si="209"/>
        <v>15</v>
      </c>
      <c r="L172" s="296">
        <f t="shared" si="206"/>
        <v>0</v>
      </c>
      <c r="M172" s="324">
        <f t="shared" si="207"/>
        <v>15</v>
      </c>
      <c r="N172" s="293"/>
      <c r="O172" s="293"/>
    </row>
    <row r="173" spans="1:15" x14ac:dyDescent="0.2">
      <c r="A173" s="299" t="s">
        <v>273</v>
      </c>
      <c r="B173" s="299"/>
      <c r="C173" s="300"/>
      <c r="D173" s="330"/>
      <c r="E173" s="301">
        <f t="shared" ref="E173:M173" si="210">SUM(E168:E172)</f>
        <v>8500</v>
      </c>
      <c r="F173" s="301">
        <f t="shared" si="210"/>
        <v>5984</v>
      </c>
      <c r="G173" s="301">
        <f t="shared" si="210"/>
        <v>2516</v>
      </c>
      <c r="H173" s="301">
        <f t="shared" si="210"/>
        <v>550</v>
      </c>
      <c r="I173" s="301">
        <f t="shared" si="210"/>
        <v>0</v>
      </c>
      <c r="J173" s="301">
        <f t="shared" si="210"/>
        <v>550</v>
      </c>
      <c r="K173" s="339">
        <f t="shared" si="210"/>
        <v>9050</v>
      </c>
      <c r="L173" s="301">
        <f t="shared" si="210"/>
        <v>5984</v>
      </c>
      <c r="M173" s="302">
        <f t="shared" si="210"/>
        <v>3066</v>
      </c>
      <c r="N173" s="293"/>
      <c r="O173" s="293"/>
    </row>
    <row r="174" spans="1:15" x14ac:dyDescent="0.2">
      <c r="A174" s="297"/>
      <c r="B174" s="309"/>
      <c r="C174" s="297"/>
      <c r="D174" s="224"/>
      <c r="E174" s="310"/>
      <c r="F174" s="310"/>
      <c r="G174" s="310"/>
      <c r="H174" s="310"/>
      <c r="I174" s="310"/>
      <c r="J174" s="310"/>
      <c r="K174" s="347"/>
      <c r="L174" s="310"/>
      <c r="M174" s="325"/>
      <c r="N174" s="293"/>
      <c r="O174" s="293"/>
    </row>
    <row r="175" spans="1:15" x14ac:dyDescent="0.2">
      <c r="A175" s="297" t="str">
        <f>MID(C175,1,1)</f>
        <v>5</v>
      </c>
      <c r="B175" s="297" t="str">
        <f>MID(C175,1,2)</f>
        <v>53</v>
      </c>
      <c r="C175" s="297">
        <v>5311</v>
      </c>
      <c r="D175" s="224" t="s">
        <v>274</v>
      </c>
      <c r="E175" s="296">
        <f>+F175+G175</f>
        <v>617682</v>
      </c>
      <c r="F175" s="298">
        <v>617190</v>
      </c>
      <c r="G175" s="298">
        <v>492</v>
      </c>
      <c r="H175" s="298">
        <f t="shared" ref="H175" si="211">+I175+J175</f>
        <v>28020</v>
      </c>
      <c r="I175" s="298">
        <v>27820</v>
      </c>
      <c r="J175" s="298">
        <v>200</v>
      </c>
      <c r="K175" s="340">
        <f t="shared" ref="K175" si="212">+L175+M175</f>
        <v>645702</v>
      </c>
      <c r="L175" s="296">
        <f t="shared" ref="L175" si="213">+F175+I175</f>
        <v>645010</v>
      </c>
      <c r="M175" s="324">
        <f t="shared" ref="M175" si="214">+G175+J175</f>
        <v>692</v>
      </c>
      <c r="N175" s="293"/>
      <c r="O175" s="293"/>
    </row>
    <row r="176" spans="1:15" x14ac:dyDescent="0.2">
      <c r="A176" s="297" t="str">
        <f>MID(C176,1,1)</f>
        <v>5</v>
      </c>
      <c r="B176" s="297" t="str">
        <f>MID(C176,1,2)</f>
        <v>53</v>
      </c>
      <c r="C176" s="297">
        <v>5319</v>
      </c>
      <c r="D176" s="224" t="s">
        <v>275</v>
      </c>
      <c r="E176" s="296">
        <f>+F176+G176</f>
        <v>395</v>
      </c>
      <c r="F176" s="298">
        <v>315</v>
      </c>
      <c r="G176" s="298">
        <v>80</v>
      </c>
      <c r="H176" s="298">
        <f t="shared" ref="H176" si="215">+I176+J176</f>
        <v>0</v>
      </c>
      <c r="I176" s="298"/>
      <c r="J176" s="298"/>
      <c r="K176" s="340">
        <f t="shared" ref="K176" si="216">+L176+M176</f>
        <v>395</v>
      </c>
      <c r="L176" s="296">
        <f t="shared" ref="L176" si="217">+F176+I176</f>
        <v>315</v>
      </c>
      <c r="M176" s="324">
        <f t="shared" ref="M176" si="218">+G176+J176</f>
        <v>80</v>
      </c>
      <c r="N176" s="293"/>
      <c r="O176" s="293"/>
    </row>
    <row r="177" spans="1:15" x14ac:dyDescent="0.2">
      <c r="A177" s="297" t="str">
        <f>MID(C177,1,1)</f>
        <v>5</v>
      </c>
      <c r="B177" s="297" t="str">
        <f>MID(C177,1,2)</f>
        <v>53</v>
      </c>
      <c r="C177" s="297">
        <v>5399</v>
      </c>
      <c r="D177" s="224" t="s">
        <v>444</v>
      </c>
      <c r="E177" s="296">
        <f>+F177+G177</f>
        <v>0</v>
      </c>
      <c r="F177" s="298"/>
      <c r="G177" s="298"/>
      <c r="H177" s="298">
        <f t="shared" ref="H177" si="219">+I177+J177</f>
        <v>4000</v>
      </c>
      <c r="I177" s="298"/>
      <c r="J177" s="298">
        <v>4000</v>
      </c>
      <c r="K177" s="340">
        <f t="shared" ref="K177" si="220">+L177+M177</f>
        <v>4000</v>
      </c>
      <c r="L177" s="296">
        <f t="shared" ref="L177" si="221">+F177+I177</f>
        <v>0</v>
      </c>
      <c r="M177" s="324">
        <f t="shared" ref="M177" si="222">+G177+J177</f>
        <v>4000</v>
      </c>
      <c r="N177" s="293"/>
      <c r="O177" s="293"/>
    </row>
    <row r="178" spans="1:15" x14ac:dyDescent="0.2">
      <c r="A178" s="299" t="s">
        <v>188</v>
      </c>
      <c r="B178" s="299"/>
      <c r="C178" s="300"/>
      <c r="D178" s="330"/>
      <c r="E178" s="301">
        <f t="shared" ref="E178:M178" si="223">SUM(E175:E177)</f>
        <v>618077</v>
      </c>
      <c r="F178" s="301">
        <f t="shared" si="223"/>
        <v>617505</v>
      </c>
      <c r="G178" s="301">
        <f t="shared" si="223"/>
        <v>572</v>
      </c>
      <c r="H178" s="301">
        <f t="shared" si="223"/>
        <v>32020</v>
      </c>
      <c r="I178" s="301">
        <f t="shared" si="223"/>
        <v>27820</v>
      </c>
      <c r="J178" s="301">
        <f t="shared" si="223"/>
        <v>4200</v>
      </c>
      <c r="K178" s="339">
        <f t="shared" si="223"/>
        <v>650097</v>
      </c>
      <c r="L178" s="301">
        <f t="shared" si="223"/>
        <v>645325</v>
      </c>
      <c r="M178" s="302">
        <f t="shared" si="223"/>
        <v>4772</v>
      </c>
    </row>
    <row r="179" spans="1:15" x14ac:dyDescent="0.2">
      <c r="A179" s="297"/>
      <c r="B179" s="309"/>
      <c r="C179" s="297"/>
      <c r="D179" s="224"/>
      <c r="E179" s="310"/>
      <c r="F179" s="310"/>
      <c r="G179" s="310"/>
      <c r="H179" s="310"/>
      <c r="I179" s="310"/>
      <c r="J179" s="310"/>
      <c r="K179" s="347"/>
      <c r="L179" s="310"/>
      <c r="M179" s="325"/>
    </row>
    <row r="180" spans="1:15" x14ac:dyDescent="0.2">
      <c r="A180" s="297" t="str">
        <f>MID(C180,1,1)</f>
        <v>5</v>
      </c>
      <c r="B180" s="297" t="str">
        <f>MID(C180,1,2)</f>
        <v>55</v>
      </c>
      <c r="C180" s="297">
        <v>5511</v>
      </c>
      <c r="D180" s="224" t="s">
        <v>276</v>
      </c>
      <c r="E180" s="296">
        <f>+F180+G180</f>
        <v>12185</v>
      </c>
      <c r="F180" s="298">
        <v>12000</v>
      </c>
      <c r="G180" s="298">
        <v>185</v>
      </c>
      <c r="H180" s="298">
        <f t="shared" ref="H180:H181" si="224">+I180+J180</f>
        <v>59603</v>
      </c>
      <c r="I180" s="298">
        <v>59603</v>
      </c>
      <c r="J180" s="298"/>
      <c r="K180" s="340">
        <f t="shared" ref="K180:K182" si="225">+L180+M180</f>
        <v>71788</v>
      </c>
      <c r="L180" s="296">
        <f t="shared" ref="L180:M182" si="226">+F180+I180</f>
        <v>71603</v>
      </c>
      <c r="M180" s="324">
        <f t="shared" si="226"/>
        <v>185</v>
      </c>
    </row>
    <row r="181" spans="1:15" x14ac:dyDescent="0.2">
      <c r="A181" s="297" t="str">
        <f>MID(C181,1,1)</f>
        <v>5</v>
      </c>
      <c r="B181" s="297" t="str">
        <f>MID(C181,1,2)</f>
        <v>55</v>
      </c>
      <c r="C181" s="297">
        <v>5512</v>
      </c>
      <c r="D181" s="224" t="s">
        <v>277</v>
      </c>
      <c r="E181" s="296">
        <f>+F181+G181</f>
        <v>16275</v>
      </c>
      <c r="F181" s="298"/>
      <c r="G181" s="298">
        <v>16275</v>
      </c>
      <c r="H181" s="298">
        <f t="shared" si="224"/>
        <v>20465</v>
      </c>
      <c r="I181" s="298"/>
      <c r="J181" s="298">
        <v>20465</v>
      </c>
      <c r="K181" s="340">
        <f t="shared" si="225"/>
        <v>36740</v>
      </c>
      <c r="L181" s="296">
        <f t="shared" si="226"/>
        <v>0</v>
      </c>
      <c r="M181" s="324">
        <f t="shared" si="226"/>
        <v>36740</v>
      </c>
    </row>
    <row r="182" spans="1:15" x14ac:dyDescent="0.2">
      <c r="A182" s="297" t="str">
        <f>MID(C182,1,1)</f>
        <v>5</v>
      </c>
      <c r="B182" s="297" t="str">
        <f>MID(C182,1,2)</f>
        <v>55</v>
      </c>
      <c r="C182" s="297">
        <v>5519</v>
      </c>
      <c r="D182" s="224" t="s">
        <v>278</v>
      </c>
      <c r="E182" s="296">
        <f>+F182+G182</f>
        <v>631</v>
      </c>
      <c r="F182" s="298"/>
      <c r="G182" s="298">
        <v>631</v>
      </c>
      <c r="H182" s="298">
        <f>+I182+J182</f>
        <v>0</v>
      </c>
      <c r="I182" s="298"/>
      <c r="J182" s="298"/>
      <c r="K182" s="340">
        <f t="shared" si="225"/>
        <v>631</v>
      </c>
      <c r="L182" s="296">
        <f t="shared" si="226"/>
        <v>0</v>
      </c>
      <c r="M182" s="324">
        <f t="shared" si="226"/>
        <v>631</v>
      </c>
    </row>
    <row r="183" spans="1:15" x14ac:dyDescent="0.2">
      <c r="A183" s="299" t="s">
        <v>279</v>
      </c>
      <c r="B183" s="299"/>
      <c r="C183" s="300"/>
      <c r="D183" s="330"/>
      <c r="E183" s="301">
        <f t="shared" ref="E183:M183" si="227">SUM(E180:E182)</f>
        <v>29091</v>
      </c>
      <c r="F183" s="301">
        <f t="shared" si="227"/>
        <v>12000</v>
      </c>
      <c r="G183" s="301">
        <f t="shared" si="227"/>
        <v>17091</v>
      </c>
      <c r="H183" s="301">
        <f t="shared" si="227"/>
        <v>80068</v>
      </c>
      <c r="I183" s="301">
        <f t="shared" si="227"/>
        <v>59603</v>
      </c>
      <c r="J183" s="301">
        <f t="shared" si="227"/>
        <v>20465</v>
      </c>
      <c r="K183" s="339">
        <f t="shared" si="227"/>
        <v>109159</v>
      </c>
      <c r="L183" s="301">
        <f t="shared" si="227"/>
        <v>71603</v>
      </c>
      <c r="M183" s="302">
        <f t="shared" si="227"/>
        <v>37556</v>
      </c>
    </row>
    <row r="184" spans="1:15" ht="13.5" thickBot="1" x14ac:dyDescent="0.25">
      <c r="A184" s="304"/>
      <c r="B184" s="303"/>
      <c r="C184" s="304"/>
      <c r="D184" s="331"/>
      <c r="E184" s="305"/>
      <c r="F184" s="305"/>
      <c r="G184" s="305"/>
      <c r="H184" s="305"/>
      <c r="I184" s="305"/>
      <c r="J184" s="305"/>
      <c r="K184" s="341"/>
      <c r="L184" s="305"/>
      <c r="M184" s="342"/>
    </row>
    <row r="185" spans="1:15" ht="14.25" thickTop="1" thickBot="1" x14ac:dyDescent="0.25">
      <c r="A185" s="335" t="s">
        <v>190</v>
      </c>
      <c r="B185" s="311"/>
      <c r="C185" s="311"/>
      <c r="D185" s="336"/>
      <c r="E185" s="312">
        <f>+E173+E178+E183</f>
        <v>655668</v>
      </c>
      <c r="F185" s="312">
        <f>+F173+F178+F183</f>
        <v>635489</v>
      </c>
      <c r="G185" s="312">
        <f>+G183+G178+G173</f>
        <v>20179</v>
      </c>
      <c r="H185" s="312">
        <f>+H178+H183+H173</f>
        <v>112638</v>
      </c>
      <c r="I185" s="312">
        <f>+I178+I183+I173</f>
        <v>87423</v>
      </c>
      <c r="J185" s="312">
        <f>+J178+J183+J173</f>
        <v>25215</v>
      </c>
      <c r="K185" s="348">
        <f>+K173+K178+K183</f>
        <v>768306</v>
      </c>
      <c r="L185" s="312">
        <f>+L173+L178+L183</f>
        <v>722912</v>
      </c>
      <c r="M185" s="349">
        <f>+M173+M178+M183</f>
        <v>45394</v>
      </c>
    </row>
    <row r="186" spans="1:15" ht="13.5" thickTop="1" x14ac:dyDescent="0.2">
      <c r="A186" s="316"/>
      <c r="B186" s="317"/>
      <c r="C186" s="317"/>
      <c r="D186" s="338"/>
      <c r="E186" s="318"/>
      <c r="F186" s="318"/>
      <c r="G186" s="318"/>
      <c r="H186" s="318"/>
      <c r="I186" s="318"/>
      <c r="J186" s="318"/>
      <c r="K186" s="353"/>
      <c r="L186" s="318"/>
      <c r="M186" s="354"/>
    </row>
    <row r="187" spans="1:15" x14ac:dyDescent="0.2">
      <c r="A187" s="297" t="str">
        <f>MID(C187,1,1)</f>
        <v>6</v>
      </c>
      <c r="B187" s="297" t="str">
        <f>MID(C187,1,2)</f>
        <v>61</v>
      </c>
      <c r="C187" s="297">
        <v>6112</v>
      </c>
      <c r="D187" s="224" t="s">
        <v>280</v>
      </c>
      <c r="E187" s="298">
        <f>+F187+G187</f>
        <v>247264</v>
      </c>
      <c r="F187" s="298">
        <v>60095</v>
      </c>
      <c r="G187" s="298">
        <v>187169</v>
      </c>
      <c r="H187" s="298">
        <f t="shared" ref="H187" si="228">+I187+J187</f>
        <v>90</v>
      </c>
      <c r="I187" s="298"/>
      <c r="J187" s="298">
        <v>90</v>
      </c>
      <c r="K187" s="350">
        <f t="shared" ref="K187:K188" si="229">+L187+M187</f>
        <v>247354</v>
      </c>
      <c r="L187" s="298">
        <f t="shared" ref="L187" si="230">+F187+I187</f>
        <v>60095</v>
      </c>
      <c r="M187" s="326">
        <f t="shared" ref="M187" si="231">+G187+J187</f>
        <v>187259</v>
      </c>
    </row>
    <row r="188" spans="1:15" x14ac:dyDescent="0.2">
      <c r="A188" s="297" t="str">
        <f>MID(C188,1,1)</f>
        <v>6</v>
      </c>
      <c r="B188" s="297" t="str">
        <f>MID(C188,1,2)</f>
        <v>61</v>
      </c>
      <c r="C188" s="297">
        <v>6114</v>
      </c>
      <c r="D188" s="224" t="s">
        <v>470</v>
      </c>
      <c r="E188" s="298">
        <f>+F188+G188</f>
        <v>11957</v>
      </c>
      <c r="F188" s="298"/>
      <c r="G188" s="298">
        <v>11957</v>
      </c>
      <c r="H188" s="298"/>
      <c r="I188" s="298"/>
      <c r="J188" s="298"/>
      <c r="K188" s="350">
        <f t="shared" si="229"/>
        <v>11957</v>
      </c>
      <c r="L188" s="296">
        <f t="shared" ref="L188" si="232">+F188+I188</f>
        <v>0</v>
      </c>
      <c r="M188" s="324">
        <f t="shared" ref="M188" si="233">+G188+J188</f>
        <v>11957</v>
      </c>
    </row>
    <row r="189" spans="1:15" x14ac:dyDescent="0.2">
      <c r="A189" s="297" t="str">
        <f>MID(C189,1,1)</f>
        <v>6</v>
      </c>
      <c r="B189" s="297" t="str">
        <f>MID(C189,1,2)</f>
        <v>61</v>
      </c>
      <c r="C189" s="297">
        <v>6171</v>
      </c>
      <c r="D189" s="224" t="s">
        <v>191</v>
      </c>
      <c r="E189" s="296">
        <f>+F189+G189</f>
        <v>2696200</v>
      </c>
      <c r="F189" s="298">
        <v>1682812</v>
      </c>
      <c r="G189" s="298">
        <v>1013388</v>
      </c>
      <c r="H189" s="298">
        <f>+I189+J189</f>
        <v>259389</v>
      </c>
      <c r="I189" s="298">
        <v>184075</v>
      </c>
      <c r="J189" s="298">
        <v>75314</v>
      </c>
      <c r="K189" s="340">
        <f>+L189+M189</f>
        <v>2955589</v>
      </c>
      <c r="L189" s="296">
        <f t="shared" ref="L189:M189" si="234">+F189+I189</f>
        <v>1866887</v>
      </c>
      <c r="M189" s="324">
        <f t="shared" si="234"/>
        <v>1088702</v>
      </c>
    </row>
    <row r="190" spans="1:15" x14ac:dyDescent="0.2">
      <c r="A190" s="299" t="s">
        <v>400</v>
      </c>
      <c r="B190" s="299"/>
      <c r="C190" s="300"/>
      <c r="D190" s="330"/>
      <c r="E190" s="301">
        <f t="shared" ref="E190:M190" si="235">SUM(E187:E189)</f>
        <v>2955421</v>
      </c>
      <c r="F190" s="301">
        <f t="shared" si="235"/>
        <v>1742907</v>
      </c>
      <c r="G190" s="301">
        <f t="shared" si="235"/>
        <v>1212514</v>
      </c>
      <c r="H190" s="301">
        <f t="shared" si="235"/>
        <v>259479</v>
      </c>
      <c r="I190" s="301">
        <f t="shared" si="235"/>
        <v>184075</v>
      </c>
      <c r="J190" s="301">
        <f t="shared" si="235"/>
        <v>75404</v>
      </c>
      <c r="K190" s="339">
        <f t="shared" si="235"/>
        <v>3214900</v>
      </c>
      <c r="L190" s="301">
        <f t="shared" si="235"/>
        <v>1926982</v>
      </c>
      <c r="M190" s="302">
        <f t="shared" si="235"/>
        <v>1287918</v>
      </c>
    </row>
    <row r="191" spans="1:15" x14ac:dyDescent="0.2">
      <c r="A191" s="297"/>
      <c r="B191" s="309"/>
      <c r="C191" s="297"/>
      <c r="D191" s="224"/>
      <c r="E191" s="310"/>
      <c r="F191" s="310"/>
      <c r="G191" s="310"/>
      <c r="H191" s="310"/>
      <c r="I191" s="310"/>
      <c r="J191" s="310"/>
      <c r="K191" s="347"/>
      <c r="L191" s="310"/>
      <c r="M191" s="325"/>
    </row>
    <row r="192" spans="1:15" x14ac:dyDescent="0.2">
      <c r="A192" s="297" t="str">
        <f>MID(C192,1,1)</f>
        <v>6</v>
      </c>
      <c r="B192" s="297" t="str">
        <f>MID(C192,1,2)</f>
        <v>62</v>
      </c>
      <c r="C192" s="297">
        <v>6211</v>
      </c>
      <c r="D192" s="224" t="s">
        <v>281</v>
      </c>
      <c r="E192" s="296">
        <f>+F192+G192</f>
        <v>9148</v>
      </c>
      <c r="F192" s="298">
        <v>9148</v>
      </c>
      <c r="G192" s="298"/>
      <c r="H192" s="298">
        <f>+I192+J192</f>
        <v>5730</v>
      </c>
      <c r="I192" s="298">
        <v>5730</v>
      </c>
      <c r="J192" s="298"/>
      <c r="K192" s="340">
        <f t="shared" ref="K192:K193" si="236">+L192+M192</f>
        <v>14878</v>
      </c>
      <c r="L192" s="296">
        <f t="shared" ref="L192:M193" si="237">+F192+I192</f>
        <v>14878</v>
      </c>
      <c r="M192" s="324">
        <f t="shared" si="237"/>
        <v>0</v>
      </c>
    </row>
    <row r="193" spans="1:13" x14ac:dyDescent="0.2">
      <c r="A193" s="297" t="str">
        <f>MID(C193,1,1)</f>
        <v>6</v>
      </c>
      <c r="B193" s="297" t="str">
        <f>MID(C193,1,2)</f>
        <v>62</v>
      </c>
      <c r="C193" s="297">
        <v>6223</v>
      </c>
      <c r="D193" s="224" t="s">
        <v>282</v>
      </c>
      <c r="E193" s="296">
        <f>+F193+G193</f>
        <v>11605</v>
      </c>
      <c r="F193" s="298">
        <v>11405</v>
      </c>
      <c r="G193" s="298">
        <v>200</v>
      </c>
      <c r="H193" s="298">
        <f>+I193+J193</f>
        <v>0</v>
      </c>
      <c r="I193" s="298"/>
      <c r="J193" s="298"/>
      <c r="K193" s="340">
        <f t="shared" si="236"/>
        <v>11605</v>
      </c>
      <c r="L193" s="296">
        <f t="shared" si="237"/>
        <v>11405</v>
      </c>
      <c r="M193" s="324">
        <f t="shared" si="237"/>
        <v>200</v>
      </c>
    </row>
    <row r="194" spans="1:13" x14ac:dyDescent="0.2">
      <c r="A194" s="299" t="s">
        <v>193</v>
      </c>
      <c r="B194" s="299"/>
      <c r="C194" s="300"/>
      <c r="D194" s="330"/>
      <c r="E194" s="301">
        <f t="shared" ref="E194:M194" si="238">SUM(E192:E193)</f>
        <v>20753</v>
      </c>
      <c r="F194" s="301">
        <f t="shared" si="238"/>
        <v>20553</v>
      </c>
      <c r="G194" s="301">
        <f t="shared" si="238"/>
        <v>200</v>
      </c>
      <c r="H194" s="301">
        <f t="shared" si="238"/>
        <v>5730</v>
      </c>
      <c r="I194" s="301">
        <f t="shared" si="238"/>
        <v>5730</v>
      </c>
      <c r="J194" s="301">
        <f t="shared" si="238"/>
        <v>0</v>
      </c>
      <c r="K194" s="339">
        <f t="shared" si="238"/>
        <v>26483</v>
      </c>
      <c r="L194" s="301">
        <f t="shared" si="238"/>
        <v>26283</v>
      </c>
      <c r="M194" s="302">
        <f t="shared" si="238"/>
        <v>200</v>
      </c>
    </row>
    <row r="195" spans="1:13" x14ac:dyDescent="0.2">
      <c r="A195" s="297"/>
      <c r="B195" s="309"/>
      <c r="C195" s="297"/>
      <c r="D195" s="224"/>
      <c r="E195" s="310"/>
      <c r="F195" s="310"/>
      <c r="G195" s="310"/>
      <c r="H195" s="310"/>
      <c r="I195" s="310"/>
      <c r="J195" s="310"/>
      <c r="K195" s="347"/>
      <c r="L195" s="310"/>
      <c r="M195" s="325"/>
    </row>
    <row r="196" spans="1:13" x14ac:dyDescent="0.2">
      <c r="A196" s="297" t="str">
        <f>MID(C196,1,1)</f>
        <v>6</v>
      </c>
      <c r="B196" s="297" t="str">
        <f>MID(C196,1,2)</f>
        <v>63</v>
      </c>
      <c r="C196" s="297">
        <v>6310</v>
      </c>
      <c r="D196" s="224" t="s">
        <v>194</v>
      </c>
      <c r="E196" s="296">
        <f>+F196+G196</f>
        <v>393478</v>
      </c>
      <c r="F196" s="298">
        <v>391140</v>
      </c>
      <c r="G196" s="298">
        <v>2338</v>
      </c>
      <c r="H196" s="298">
        <f>+I196+J196</f>
        <v>0</v>
      </c>
      <c r="I196" s="298"/>
      <c r="J196" s="298"/>
      <c r="K196" s="340">
        <f t="shared" ref="K196:K199" si="239">+L196+M196</f>
        <v>393478</v>
      </c>
      <c r="L196" s="296">
        <f t="shared" ref="L196:M199" si="240">+F196+I196</f>
        <v>391140</v>
      </c>
      <c r="M196" s="324">
        <f t="shared" si="240"/>
        <v>2338</v>
      </c>
    </row>
    <row r="197" spans="1:13" x14ac:dyDescent="0.2">
      <c r="A197" s="297" t="str">
        <f>MID(C197,1,1)</f>
        <v>6</v>
      </c>
      <c r="B197" s="297" t="str">
        <f>MID(C197,1,2)</f>
        <v>63</v>
      </c>
      <c r="C197" s="297">
        <v>6320</v>
      </c>
      <c r="D197" s="224" t="s">
        <v>283</v>
      </c>
      <c r="E197" s="296">
        <f>+F197+G197</f>
        <v>2477</v>
      </c>
      <c r="F197" s="298"/>
      <c r="G197" s="298">
        <v>2477</v>
      </c>
      <c r="H197" s="298"/>
      <c r="I197" s="298"/>
      <c r="J197" s="298"/>
      <c r="K197" s="340">
        <f t="shared" si="239"/>
        <v>2477</v>
      </c>
      <c r="L197" s="296">
        <f t="shared" si="240"/>
        <v>0</v>
      </c>
      <c r="M197" s="324">
        <f t="shared" si="240"/>
        <v>2477</v>
      </c>
    </row>
    <row r="198" spans="1:13" ht="15" x14ac:dyDescent="0.2">
      <c r="A198" s="297" t="str">
        <f>MID(C198,1,1)</f>
        <v>6</v>
      </c>
      <c r="B198" s="297" t="str">
        <f>MID(C198,1,2)</f>
        <v>63</v>
      </c>
      <c r="C198" s="297">
        <v>6330</v>
      </c>
      <c r="D198" s="224" t="s">
        <v>296</v>
      </c>
      <c r="E198" s="296">
        <f>+F198+G198-2830607-73242-580</f>
        <v>17662</v>
      </c>
      <c r="F198" s="298">
        <v>2830607</v>
      </c>
      <c r="G198" s="298">
        <f>92134-650</f>
        <v>91484</v>
      </c>
      <c r="H198" s="298">
        <f>+I198+J198-246640</f>
        <v>0</v>
      </c>
      <c r="I198" s="298">
        <v>246640</v>
      </c>
      <c r="J198" s="298"/>
      <c r="K198" s="340">
        <f>+L198+M198-2830607-246640-73242-580</f>
        <v>17662</v>
      </c>
      <c r="L198" s="296">
        <f t="shared" si="240"/>
        <v>3077247</v>
      </c>
      <c r="M198" s="324">
        <f t="shared" si="240"/>
        <v>91484</v>
      </c>
    </row>
    <row r="199" spans="1:13" x14ac:dyDescent="0.2">
      <c r="A199" s="297" t="str">
        <f>MID(C199,1,1)</f>
        <v>6</v>
      </c>
      <c r="B199" s="297" t="str">
        <f>MID(C199,1,2)</f>
        <v>63</v>
      </c>
      <c r="C199" s="297">
        <v>6399</v>
      </c>
      <c r="D199" s="224" t="s">
        <v>284</v>
      </c>
      <c r="E199" s="296">
        <f>+F199+G199</f>
        <v>284592</v>
      </c>
      <c r="F199" s="298">
        <v>250000</v>
      </c>
      <c r="G199" s="298">
        <v>34592</v>
      </c>
      <c r="H199" s="298"/>
      <c r="I199" s="298"/>
      <c r="J199" s="298"/>
      <c r="K199" s="340">
        <f t="shared" si="239"/>
        <v>284592</v>
      </c>
      <c r="L199" s="296">
        <f t="shared" si="240"/>
        <v>250000</v>
      </c>
      <c r="M199" s="324">
        <f t="shared" si="240"/>
        <v>34592</v>
      </c>
    </row>
    <row r="200" spans="1:13" x14ac:dyDescent="0.2">
      <c r="A200" s="299" t="s">
        <v>195</v>
      </c>
      <c r="B200" s="299"/>
      <c r="C200" s="300"/>
      <c r="D200" s="330"/>
      <c r="E200" s="301">
        <f>SUM(E196:E199)</f>
        <v>698209</v>
      </c>
      <c r="F200" s="301">
        <f>SUM(F196:F199)</f>
        <v>3471747</v>
      </c>
      <c r="G200" s="301">
        <f>SUM(G196:G199)</f>
        <v>130891</v>
      </c>
      <c r="H200" s="301">
        <f>SUM(H196:H199)</f>
        <v>0</v>
      </c>
      <c r="I200" s="301">
        <f t="shared" ref="I200:J200" si="241">SUM(I196:I199)</f>
        <v>246640</v>
      </c>
      <c r="J200" s="301">
        <f t="shared" si="241"/>
        <v>0</v>
      </c>
      <c r="K200" s="339">
        <f>SUM(K196:K199)</f>
        <v>698209</v>
      </c>
      <c r="L200" s="301">
        <f>SUM(L196:L199)</f>
        <v>3718387</v>
      </c>
      <c r="M200" s="302">
        <f>SUM(M196:M199)</f>
        <v>130891</v>
      </c>
    </row>
    <row r="201" spans="1:13" x14ac:dyDescent="0.2">
      <c r="A201" s="297"/>
      <c r="B201" s="309"/>
      <c r="C201" s="297"/>
      <c r="D201" s="224"/>
      <c r="E201" s="310"/>
      <c r="F201" s="310"/>
      <c r="G201" s="310"/>
      <c r="H201" s="310"/>
      <c r="I201" s="310"/>
      <c r="J201" s="310"/>
      <c r="K201" s="347"/>
      <c r="L201" s="310"/>
      <c r="M201" s="325"/>
    </row>
    <row r="202" spans="1:13" x14ac:dyDescent="0.2">
      <c r="A202" s="297" t="str">
        <f>MID(C202,1,1)</f>
        <v>6</v>
      </c>
      <c r="B202" s="297" t="str">
        <f>MID(C202,1,2)</f>
        <v>64</v>
      </c>
      <c r="C202" s="297">
        <v>6409</v>
      </c>
      <c r="D202" s="224" t="s">
        <v>285</v>
      </c>
      <c r="E202" s="296">
        <f>+F202+G202</f>
        <v>195970</v>
      </c>
      <c r="F202" s="298">
        <v>105000</v>
      </c>
      <c r="G202" s="298">
        <v>90970</v>
      </c>
      <c r="H202" s="296">
        <f>+I202+J202</f>
        <v>76872</v>
      </c>
      <c r="I202" s="298">
        <v>75666</v>
      </c>
      <c r="J202" s="298">
        <v>1206</v>
      </c>
      <c r="K202" s="350">
        <f>+L202+M202</f>
        <v>272842</v>
      </c>
      <c r="L202" s="298">
        <f>+F202+I202</f>
        <v>180666</v>
      </c>
      <c r="M202" s="326">
        <f>+G202+J202</f>
        <v>92176</v>
      </c>
    </row>
    <row r="203" spans="1:13" x14ac:dyDescent="0.2">
      <c r="A203" s="299" t="s">
        <v>286</v>
      </c>
      <c r="B203" s="299"/>
      <c r="C203" s="300"/>
      <c r="D203" s="330"/>
      <c r="E203" s="301">
        <f t="shared" ref="E203:M203" si="242">SUM(E202:E202)</f>
        <v>195970</v>
      </c>
      <c r="F203" s="301">
        <f t="shared" si="242"/>
        <v>105000</v>
      </c>
      <c r="G203" s="301">
        <f t="shared" si="242"/>
        <v>90970</v>
      </c>
      <c r="H203" s="301">
        <f t="shared" si="242"/>
        <v>76872</v>
      </c>
      <c r="I203" s="301">
        <f t="shared" si="242"/>
        <v>75666</v>
      </c>
      <c r="J203" s="301">
        <f t="shared" si="242"/>
        <v>1206</v>
      </c>
      <c r="K203" s="339">
        <f t="shared" si="242"/>
        <v>272842</v>
      </c>
      <c r="L203" s="301">
        <f t="shared" si="242"/>
        <v>180666</v>
      </c>
      <c r="M203" s="302">
        <f t="shared" si="242"/>
        <v>92176</v>
      </c>
    </row>
    <row r="204" spans="1:13" ht="13.5" thickBot="1" x14ac:dyDescent="0.25">
      <c r="A204" s="304"/>
      <c r="B204" s="303"/>
      <c r="C204" s="304"/>
      <c r="D204" s="331"/>
      <c r="E204" s="305"/>
      <c r="F204" s="305"/>
      <c r="G204" s="305"/>
      <c r="H204" s="305"/>
      <c r="I204" s="305"/>
      <c r="J204" s="305"/>
      <c r="K204" s="305"/>
      <c r="L204" s="305"/>
      <c r="M204" s="305"/>
    </row>
    <row r="205" spans="1:13" ht="14.25" thickTop="1" thickBot="1" x14ac:dyDescent="0.25">
      <c r="A205" s="319" t="s">
        <v>196</v>
      </c>
      <c r="B205" s="306"/>
      <c r="C205" s="306"/>
      <c r="D205" s="332"/>
      <c r="E205" s="307">
        <f>+E190+E194+E200+E203</f>
        <v>3870353</v>
      </c>
      <c r="F205" s="307">
        <f>+F190+F194+F200+F203</f>
        <v>5340207</v>
      </c>
      <c r="G205" s="307">
        <f>+G203+G200+G194+G190</f>
        <v>1434575</v>
      </c>
      <c r="H205" s="307">
        <f t="shared" ref="H205:M205" si="243">+H190+H194+H200+H203</f>
        <v>342081</v>
      </c>
      <c r="I205" s="307">
        <f t="shared" si="243"/>
        <v>512111</v>
      </c>
      <c r="J205" s="307">
        <f t="shared" si="243"/>
        <v>76610</v>
      </c>
      <c r="K205" s="307">
        <f t="shared" si="243"/>
        <v>4212434</v>
      </c>
      <c r="L205" s="307">
        <f t="shared" si="243"/>
        <v>5852318</v>
      </c>
      <c r="M205" s="307">
        <f t="shared" si="243"/>
        <v>1511185</v>
      </c>
    </row>
    <row r="206" spans="1:13" ht="14.25" thickTop="1" thickBot="1" x14ac:dyDescent="0.25">
      <c r="A206" s="316"/>
      <c r="B206" s="317"/>
      <c r="C206" s="317"/>
      <c r="D206" s="338"/>
      <c r="E206" s="318"/>
      <c r="F206" s="318"/>
      <c r="G206" s="318"/>
      <c r="H206" s="318"/>
      <c r="I206" s="318"/>
      <c r="J206" s="318"/>
      <c r="K206" s="318"/>
      <c r="L206" s="318"/>
      <c r="M206" s="318"/>
    </row>
    <row r="207" spans="1:13" ht="17.25" customHeight="1" thickTop="1" thickBot="1" x14ac:dyDescent="0.3">
      <c r="A207" s="355" t="s">
        <v>297</v>
      </c>
      <c r="B207" s="320"/>
      <c r="C207" s="320"/>
      <c r="D207" s="356"/>
      <c r="E207" s="321">
        <f>+E205+E185+E166+E142+E49+E15</f>
        <v>16092992</v>
      </c>
      <c r="F207" s="321">
        <f>+F205+F185+F166+F142+F49+F15</f>
        <v>15530468</v>
      </c>
      <c r="G207" s="321">
        <f>+G205+G185+G166+G142+G49+G15</f>
        <v>3466953</v>
      </c>
      <c r="H207" s="321">
        <f>+H205+H185+H166+H142+H49+H15</f>
        <v>10351692</v>
      </c>
      <c r="I207" s="321">
        <f>I15+I49+I142+I166+I185+I205</f>
        <v>8514034</v>
      </c>
      <c r="J207" s="321">
        <f>+J205+J185+J166+J142+J49+J15</f>
        <v>2084298</v>
      </c>
      <c r="K207" s="321">
        <f>+K205+K185+K166+K142+K49+K15</f>
        <v>26444684</v>
      </c>
      <c r="L207" s="321">
        <f>+L205+L185+L166+L142+L49+L15</f>
        <v>24044502</v>
      </c>
      <c r="M207" s="321">
        <f>+M205+M185+M166+M142+M49+M15</f>
        <v>5551251</v>
      </c>
    </row>
    <row r="208" spans="1:13" ht="11.25" customHeight="1" thickTop="1" x14ac:dyDescent="0.2">
      <c r="G208" s="293"/>
      <c r="H208" s="293"/>
      <c r="I208" s="293"/>
      <c r="J208" s="293"/>
      <c r="L208" s="293"/>
    </row>
    <row r="209" spans="1:13" x14ac:dyDescent="0.2">
      <c r="A209" s="290" t="s">
        <v>122</v>
      </c>
      <c r="F209" s="293"/>
      <c r="G209" s="293"/>
      <c r="H209" s="293"/>
      <c r="I209" s="293"/>
      <c r="J209" s="293"/>
      <c r="K209" s="293"/>
      <c r="M209" s="293"/>
    </row>
    <row r="210" spans="1:13" x14ac:dyDescent="0.2">
      <c r="F210" s="293"/>
      <c r="G210" s="293"/>
      <c r="H210" s="293"/>
      <c r="I210" s="293"/>
      <c r="K210" s="293"/>
      <c r="L210" s="293"/>
    </row>
    <row r="211" spans="1:13" x14ac:dyDescent="0.2">
      <c r="G211" s="293"/>
      <c r="I211" s="293"/>
    </row>
    <row r="212" spans="1:13" x14ac:dyDescent="0.2">
      <c r="G212" s="293"/>
    </row>
    <row r="213" spans="1:13" x14ac:dyDescent="0.2">
      <c r="G213" s="293"/>
      <c r="H213" s="293"/>
    </row>
    <row r="214" spans="1:13" x14ac:dyDescent="0.2">
      <c r="G214" s="293"/>
    </row>
    <row r="215" spans="1:13" x14ac:dyDescent="0.2">
      <c r="G215" s="293"/>
    </row>
    <row r="216" spans="1:13" x14ac:dyDescent="0.2">
      <c r="G216" s="293"/>
    </row>
    <row r="217" spans="1:13" x14ac:dyDescent="0.2">
      <c r="G217" s="293"/>
    </row>
    <row r="218" spans="1:13" x14ac:dyDescent="0.2">
      <c r="G218" s="293"/>
    </row>
    <row r="219" spans="1:13" x14ac:dyDescent="0.2">
      <c r="G219" s="293"/>
    </row>
    <row r="220" spans="1:13" x14ac:dyDescent="0.2">
      <c r="G220" s="293"/>
    </row>
    <row r="221" spans="1:13" x14ac:dyDescent="0.2">
      <c r="G221" s="293"/>
    </row>
    <row r="222" spans="1:13" x14ac:dyDescent="0.2">
      <c r="G222" s="293"/>
    </row>
    <row r="223" spans="1:13" x14ac:dyDescent="0.2">
      <c r="G223" s="293"/>
    </row>
    <row r="224" spans="1:13" x14ac:dyDescent="0.2">
      <c r="G224" s="293"/>
    </row>
    <row r="225" spans="7:7" x14ac:dyDescent="0.2">
      <c r="G225" s="293"/>
    </row>
    <row r="226" spans="7:7" x14ac:dyDescent="0.2">
      <c r="G226" s="293"/>
    </row>
    <row r="227" spans="7:7" x14ac:dyDescent="0.2">
      <c r="G227" s="293"/>
    </row>
    <row r="228" spans="7:7" x14ac:dyDescent="0.2">
      <c r="G228" s="293"/>
    </row>
    <row r="229" spans="7:7" x14ac:dyDescent="0.2">
      <c r="G229" s="293"/>
    </row>
    <row r="230" spans="7:7" x14ac:dyDescent="0.2">
      <c r="G230" s="293"/>
    </row>
    <row r="231" spans="7:7" x14ac:dyDescent="0.2">
      <c r="G231" s="293"/>
    </row>
    <row r="232" spans="7:7" x14ac:dyDescent="0.2">
      <c r="G232" s="293"/>
    </row>
    <row r="233" spans="7:7" x14ac:dyDescent="0.2">
      <c r="G233" s="293"/>
    </row>
    <row r="234" spans="7:7" x14ac:dyDescent="0.2">
      <c r="G234" s="293"/>
    </row>
    <row r="235" spans="7:7" x14ac:dyDescent="0.2">
      <c r="G235" s="293"/>
    </row>
    <row r="236" spans="7:7" x14ac:dyDescent="0.2">
      <c r="G236" s="293"/>
    </row>
    <row r="237" spans="7:7" x14ac:dyDescent="0.2">
      <c r="G237" s="293"/>
    </row>
    <row r="238" spans="7:7" x14ac:dyDescent="0.2">
      <c r="G238" s="293"/>
    </row>
    <row r="239" spans="7:7" x14ac:dyDescent="0.2">
      <c r="G239" s="293"/>
    </row>
    <row r="240" spans="7:7" x14ac:dyDescent="0.2">
      <c r="G240" s="293"/>
    </row>
    <row r="241" spans="7:7" x14ac:dyDescent="0.2">
      <c r="G241" s="293"/>
    </row>
    <row r="242" spans="7:7" x14ac:dyDescent="0.2">
      <c r="G242" s="293"/>
    </row>
    <row r="243" spans="7:7" x14ac:dyDescent="0.2">
      <c r="G243" s="293"/>
    </row>
    <row r="244" spans="7:7" x14ac:dyDescent="0.2">
      <c r="G244" s="293"/>
    </row>
    <row r="245" spans="7:7" x14ac:dyDescent="0.2">
      <c r="G245" s="293"/>
    </row>
    <row r="246" spans="7:7" x14ac:dyDescent="0.2">
      <c r="G246" s="293"/>
    </row>
    <row r="247" spans="7:7" x14ac:dyDescent="0.2">
      <c r="G247" s="293"/>
    </row>
    <row r="248" spans="7:7" x14ac:dyDescent="0.2">
      <c r="G248" s="293"/>
    </row>
    <row r="249" spans="7:7" x14ac:dyDescent="0.2">
      <c r="G249" s="293"/>
    </row>
    <row r="250" spans="7:7" x14ac:dyDescent="0.2">
      <c r="G250" s="293"/>
    </row>
    <row r="251" spans="7:7" x14ac:dyDescent="0.2">
      <c r="G251" s="293"/>
    </row>
    <row r="252" spans="7:7" x14ac:dyDescent="0.2">
      <c r="G252" s="293"/>
    </row>
    <row r="253" spans="7:7" x14ac:dyDescent="0.2">
      <c r="G253" s="293"/>
    </row>
    <row r="254" spans="7:7" x14ac:dyDescent="0.2">
      <c r="G254" s="293"/>
    </row>
    <row r="255" spans="7:7" x14ac:dyDescent="0.2">
      <c r="G255" s="293"/>
    </row>
    <row r="256" spans="7:7" x14ac:dyDescent="0.2">
      <c r="G256" s="293"/>
    </row>
    <row r="257" spans="7:7" x14ac:dyDescent="0.2">
      <c r="G257" s="293"/>
    </row>
    <row r="258" spans="7:7" x14ac:dyDescent="0.2">
      <c r="G258" s="293"/>
    </row>
    <row r="259" spans="7:7" x14ac:dyDescent="0.2">
      <c r="G259" s="293"/>
    </row>
    <row r="260" spans="7:7" x14ac:dyDescent="0.2">
      <c r="G260" s="293"/>
    </row>
    <row r="261" spans="7:7" x14ac:dyDescent="0.2">
      <c r="G261" s="293"/>
    </row>
    <row r="262" spans="7:7" x14ac:dyDescent="0.2">
      <c r="G262" s="293"/>
    </row>
    <row r="263" spans="7:7" x14ac:dyDescent="0.2">
      <c r="G263" s="293"/>
    </row>
    <row r="264" spans="7:7" x14ac:dyDescent="0.2">
      <c r="G264" s="293"/>
    </row>
    <row r="265" spans="7:7" x14ac:dyDescent="0.2">
      <c r="G265" s="293"/>
    </row>
    <row r="266" spans="7:7" x14ac:dyDescent="0.2">
      <c r="G266" s="293"/>
    </row>
    <row r="267" spans="7:7" x14ac:dyDescent="0.2">
      <c r="G267" s="293"/>
    </row>
    <row r="268" spans="7:7" x14ac:dyDescent="0.2">
      <c r="G268" s="293"/>
    </row>
    <row r="269" spans="7:7" x14ac:dyDescent="0.2">
      <c r="G269" s="293"/>
    </row>
    <row r="270" spans="7:7" x14ac:dyDescent="0.2">
      <c r="G270" s="293"/>
    </row>
    <row r="271" spans="7:7" x14ac:dyDescent="0.2">
      <c r="G271" s="293"/>
    </row>
    <row r="272" spans="7:7" x14ac:dyDescent="0.2">
      <c r="G272" s="293"/>
    </row>
    <row r="273" spans="7:7" x14ac:dyDescent="0.2">
      <c r="G273" s="293"/>
    </row>
    <row r="274" spans="7:7" x14ac:dyDescent="0.2">
      <c r="G274" s="293"/>
    </row>
    <row r="275" spans="7:7" x14ac:dyDescent="0.2">
      <c r="G275" s="293"/>
    </row>
    <row r="276" spans="7:7" x14ac:dyDescent="0.2">
      <c r="G276" s="293"/>
    </row>
    <row r="277" spans="7:7" x14ac:dyDescent="0.2">
      <c r="G277" s="293"/>
    </row>
    <row r="278" spans="7:7" x14ac:dyDescent="0.2">
      <c r="G278" s="293"/>
    </row>
    <row r="279" spans="7:7" x14ac:dyDescent="0.2">
      <c r="G279" s="293"/>
    </row>
    <row r="280" spans="7:7" x14ac:dyDescent="0.2">
      <c r="G280" s="293"/>
    </row>
    <row r="281" spans="7:7" x14ac:dyDescent="0.2">
      <c r="G281" s="293"/>
    </row>
    <row r="282" spans="7:7" x14ac:dyDescent="0.2">
      <c r="G282" s="293"/>
    </row>
    <row r="283" spans="7:7" x14ac:dyDescent="0.2">
      <c r="G283" s="293"/>
    </row>
    <row r="284" spans="7:7" x14ac:dyDescent="0.2">
      <c r="G284" s="293"/>
    </row>
    <row r="285" spans="7:7" x14ac:dyDescent="0.2">
      <c r="G285" s="293"/>
    </row>
    <row r="286" spans="7:7" x14ac:dyDescent="0.2">
      <c r="G286" s="293"/>
    </row>
    <row r="287" spans="7:7" x14ac:dyDescent="0.2">
      <c r="G287" s="293"/>
    </row>
    <row r="288" spans="7:7" x14ac:dyDescent="0.2">
      <c r="G288" s="293"/>
    </row>
    <row r="289" spans="7:7" x14ac:dyDescent="0.2">
      <c r="G289" s="293"/>
    </row>
    <row r="290" spans="7:7" x14ac:dyDescent="0.2">
      <c r="G290" s="293"/>
    </row>
    <row r="291" spans="7:7" x14ac:dyDescent="0.2">
      <c r="G291" s="293"/>
    </row>
    <row r="292" spans="7:7" x14ac:dyDescent="0.2">
      <c r="G292" s="293"/>
    </row>
    <row r="293" spans="7:7" x14ac:dyDescent="0.2">
      <c r="G293" s="293"/>
    </row>
    <row r="294" spans="7:7" x14ac:dyDescent="0.2">
      <c r="G294" s="293"/>
    </row>
    <row r="295" spans="7:7" x14ac:dyDescent="0.2">
      <c r="G295" s="293"/>
    </row>
    <row r="296" spans="7:7" x14ac:dyDescent="0.2">
      <c r="G296" s="293"/>
    </row>
    <row r="297" spans="7:7" x14ac:dyDescent="0.2">
      <c r="G297" s="293"/>
    </row>
    <row r="298" spans="7:7" x14ac:dyDescent="0.2">
      <c r="G298" s="293"/>
    </row>
    <row r="299" spans="7:7" x14ac:dyDescent="0.2">
      <c r="G299" s="293"/>
    </row>
    <row r="300" spans="7:7" x14ac:dyDescent="0.2">
      <c r="G300" s="293"/>
    </row>
    <row r="301" spans="7:7" x14ac:dyDescent="0.2">
      <c r="G301" s="293"/>
    </row>
    <row r="302" spans="7:7" x14ac:dyDescent="0.2">
      <c r="G302" s="293"/>
    </row>
    <row r="303" spans="7:7" x14ac:dyDescent="0.2">
      <c r="G303" s="293"/>
    </row>
    <row r="304" spans="7:7" x14ac:dyDescent="0.2">
      <c r="G304" s="293"/>
    </row>
    <row r="305" spans="7:7" x14ac:dyDescent="0.2">
      <c r="G305" s="293"/>
    </row>
    <row r="306" spans="7:7" x14ac:dyDescent="0.2">
      <c r="G306" s="293"/>
    </row>
    <row r="307" spans="7:7" x14ac:dyDescent="0.2">
      <c r="G307" s="293"/>
    </row>
    <row r="308" spans="7:7" x14ac:dyDescent="0.2">
      <c r="G308" s="293"/>
    </row>
    <row r="309" spans="7:7" x14ac:dyDescent="0.2">
      <c r="G309" s="293"/>
    </row>
    <row r="310" spans="7:7" x14ac:dyDescent="0.2">
      <c r="G310" s="293"/>
    </row>
    <row r="311" spans="7:7" x14ac:dyDescent="0.2">
      <c r="G311" s="293"/>
    </row>
    <row r="312" spans="7:7" x14ac:dyDescent="0.2">
      <c r="G312" s="293"/>
    </row>
    <row r="313" spans="7:7" x14ac:dyDescent="0.2">
      <c r="G313" s="293"/>
    </row>
    <row r="314" spans="7:7" x14ac:dyDescent="0.2">
      <c r="G314" s="293"/>
    </row>
    <row r="315" spans="7:7" x14ac:dyDescent="0.2">
      <c r="G315" s="293"/>
    </row>
    <row r="316" spans="7:7" x14ac:dyDescent="0.2">
      <c r="G316" s="293"/>
    </row>
    <row r="317" spans="7:7" x14ac:dyDescent="0.2">
      <c r="G317" s="293"/>
    </row>
    <row r="318" spans="7:7" x14ac:dyDescent="0.2">
      <c r="G318" s="293"/>
    </row>
    <row r="319" spans="7:7" x14ac:dyDescent="0.2">
      <c r="G319" s="293"/>
    </row>
    <row r="320" spans="7:7" x14ac:dyDescent="0.2">
      <c r="G320" s="293"/>
    </row>
    <row r="321" spans="7:7" x14ac:dyDescent="0.2">
      <c r="G321" s="293"/>
    </row>
    <row r="322" spans="7:7" x14ac:dyDescent="0.2">
      <c r="G322" s="293"/>
    </row>
    <row r="323" spans="7:7" x14ac:dyDescent="0.2">
      <c r="G323" s="293"/>
    </row>
    <row r="324" spans="7:7" x14ac:dyDescent="0.2">
      <c r="G324" s="293"/>
    </row>
    <row r="325" spans="7:7" x14ac:dyDescent="0.2">
      <c r="G325" s="293"/>
    </row>
    <row r="326" spans="7:7" x14ac:dyDescent="0.2">
      <c r="G326" s="293"/>
    </row>
    <row r="327" spans="7:7" x14ac:dyDescent="0.2">
      <c r="G327" s="293"/>
    </row>
    <row r="328" spans="7:7" x14ac:dyDescent="0.2">
      <c r="G328" s="293"/>
    </row>
    <row r="329" spans="7:7" x14ac:dyDescent="0.2">
      <c r="G329" s="293"/>
    </row>
    <row r="330" spans="7:7" x14ac:dyDescent="0.2">
      <c r="G330" s="293"/>
    </row>
    <row r="331" spans="7:7" x14ac:dyDescent="0.2">
      <c r="G331" s="293"/>
    </row>
    <row r="332" spans="7:7" x14ac:dyDescent="0.2">
      <c r="G332" s="293"/>
    </row>
    <row r="333" spans="7:7" x14ac:dyDescent="0.2">
      <c r="G333" s="293"/>
    </row>
    <row r="334" spans="7:7" x14ac:dyDescent="0.2">
      <c r="G334" s="293"/>
    </row>
    <row r="335" spans="7:7" x14ac:dyDescent="0.2">
      <c r="G335" s="293"/>
    </row>
    <row r="336" spans="7:7" x14ac:dyDescent="0.2">
      <c r="G336" s="293"/>
    </row>
    <row r="337" spans="7:7" x14ac:dyDescent="0.2">
      <c r="G337" s="293"/>
    </row>
    <row r="338" spans="7:7" x14ac:dyDescent="0.2">
      <c r="G338" s="293"/>
    </row>
    <row r="339" spans="7:7" x14ac:dyDescent="0.2">
      <c r="G339" s="293"/>
    </row>
    <row r="340" spans="7:7" x14ac:dyDescent="0.2">
      <c r="G340" s="293"/>
    </row>
    <row r="341" spans="7:7" x14ac:dyDescent="0.2">
      <c r="G341" s="293"/>
    </row>
    <row r="342" spans="7:7" x14ac:dyDescent="0.2">
      <c r="G342" s="293"/>
    </row>
    <row r="343" spans="7:7" x14ac:dyDescent="0.2">
      <c r="G343" s="293"/>
    </row>
    <row r="344" spans="7:7" x14ac:dyDescent="0.2">
      <c r="G344" s="293"/>
    </row>
    <row r="345" spans="7:7" x14ac:dyDescent="0.2">
      <c r="G345" s="293"/>
    </row>
    <row r="346" spans="7:7" x14ac:dyDescent="0.2">
      <c r="G346" s="293"/>
    </row>
    <row r="347" spans="7:7" x14ac:dyDescent="0.2">
      <c r="G347" s="293"/>
    </row>
    <row r="348" spans="7:7" x14ac:dyDescent="0.2">
      <c r="G348" s="293"/>
    </row>
    <row r="349" spans="7:7" x14ac:dyDescent="0.2">
      <c r="G349" s="293"/>
    </row>
    <row r="350" spans="7:7" x14ac:dyDescent="0.2">
      <c r="G350" s="293"/>
    </row>
    <row r="351" spans="7:7" x14ac:dyDescent="0.2">
      <c r="G351" s="293"/>
    </row>
    <row r="352" spans="7:7" x14ac:dyDescent="0.2">
      <c r="G352" s="293"/>
    </row>
    <row r="353" spans="7:7" x14ac:dyDescent="0.2">
      <c r="G353" s="293"/>
    </row>
    <row r="354" spans="7:7" x14ac:dyDescent="0.2">
      <c r="G354" s="293"/>
    </row>
    <row r="355" spans="7:7" x14ac:dyDescent="0.2">
      <c r="G355" s="293"/>
    </row>
    <row r="356" spans="7:7" x14ac:dyDescent="0.2">
      <c r="G356" s="293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2" manualBreakCount="2">
    <brk id="91" max="12" man="1"/>
    <brk id="173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L1:AB68"/>
  <sheetViews>
    <sheetView zoomScaleNormal="100" zoomScaleSheetLayoutView="100" workbookViewId="0">
      <selection activeCell="A2" sqref="A2"/>
    </sheetView>
  </sheetViews>
  <sheetFormatPr defaultRowHeight="12.75" x14ac:dyDescent="0.2"/>
  <cols>
    <col min="11" max="11" width="14.85546875" customWidth="1"/>
    <col min="13" max="13" width="47.28515625" bestFit="1" customWidth="1"/>
    <col min="14" max="14" width="15.85546875" customWidth="1"/>
    <col min="15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4.42578125" bestFit="1" customWidth="1"/>
    <col min="25" max="25" width="13.42578125" bestFit="1" customWidth="1"/>
  </cols>
  <sheetData>
    <row r="1" spans="13:14" x14ac:dyDescent="0.2">
      <c r="M1" s="364" t="s">
        <v>89</v>
      </c>
      <c r="N1" s="364" t="s">
        <v>300</v>
      </c>
    </row>
    <row r="2" spans="13:14" x14ac:dyDescent="0.2">
      <c r="M2" t="s">
        <v>107</v>
      </c>
      <c r="N2" s="365">
        <f t="shared" ref="N2:N14" si="0">INDEX($N$20:$N$43,MATCH(M2,$M$20:$M$43,0),1)</f>
        <v>387.37099999999998</v>
      </c>
    </row>
    <row r="3" spans="13:14" x14ac:dyDescent="0.2">
      <c r="M3" t="s">
        <v>114</v>
      </c>
      <c r="N3" s="365">
        <f t="shared" si="0"/>
        <v>650.09699999999998</v>
      </c>
    </row>
    <row r="4" spans="13:14" x14ac:dyDescent="0.2">
      <c r="M4" t="s">
        <v>431</v>
      </c>
      <c r="N4" s="365">
        <f t="shared" si="0"/>
        <v>661.346</v>
      </c>
    </row>
    <row r="5" spans="13:14" x14ac:dyDescent="0.2">
      <c r="M5" t="s">
        <v>208</v>
      </c>
      <c r="N5" s="365">
        <f t="shared" si="0"/>
        <v>698.20899999999995</v>
      </c>
    </row>
    <row r="6" spans="13:14" x14ac:dyDescent="0.2">
      <c r="M6" t="s">
        <v>100</v>
      </c>
      <c r="N6" s="365">
        <f t="shared" si="0"/>
        <v>1105.8130000000001</v>
      </c>
    </row>
    <row r="7" spans="13:14" x14ac:dyDescent="0.2">
      <c r="M7" t="s">
        <v>102</v>
      </c>
      <c r="N7" s="365">
        <f t="shared" si="0"/>
        <v>1514.6949999999999</v>
      </c>
    </row>
    <row r="8" spans="13:14" x14ac:dyDescent="0.2">
      <c r="M8" t="s">
        <v>111</v>
      </c>
      <c r="N8" s="365">
        <f t="shared" si="0"/>
        <v>1534.452</v>
      </c>
    </row>
    <row r="9" spans="13:14" x14ac:dyDescent="0.2">
      <c r="M9" t="s">
        <v>424</v>
      </c>
      <c r="N9" s="365">
        <f t="shared" si="0"/>
        <v>1601.2159999999999</v>
      </c>
    </row>
    <row r="10" spans="13:14" x14ac:dyDescent="0.2">
      <c r="M10" t="s">
        <v>104</v>
      </c>
      <c r="N10" s="365">
        <f t="shared" si="0"/>
        <v>2158.9229999999998</v>
      </c>
    </row>
    <row r="11" spans="13:14" x14ac:dyDescent="0.2">
      <c r="M11" t="s">
        <v>325</v>
      </c>
      <c r="N11" s="365">
        <f t="shared" si="0"/>
        <v>3043.4540000000002</v>
      </c>
    </row>
    <row r="12" spans="13:14" x14ac:dyDescent="0.2">
      <c r="M12" t="s">
        <v>392</v>
      </c>
      <c r="N12" s="365">
        <f t="shared" si="0"/>
        <v>3109.5169999999998</v>
      </c>
    </row>
    <row r="13" spans="13:14" x14ac:dyDescent="0.2">
      <c r="M13" t="s">
        <v>117</v>
      </c>
      <c r="N13" s="365">
        <f t="shared" si="0"/>
        <v>3214.9</v>
      </c>
    </row>
    <row r="14" spans="13:14" x14ac:dyDescent="0.2">
      <c r="M14" t="s">
        <v>98</v>
      </c>
      <c r="N14" s="365">
        <f t="shared" si="0"/>
        <v>6764.6909999999998</v>
      </c>
    </row>
    <row r="15" spans="13:14" x14ac:dyDescent="0.2">
      <c r="M15" s="363" t="s">
        <v>87</v>
      </c>
      <c r="N15" s="366">
        <f>SUM(N2:N14)</f>
        <v>26444.684000000001</v>
      </c>
    </row>
    <row r="16" spans="13:14" x14ac:dyDescent="0.2">
      <c r="M16" s="363"/>
      <c r="N16" s="366"/>
    </row>
    <row r="17" spans="12:28" x14ac:dyDescent="0.2">
      <c r="N17" s="365"/>
      <c r="Q17" s="367" t="s">
        <v>304</v>
      </c>
      <c r="R17" s="367"/>
      <c r="S17" s="367"/>
    </row>
    <row r="18" spans="12:28" x14ac:dyDescent="0.2">
      <c r="N18" s="365"/>
      <c r="Q18" s="386">
        <f>Výdaje!L32</f>
        <v>400566</v>
      </c>
      <c r="R18" s="367"/>
      <c r="S18" s="367"/>
    </row>
    <row r="19" spans="12:28" x14ac:dyDescent="0.2">
      <c r="M19" s="364" t="s">
        <v>89</v>
      </c>
      <c r="N19" s="364" t="s">
        <v>301</v>
      </c>
      <c r="O19" s="364" t="s">
        <v>302</v>
      </c>
      <c r="P19" s="364" t="s">
        <v>303</v>
      </c>
      <c r="Q19" s="370" t="s">
        <v>305</v>
      </c>
      <c r="R19" s="370" t="s">
        <v>306</v>
      </c>
      <c r="S19" s="370" t="s">
        <v>307</v>
      </c>
      <c r="W19" t="s">
        <v>301</v>
      </c>
      <c r="X19" t="s">
        <v>302</v>
      </c>
      <c r="Y19" t="s">
        <v>303</v>
      </c>
    </row>
    <row r="20" spans="12:28" x14ac:dyDescent="0.2">
      <c r="L20" s="378">
        <v>22</v>
      </c>
      <c r="M20" t="s">
        <v>98</v>
      </c>
      <c r="N20" s="365">
        <f>W20/1000</f>
        <v>6764.6909999999998</v>
      </c>
      <c r="O20" s="365">
        <f t="shared" ref="O20:P20" si="1">X20/1000</f>
        <v>6332.4780000000001</v>
      </c>
      <c r="P20" s="365">
        <f t="shared" si="1"/>
        <v>432.21300000000002</v>
      </c>
      <c r="Q20" s="368">
        <f t="shared" ref="Q20:Q33" si="2">N20*1000000/$Q$18</f>
        <v>16887.831218825362</v>
      </c>
      <c r="R20" s="368">
        <f>2750000000/Q18</f>
        <v>6865.2856208465018</v>
      </c>
      <c r="S20" s="368">
        <f>Q20-R20</f>
        <v>10022.54559797886</v>
      </c>
      <c r="U20" t="s">
        <v>97</v>
      </c>
      <c r="V20" t="s">
        <v>98</v>
      </c>
      <c r="W20" s="373">
        <f>X20+Y20</f>
        <v>6764691</v>
      </c>
      <c r="X20" s="373">
        <f>Výdaje!J11</f>
        <v>6332478</v>
      </c>
      <c r="Y20" s="373">
        <f>Výdaje!K11</f>
        <v>432213</v>
      </c>
      <c r="Z20" s="365">
        <f>W20/1000</f>
        <v>6764.6909999999998</v>
      </c>
      <c r="AA20" s="365">
        <f t="shared" ref="AA20:AB36" si="3">X20/1000</f>
        <v>6332.4780000000001</v>
      </c>
      <c r="AB20" s="365">
        <f t="shared" si="3"/>
        <v>432.21300000000002</v>
      </c>
    </row>
    <row r="21" spans="12:28" x14ac:dyDescent="0.2">
      <c r="L21" s="378">
        <v>61</v>
      </c>
      <c r="M21" t="s">
        <v>117</v>
      </c>
      <c r="N21" s="365">
        <f>W22/1000</f>
        <v>3214.9</v>
      </c>
      <c r="O21" s="365">
        <f>X22/1000</f>
        <v>1926.982</v>
      </c>
      <c r="P21" s="365">
        <f>Y22/1000</f>
        <v>1287.9179999999999</v>
      </c>
      <c r="Q21" s="368">
        <f t="shared" si="2"/>
        <v>8025.8933608943344</v>
      </c>
      <c r="R21" s="367"/>
      <c r="S21" s="367"/>
      <c r="U21" t="s">
        <v>108</v>
      </c>
      <c r="V21" t="s">
        <v>202</v>
      </c>
      <c r="W21" s="373">
        <f>X21+Y21</f>
        <v>3043454</v>
      </c>
      <c r="X21" s="373">
        <f>Výdaje!J18</f>
        <v>1905117</v>
      </c>
      <c r="Y21" s="373">
        <f>Výdaje!K18</f>
        <v>1138337</v>
      </c>
      <c r="Z21" s="365">
        <f>W21/1000</f>
        <v>3043.4540000000002</v>
      </c>
      <c r="AA21" s="365">
        <f>X21/1000</f>
        <v>1905.117</v>
      </c>
      <c r="AB21" s="365">
        <f>Y21/1000</f>
        <v>1138.337</v>
      </c>
    </row>
    <row r="22" spans="12:28" x14ac:dyDescent="0.2">
      <c r="L22" s="378">
        <v>34</v>
      </c>
      <c r="M22" t="s">
        <v>392</v>
      </c>
      <c r="N22" s="365">
        <f>W24/1000</f>
        <v>3109.5169999999998</v>
      </c>
      <c r="O22" s="365">
        <f>X24/1000</f>
        <v>2890.5250000000001</v>
      </c>
      <c r="P22" s="365">
        <f>Y24/1000</f>
        <v>218.99199999999999</v>
      </c>
      <c r="Q22" s="368">
        <f t="shared" si="2"/>
        <v>7762.8081265010014</v>
      </c>
      <c r="R22" s="367"/>
      <c r="S22" s="367"/>
      <c r="U22" t="s">
        <v>116</v>
      </c>
      <c r="V22" t="s">
        <v>117</v>
      </c>
      <c r="W22" s="373">
        <f>X22+Y22</f>
        <v>3214900</v>
      </c>
      <c r="X22" s="373">
        <f>Výdaje!J26</f>
        <v>1926982</v>
      </c>
      <c r="Y22" s="373">
        <f>Výdaje!K26</f>
        <v>1287918</v>
      </c>
      <c r="Z22" s="365">
        <f>W22/1000</f>
        <v>3214.9</v>
      </c>
      <c r="AA22" s="365">
        <f>X22/1000</f>
        <v>1926.982</v>
      </c>
      <c r="AB22" s="365">
        <f>Y22/1000</f>
        <v>1287.9179999999999</v>
      </c>
    </row>
    <row r="23" spans="12:28" x14ac:dyDescent="0.2">
      <c r="L23" s="378">
        <v>36</v>
      </c>
      <c r="M23" t="s">
        <v>325</v>
      </c>
      <c r="N23" s="365">
        <f>W21/1000</f>
        <v>3043.4540000000002</v>
      </c>
      <c r="O23" s="365">
        <f>X21/1000</f>
        <v>1905.117</v>
      </c>
      <c r="P23" s="365">
        <f>Y21/1000</f>
        <v>1138.337</v>
      </c>
      <c r="Q23" s="368">
        <f t="shared" si="2"/>
        <v>7597.8839941482802</v>
      </c>
      <c r="R23" s="367"/>
      <c r="S23" s="367"/>
      <c r="U23" t="s">
        <v>103</v>
      </c>
      <c r="V23" t="s">
        <v>104</v>
      </c>
      <c r="W23" s="373">
        <f t="shared" ref="W23:W30" si="4">X23+Y23</f>
        <v>2158923</v>
      </c>
      <c r="X23" s="373">
        <f>Výdaje!J15</f>
        <v>1978733</v>
      </c>
      <c r="Y23" s="373">
        <f>Výdaje!K15</f>
        <v>180190</v>
      </c>
      <c r="Z23" s="365">
        <f t="shared" ref="Z23:Z30" si="5">W23/1000</f>
        <v>2158.9229999999998</v>
      </c>
      <c r="AA23" s="365">
        <f t="shared" si="3"/>
        <v>1978.7329999999999</v>
      </c>
      <c r="AB23" s="365">
        <f t="shared" si="3"/>
        <v>180.19</v>
      </c>
    </row>
    <row r="24" spans="12:28" x14ac:dyDescent="0.2">
      <c r="L24" s="378">
        <v>33</v>
      </c>
      <c r="M24" t="s">
        <v>104</v>
      </c>
      <c r="N24" s="365">
        <f>W23/1000</f>
        <v>2158.9229999999998</v>
      </c>
      <c r="O24" s="365">
        <f>X23/1000</f>
        <v>1978.7329999999999</v>
      </c>
      <c r="P24" s="365">
        <f>Y23/1000</f>
        <v>180.19</v>
      </c>
      <c r="Q24" s="368">
        <f t="shared" si="2"/>
        <v>5389.6811012417429</v>
      </c>
      <c r="R24" s="367"/>
      <c r="S24" s="367"/>
      <c r="U24" t="s">
        <v>105</v>
      </c>
      <c r="V24" t="s">
        <v>392</v>
      </c>
      <c r="W24" s="373">
        <f>X24+Y24</f>
        <v>3109517</v>
      </c>
      <c r="X24" s="373">
        <f>Výdaje!J16</f>
        <v>2890525</v>
      </c>
      <c r="Y24" s="373">
        <f>Výdaje!K16</f>
        <v>218992</v>
      </c>
      <c r="Z24" s="365">
        <f t="shared" ref="Z24:AB25" si="6">W24/1000</f>
        <v>3109.5169999999998</v>
      </c>
      <c r="AA24" s="365">
        <f t="shared" si="6"/>
        <v>2890.5250000000001</v>
      </c>
      <c r="AB24" s="365">
        <f t="shared" si="6"/>
        <v>218.99199999999999</v>
      </c>
    </row>
    <row r="25" spans="12:28" x14ac:dyDescent="0.2">
      <c r="L25" s="378">
        <v>43</v>
      </c>
      <c r="M25" t="s">
        <v>424</v>
      </c>
      <c r="N25" s="365">
        <f>W28/1000</f>
        <v>1601.2159999999999</v>
      </c>
      <c r="O25" s="365">
        <f>X28/1000</f>
        <v>1508.915</v>
      </c>
      <c r="P25" s="365">
        <f>Y28/1000</f>
        <v>92.301000000000002</v>
      </c>
      <c r="Q25" s="368">
        <f t="shared" si="2"/>
        <v>3997.3837020615829</v>
      </c>
      <c r="R25" s="367"/>
      <c r="S25" s="367"/>
      <c r="U25" t="s">
        <v>110</v>
      </c>
      <c r="V25" t="s">
        <v>111</v>
      </c>
      <c r="W25" s="373">
        <f>X25+Y25</f>
        <v>1534452</v>
      </c>
      <c r="X25" s="373">
        <f>Výdaje!J19</f>
        <v>952549</v>
      </c>
      <c r="Y25" s="373">
        <f>Výdaje!K19</f>
        <v>581903</v>
      </c>
      <c r="Z25" s="365">
        <f t="shared" si="6"/>
        <v>1534.452</v>
      </c>
      <c r="AA25" s="365">
        <f t="shared" si="6"/>
        <v>952.54899999999998</v>
      </c>
      <c r="AB25" s="365">
        <f t="shared" si="6"/>
        <v>581.90300000000002</v>
      </c>
    </row>
    <row r="26" spans="12:28" x14ac:dyDescent="0.2">
      <c r="L26" s="378">
        <v>37</v>
      </c>
      <c r="M26" t="s">
        <v>111</v>
      </c>
      <c r="N26" s="365">
        <f>W25/1000</f>
        <v>1534.452</v>
      </c>
      <c r="O26" s="365">
        <f t="shared" ref="O26:P26" si="7">X25/1000</f>
        <v>952.54899999999998</v>
      </c>
      <c r="P26" s="365">
        <f t="shared" si="7"/>
        <v>581.90300000000002</v>
      </c>
      <c r="Q26" s="368">
        <f t="shared" si="2"/>
        <v>3830.7095459924208</v>
      </c>
      <c r="R26" s="367"/>
      <c r="S26" s="367"/>
      <c r="U26" t="s">
        <v>99</v>
      </c>
      <c r="V26" t="s">
        <v>100</v>
      </c>
      <c r="W26" s="373">
        <f>X26+Y26</f>
        <v>1105813</v>
      </c>
      <c r="X26" s="373">
        <f>Výdaje!J12</f>
        <v>1093350</v>
      </c>
      <c r="Y26" s="373">
        <f>Výdaje!K12</f>
        <v>12463</v>
      </c>
      <c r="Z26" s="365">
        <f t="shared" ref="Z26:AB27" si="8">W26/1000</f>
        <v>1105.8130000000001</v>
      </c>
      <c r="AA26" s="365">
        <f t="shared" si="8"/>
        <v>1093.3499999999999</v>
      </c>
      <c r="AB26" s="365">
        <f t="shared" si="8"/>
        <v>12.462999999999999</v>
      </c>
    </row>
    <row r="27" spans="12:28" x14ac:dyDescent="0.2">
      <c r="L27" s="378" t="s">
        <v>101</v>
      </c>
      <c r="M27" t="s">
        <v>102</v>
      </c>
      <c r="N27" s="365">
        <f>W27/1000</f>
        <v>1514.6949999999999</v>
      </c>
      <c r="O27" s="365">
        <f>X27/1000</f>
        <v>227.76400000000001</v>
      </c>
      <c r="P27" s="365">
        <f>Y27/1000</f>
        <v>1286.931</v>
      </c>
      <c r="Q27" s="368">
        <f t="shared" si="2"/>
        <v>3781.386837624761</v>
      </c>
      <c r="R27" s="367"/>
      <c r="S27" s="367"/>
      <c r="U27" t="s">
        <v>101</v>
      </c>
      <c r="V27" t="s">
        <v>102</v>
      </c>
      <c r="W27" s="373">
        <f>X27+Y27</f>
        <v>1514695</v>
      </c>
      <c r="X27" s="373">
        <f>Výdaje!J14</f>
        <v>227764</v>
      </c>
      <c r="Y27" s="373">
        <f>Výdaje!K14</f>
        <v>1286931</v>
      </c>
      <c r="Z27" s="365">
        <f t="shared" si="8"/>
        <v>1514.6949999999999</v>
      </c>
      <c r="AA27" s="365">
        <f t="shared" si="8"/>
        <v>227.76400000000001</v>
      </c>
      <c r="AB27" s="365">
        <f t="shared" si="8"/>
        <v>1286.931</v>
      </c>
    </row>
    <row r="28" spans="12:28" x14ac:dyDescent="0.2">
      <c r="L28" s="378">
        <v>23</v>
      </c>
      <c r="M28" t="s">
        <v>100</v>
      </c>
      <c r="N28" s="365">
        <f>W26/1000</f>
        <v>1105.8130000000001</v>
      </c>
      <c r="O28" s="365">
        <f>X26/1000</f>
        <v>1093.3499999999999</v>
      </c>
      <c r="P28" s="365">
        <f>Y26/1000</f>
        <v>12.462999999999999</v>
      </c>
      <c r="Q28" s="368">
        <f t="shared" si="2"/>
        <v>2760.626213907321</v>
      </c>
      <c r="R28" s="367"/>
      <c r="S28" s="367"/>
      <c r="U28" t="s">
        <v>112</v>
      </c>
      <c r="V28" t="s">
        <v>423</v>
      </c>
      <c r="W28" s="373">
        <f t="shared" si="4"/>
        <v>1601216</v>
      </c>
      <c r="X28" s="373">
        <f>Výdaje!J22</f>
        <v>1508915</v>
      </c>
      <c r="Y28" s="373">
        <f>Výdaje!K22</f>
        <v>92301</v>
      </c>
      <c r="Z28" s="365">
        <f t="shared" si="5"/>
        <v>1601.2159999999999</v>
      </c>
      <c r="AA28" s="365">
        <f t="shared" si="3"/>
        <v>1508.915</v>
      </c>
      <c r="AB28" s="365">
        <f t="shared" si="3"/>
        <v>92.301000000000002</v>
      </c>
    </row>
    <row r="29" spans="12:28" x14ac:dyDescent="0.2">
      <c r="L29" s="378">
        <v>63</v>
      </c>
      <c r="M29" t="s">
        <v>208</v>
      </c>
      <c r="N29" s="365">
        <f>W31/1000</f>
        <v>698.20899999999995</v>
      </c>
      <c r="O29" s="365">
        <f>X31/1000</f>
        <v>3718.3870000000002</v>
      </c>
      <c r="P29" s="365">
        <f>Y31/1000</f>
        <v>130.89099999999999</v>
      </c>
      <c r="Q29" s="368">
        <f t="shared" si="2"/>
        <v>1743.056075652951</v>
      </c>
      <c r="R29" s="367"/>
      <c r="S29" s="367"/>
    </row>
    <row r="30" spans="12:28" x14ac:dyDescent="0.2">
      <c r="L30" s="378"/>
      <c r="M30" t="s">
        <v>431</v>
      </c>
      <c r="N30" s="365">
        <f>N43</f>
        <v>661.346</v>
      </c>
      <c r="O30" s="365">
        <f>O43</f>
        <v>503.35700000000003</v>
      </c>
      <c r="P30" s="365">
        <f>P43</f>
        <v>157.989</v>
      </c>
      <c r="Q30" s="368">
        <f t="shared" si="2"/>
        <v>1651.0287942561276</v>
      </c>
      <c r="R30" s="367"/>
      <c r="S30" s="367"/>
      <c r="U30" t="s">
        <v>113</v>
      </c>
      <c r="V30" t="s">
        <v>114</v>
      </c>
      <c r="W30" s="373">
        <f t="shared" si="4"/>
        <v>650097</v>
      </c>
      <c r="X30" s="373">
        <f>Výdaje!J24</f>
        <v>645325</v>
      </c>
      <c r="Y30" s="373">
        <f>Výdaje!K24</f>
        <v>4772</v>
      </c>
      <c r="Z30" s="365">
        <f t="shared" si="5"/>
        <v>650.09699999999998</v>
      </c>
      <c r="AA30" s="365">
        <f t="shared" si="3"/>
        <v>645.32500000000005</v>
      </c>
      <c r="AB30" s="365">
        <f t="shared" si="3"/>
        <v>4.7720000000000002</v>
      </c>
    </row>
    <row r="31" spans="12:28" x14ac:dyDescent="0.2">
      <c r="L31" s="378">
        <v>53</v>
      </c>
      <c r="M31" t="s">
        <v>114</v>
      </c>
      <c r="N31" s="365">
        <f>W30/1000</f>
        <v>650.09699999999998</v>
      </c>
      <c r="O31" s="365">
        <f>X30/1000</f>
        <v>645.32500000000005</v>
      </c>
      <c r="P31" s="365">
        <f>Y30/1000</f>
        <v>4.7720000000000002</v>
      </c>
      <c r="Q31" s="368">
        <f t="shared" si="2"/>
        <v>1622.9460313656177</v>
      </c>
      <c r="R31" s="367"/>
      <c r="S31" s="367"/>
      <c r="U31" t="s">
        <v>120</v>
      </c>
      <c r="V31" t="s">
        <v>208</v>
      </c>
      <c r="W31" s="373">
        <f>'B a K'!E200</f>
        <v>698209</v>
      </c>
      <c r="X31" s="373">
        <f>Výdaje!J28</f>
        <v>3718387</v>
      </c>
      <c r="Y31" s="373">
        <f>Výdaje!K28</f>
        <v>130891</v>
      </c>
      <c r="Z31" s="365">
        <f t="shared" ref="Z31:AB32" si="9">W31/1000</f>
        <v>698.20899999999995</v>
      </c>
      <c r="AA31" s="365">
        <f t="shared" si="9"/>
        <v>3718.3870000000002</v>
      </c>
      <c r="AB31" s="365">
        <f t="shared" si="9"/>
        <v>130.89099999999999</v>
      </c>
    </row>
    <row r="32" spans="12:28" x14ac:dyDescent="0.2">
      <c r="L32" s="378">
        <v>35</v>
      </c>
      <c r="M32" t="s">
        <v>107</v>
      </c>
      <c r="N32" s="365">
        <f>W32/1000</f>
        <v>387.37099999999998</v>
      </c>
      <c r="O32" s="365">
        <f t="shared" ref="O32" si="10">X32/1000</f>
        <v>361.02</v>
      </c>
      <c r="P32" s="365">
        <f t="shared" ref="P32" si="11">Y32/1000</f>
        <v>26.350999999999999</v>
      </c>
      <c r="Q32" s="368">
        <f t="shared" si="2"/>
        <v>967.05911135742929</v>
      </c>
      <c r="R32" s="367"/>
      <c r="S32" s="367"/>
      <c r="U32" t="s">
        <v>106</v>
      </c>
      <c r="V32" t="s">
        <v>107</v>
      </c>
      <c r="W32" s="373">
        <f>X32+Y32</f>
        <v>387371</v>
      </c>
      <c r="X32" s="373">
        <f>Výdaje!J17</f>
        <v>361020</v>
      </c>
      <c r="Y32" s="373">
        <f>Výdaje!K17</f>
        <v>26351</v>
      </c>
      <c r="Z32" s="365">
        <f t="shared" si="9"/>
        <v>387.37099999999998</v>
      </c>
      <c r="AA32" s="365">
        <f t="shared" si="9"/>
        <v>361.02</v>
      </c>
      <c r="AB32" s="365">
        <f t="shared" si="9"/>
        <v>26.350999999999999</v>
      </c>
    </row>
    <row r="33" spans="12:28" x14ac:dyDescent="0.2">
      <c r="L33" s="378"/>
      <c r="M33" s="363" t="s">
        <v>87</v>
      </c>
      <c r="N33" s="366">
        <f>SUM(N20:N32)</f>
        <v>26444.684000000001</v>
      </c>
      <c r="O33" s="366">
        <f>SUM(O20:O32)</f>
        <v>24044.501999999997</v>
      </c>
      <c r="P33" s="366">
        <f>SUM(P20:P32)</f>
        <v>5551.2509999999984</v>
      </c>
      <c r="Q33" s="371">
        <f t="shared" si="2"/>
        <v>66018.294113828932</v>
      </c>
      <c r="R33" s="367"/>
      <c r="S33" s="367"/>
      <c r="W33" s="373"/>
      <c r="X33" s="373"/>
      <c r="Y33" s="373"/>
      <c r="Z33" s="365"/>
      <c r="AA33" s="365"/>
      <c r="AB33" s="365"/>
    </row>
    <row r="34" spans="12:28" x14ac:dyDescent="0.2">
      <c r="L34" s="378">
        <v>64</v>
      </c>
      <c r="M34" s="367" t="s">
        <v>210</v>
      </c>
      <c r="N34" s="368">
        <f>W34/1000</f>
        <v>272.84199999999998</v>
      </c>
      <c r="O34" s="368">
        <f t="shared" ref="O34:P34" si="12">X34/1000</f>
        <v>180.666</v>
      </c>
      <c r="P34" s="368">
        <f t="shared" si="12"/>
        <v>92.176000000000002</v>
      </c>
      <c r="U34" t="s">
        <v>209</v>
      </c>
      <c r="V34" t="s">
        <v>210</v>
      </c>
      <c r="W34" s="373">
        <f t="shared" ref="W34:W42" si="13">X34+Y34</f>
        <v>272842</v>
      </c>
      <c r="X34" s="373">
        <f>Výdaje!J29</f>
        <v>180666</v>
      </c>
      <c r="Y34" s="373">
        <f>Výdaje!K29</f>
        <v>92176</v>
      </c>
      <c r="Z34" s="365">
        <f t="shared" ref="Z34:Z42" si="14">W34/1000</f>
        <v>272.84199999999998</v>
      </c>
      <c r="AA34" s="365">
        <f t="shared" si="3"/>
        <v>180.666</v>
      </c>
      <c r="AB34" s="365">
        <f t="shared" si="3"/>
        <v>92.176000000000002</v>
      </c>
    </row>
    <row r="35" spans="12:28" x14ac:dyDescent="0.2">
      <c r="L35" s="378">
        <v>55</v>
      </c>
      <c r="M35" s="367" t="s">
        <v>115</v>
      </c>
      <c r="N35" s="368">
        <f>W36/1000</f>
        <v>109.15900000000001</v>
      </c>
      <c r="O35" s="368">
        <f>X36/1000</f>
        <v>71.602999999999994</v>
      </c>
      <c r="P35" s="368">
        <f>Y36/1000</f>
        <v>37.555999999999997</v>
      </c>
      <c r="U35" t="s">
        <v>95</v>
      </c>
      <c r="V35" t="s">
        <v>96</v>
      </c>
      <c r="W35" s="373">
        <f t="shared" si="13"/>
        <v>108373</v>
      </c>
      <c r="X35" s="373">
        <f>Výdaje!J10</f>
        <v>99443</v>
      </c>
      <c r="Y35" s="373">
        <f>Výdaje!K10</f>
        <v>8930</v>
      </c>
      <c r="Z35" s="365">
        <f t="shared" si="14"/>
        <v>108.373</v>
      </c>
      <c r="AA35" s="365">
        <f>X35/1000</f>
        <v>99.442999999999998</v>
      </c>
      <c r="AB35" s="365">
        <f>Y35/1000</f>
        <v>8.93</v>
      </c>
    </row>
    <row r="36" spans="12:28" x14ac:dyDescent="0.2">
      <c r="L36" s="378">
        <v>21</v>
      </c>
      <c r="M36" s="367" t="s">
        <v>96</v>
      </c>
      <c r="N36" s="368">
        <f t="shared" ref="N36" si="15">W35/1000</f>
        <v>108.373</v>
      </c>
      <c r="O36" s="368">
        <f>X35/1000</f>
        <v>99.442999999999998</v>
      </c>
      <c r="P36" s="368">
        <f>Y35/1000</f>
        <v>8.93</v>
      </c>
      <c r="U36" t="s">
        <v>207</v>
      </c>
      <c r="V36" t="s">
        <v>115</v>
      </c>
      <c r="W36" s="373">
        <f t="shared" si="13"/>
        <v>109159</v>
      </c>
      <c r="X36" s="373">
        <f>Výdaje!J25</f>
        <v>71603</v>
      </c>
      <c r="Y36" s="373">
        <f>Výdaje!K25</f>
        <v>37556</v>
      </c>
      <c r="Z36" s="365">
        <f t="shared" si="14"/>
        <v>109.15900000000001</v>
      </c>
      <c r="AA36" s="365">
        <f t="shared" si="3"/>
        <v>71.602999999999994</v>
      </c>
      <c r="AB36" s="365">
        <f t="shared" si="3"/>
        <v>37.555999999999997</v>
      </c>
    </row>
    <row r="37" spans="12:28" x14ac:dyDescent="0.2">
      <c r="L37" s="378">
        <v>39</v>
      </c>
      <c r="M37" s="367" t="s">
        <v>205</v>
      </c>
      <c r="N37" s="368">
        <f t="shared" ref="N37:P38" si="16">W37/1000</f>
        <v>54.39</v>
      </c>
      <c r="O37" s="368">
        <f t="shared" si="16"/>
        <v>47.372</v>
      </c>
      <c r="P37" s="368">
        <f t="shared" si="16"/>
        <v>7.0179999999999998</v>
      </c>
      <c r="U37" s="380">
        <v>39</v>
      </c>
      <c r="V37" t="s">
        <v>205</v>
      </c>
      <c r="W37" s="373">
        <f t="shared" si="13"/>
        <v>54390</v>
      </c>
      <c r="X37" s="373">
        <f>Výdaje!J21</f>
        <v>47372</v>
      </c>
      <c r="Y37" s="373">
        <f>Výdaje!K21</f>
        <v>7018</v>
      </c>
      <c r="Z37" s="365">
        <f t="shared" si="14"/>
        <v>54.39</v>
      </c>
      <c r="AA37" s="365">
        <f t="shared" ref="AA37:AA42" si="17">X37/1000</f>
        <v>47.372</v>
      </c>
      <c r="AB37" s="365">
        <f t="shared" ref="AB37:AB42" si="18">Y37/1000</f>
        <v>7.0179999999999998</v>
      </c>
    </row>
    <row r="38" spans="12:28" x14ac:dyDescent="0.2">
      <c r="L38" s="378">
        <v>38</v>
      </c>
      <c r="M38" s="367" t="s">
        <v>204</v>
      </c>
      <c r="N38" s="368">
        <f t="shared" si="16"/>
        <v>42.6</v>
      </c>
      <c r="O38" s="368">
        <f t="shared" si="16"/>
        <v>42.6</v>
      </c>
      <c r="P38" s="368">
        <f t="shared" si="16"/>
        <v>0</v>
      </c>
      <c r="U38" t="s">
        <v>203</v>
      </c>
      <c r="V38" t="s">
        <v>204</v>
      </c>
      <c r="W38" s="373">
        <f t="shared" si="13"/>
        <v>42600</v>
      </c>
      <c r="X38" s="373">
        <f>Výdaje!J20</f>
        <v>42600</v>
      </c>
      <c r="Y38" s="373">
        <f>Výdaje!K20</f>
        <v>0</v>
      </c>
      <c r="Z38" s="365">
        <f t="shared" si="14"/>
        <v>42.6</v>
      </c>
      <c r="AA38" s="365">
        <f>X38/1000</f>
        <v>42.6</v>
      </c>
      <c r="AB38" s="365">
        <f>Y38/1000</f>
        <v>0</v>
      </c>
    </row>
    <row r="39" spans="12:28" x14ac:dyDescent="0.2">
      <c r="L39" s="378">
        <v>10</v>
      </c>
      <c r="M39" s="367" t="s">
        <v>94</v>
      </c>
      <c r="N39" s="368">
        <f>W40/1000</f>
        <v>37.572000000000003</v>
      </c>
      <c r="O39" s="368">
        <f>X40/1000</f>
        <v>29.405999999999999</v>
      </c>
      <c r="P39" s="368">
        <f>Y40/1000</f>
        <v>8.1660000000000004</v>
      </c>
      <c r="U39" t="s">
        <v>118</v>
      </c>
      <c r="V39" t="s">
        <v>119</v>
      </c>
      <c r="W39" s="373">
        <f t="shared" si="13"/>
        <v>26483</v>
      </c>
      <c r="X39" s="373">
        <f>Výdaje!J27</f>
        <v>26283</v>
      </c>
      <c r="Y39" s="373">
        <f>Výdaje!K27</f>
        <v>200</v>
      </c>
      <c r="Z39" s="365">
        <f t="shared" si="14"/>
        <v>26.483000000000001</v>
      </c>
      <c r="AA39" s="365">
        <f t="shared" si="17"/>
        <v>26.283000000000001</v>
      </c>
      <c r="AB39" s="365">
        <f t="shared" si="18"/>
        <v>0.2</v>
      </c>
    </row>
    <row r="40" spans="12:28" x14ac:dyDescent="0.2">
      <c r="L40" s="378">
        <v>62</v>
      </c>
      <c r="M40" s="367" t="s">
        <v>119</v>
      </c>
      <c r="N40" s="368">
        <f>W39/1000</f>
        <v>26.483000000000001</v>
      </c>
      <c r="O40" s="368">
        <f>X39/1000</f>
        <v>26.283000000000001</v>
      </c>
      <c r="P40" s="368">
        <f>Y39/1000</f>
        <v>0.2</v>
      </c>
      <c r="U40" t="s">
        <v>93</v>
      </c>
      <c r="V40" t="s">
        <v>94</v>
      </c>
      <c r="W40" s="373">
        <f t="shared" si="13"/>
        <v>37572</v>
      </c>
      <c r="X40" s="373">
        <f>Výdaje!J9</f>
        <v>29406</v>
      </c>
      <c r="Y40" s="373">
        <f>Výdaje!K9</f>
        <v>8166</v>
      </c>
      <c r="Z40" s="365">
        <f t="shared" si="14"/>
        <v>37.572000000000003</v>
      </c>
      <c r="AA40" s="365">
        <f t="shared" si="17"/>
        <v>29.405999999999999</v>
      </c>
      <c r="AB40" s="365">
        <f t="shared" si="18"/>
        <v>8.1660000000000004</v>
      </c>
    </row>
    <row r="41" spans="12:28" x14ac:dyDescent="0.2">
      <c r="L41" s="378">
        <v>52</v>
      </c>
      <c r="M41" s="367" t="s">
        <v>434</v>
      </c>
      <c r="N41" s="368">
        <f t="shared" ref="N41:P42" si="19">W41/1000</f>
        <v>9.0500000000000007</v>
      </c>
      <c r="O41" s="368">
        <f t="shared" si="19"/>
        <v>5.984</v>
      </c>
      <c r="P41" s="368">
        <f t="shared" si="19"/>
        <v>3.0659999999999998</v>
      </c>
      <c r="U41" t="s">
        <v>206</v>
      </c>
      <c r="V41" t="s">
        <v>434</v>
      </c>
      <c r="W41" s="373">
        <f t="shared" si="13"/>
        <v>9050</v>
      </c>
      <c r="X41" s="373">
        <f>Výdaje!J23</f>
        <v>5984</v>
      </c>
      <c r="Y41" s="373">
        <f>Výdaje!K23</f>
        <v>3066</v>
      </c>
      <c r="Z41" s="365">
        <f t="shared" si="14"/>
        <v>9.0500000000000007</v>
      </c>
      <c r="AA41" s="365">
        <f t="shared" si="17"/>
        <v>5.984</v>
      </c>
      <c r="AB41" s="365">
        <f t="shared" si="18"/>
        <v>3.0659999999999998</v>
      </c>
    </row>
    <row r="42" spans="12:28" x14ac:dyDescent="0.2">
      <c r="L42" s="378">
        <v>24</v>
      </c>
      <c r="M42" s="367" t="s">
        <v>315</v>
      </c>
      <c r="N42" s="368">
        <f t="shared" si="19"/>
        <v>0.877</v>
      </c>
      <c r="O42" s="368">
        <f t="shared" si="19"/>
        <v>0</v>
      </c>
      <c r="P42" s="368">
        <f t="shared" si="19"/>
        <v>0.877</v>
      </c>
      <c r="U42" s="380">
        <v>24</v>
      </c>
      <c r="V42" t="s">
        <v>315</v>
      </c>
      <c r="W42" s="373">
        <f t="shared" si="13"/>
        <v>877</v>
      </c>
      <c r="X42" s="373">
        <f>Výdaje!J13</f>
        <v>0</v>
      </c>
      <c r="Y42" s="373">
        <f>Výdaje!K13</f>
        <v>877</v>
      </c>
      <c r="Z42" s="365">
        <f t="shared" si="14"/>
        <v>0.877</v>
      </c>
      <c r="AA42" s="365">
        <f t="shared" si="17"/>
        <v>0</v>
      </c>
      <c r="AB42" s="365">
        <f t="shared" si="18"/>
        <v>0.877</v>
      </c>
    </row>
    <row r="43" spans="12:28" x14ac:dyDescent="0.2">
      <c r="M43" s="367" t="s">
        <v>87</v>
      </c>
      <c r="N43" s="369">
        <f>O43+P43</f>
        <v>661.346</v>
      </c>
      <c r="O43" s="369">
        <f>SUM(O34:O42)</f>
        <v>503.35700000000003</v>
      </c>
      <c r="P43" s="369">
        <f>SUM(P34:P42)</f>
        <v>157.989</v>
      </c>
      <c r="W43" s="385">
        <f>SUM(W20:W42)</f>
        <v>26444684</v>
      </c>
      <c r="X43" s="385">
        <f>SUM(X20:X42)</f>
        <v>24044502</v>
      </c>
      <c r="Y43" s="385">
        <f>SUM(Y20:Y42)</f>
        <v>5551251</v>
      </c>
    </row>
    <row r="44" spans="12:28" x14ac:dyDescent="0.2">
      <c r="N44" s="366"/>
      <c r="O44" s="366"/>
      <c r="P44" s="366"/>
    </row>
    <row r="46" spans="12:28" x14ac:dyDescent="0.2">
      <c r="N46" s="366"/>
      <c r="O46" s="366"/>
      <c r="P46" s="366"/>
    </row>
    <row r="68" spans="23:25" x14ac:dyDescent="0.2">
      <c r="W68" s="366"/>
      <c r="X68" s="366"/>
      <c r="Y68" s="366"/>
    </row>
  </sheetData>
  <sortState xmlns:xlrd2="http://schemas.microsoft.com/office/spreadsheetml/2017/richdata2" ref="M2:N15">
    <sortCondition ref="N2:N15"/>
  </sortState>
  <printOptions horizontalCentered="1"/>
  <pageMargins left="0.39370078740157483" right="0.31496062992125984" top="0.4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D5FFA1C1171441977E2500F0441769" ma:contentTypeVersion="24" ma:contentTypeDescription="Vytvoří nový dokument" ma:contentTypeScope="" ma:versionID="cdd9b499dbcbc4937fa410b5c8a15975">
  <xsd:schema xmlns:xsd="http://www.w3.org/2001/XMLSchema" xmlns:xs="http://www.w3.org/2001/XMLSchema" xmlns:p="http://schemas.microsoft.com/office/2006/metadata/properties" xmlns:ns2="f0e9dffb-10b4-43a2-a71f-636e7749a0ae" xmlns:ns3="64c94459-a6c5-4cf5-89c0-115a7989494d" xmlns:ns4="107ea3ff-ebed-4698-b54c-04cca22f4541" xmlns:ns5="4661915b-3ec1-4a53-8b9d-0082e84b5fb5" targetNamespace="http://schemas.microsoft.com/office/2006/metadata/properties" ma:root="true" ma:fieldsID="46c6b540eb950de5072797ac4f44e024" ns2:_="" ns3:_="" ns4:_="" ns5:_="">
    <xsd:import namespace="f0e9dffb-10b4-43a2-a71f-636e7749a0ae"/>
    <xsd:import namespace="64c94459-a6c5-4cf5-89c0-115a7989494d"/>
    <xsd:import namespace="107ea3ff-ebed-4698-b54c-04cca22f4541"/>
    <xsd:import namespace="4661915b-3ec1-4a53-8b9d-0082e84b5fb5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  <xsd:element ref="ns2:MediaServiceObjectDetectorVersions" minOccurs="0"/>
                <xsd:element ref="ns5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9dffb-10b4-43a2-a71f-636e7749a0ae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09c10422-e8bd-4eab-9f3d-4429a0566d64}" ma:internalName="Rok" ma:readOnly="false" ma:showField="NR_x002d_roky">
      <xsd:simpleType>
        <xsd:restriction base="dms:Lookup"/>
      </xsd:simpleType>
    </xsd:element>
    <xsd:element name="Etapa" ma:index="3" ma:displayName="Etapa" ma:list="{09c10422-e8bd-4eab-9f3d-4429a0566d64}" ma:internalName="Etapa" ma:readOnly="false" ma:showField="Title">
      <xsd:simpleType>
        <xsd:restriction base="dms:Lookup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1915b-3ec1-4a53-8b9d-0082e84b5fb5" elementFormDefault="qualified">
    <xsd:import namespace="http://schemas.microsoft.com/office/2006/documentManagement/types"/>
    <xsd:import namespace="http://schemas.microsoft.com/office/infopath/2007/PartnerControls"/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0e9dffb-10b4-43a2-a71f-636e7749a0ae">14</Rok>
    <Etapa xmlns="f0e9dffb-10b4-43a2-a71f-636e7749a0ae">8</Etapa>
    <_dlc_DocId xmlns="64c94459-a6c5-4cf5-89c0-115a7989494d">MMB0-1401690442-10878</_dlc_DocId>
    <_dlc_DocIdUrl xmlns="64c94459-a6c5-4cf5-89c0-115a7989494d">
      <Url>https://mmbonline.sharepoint.com/ORF/rozpocet/_layouts/15/DocIdRedir.aspx?ID=MMB0-1401690442-10878</Url>
      <Description>MMB0-1401690442-10878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3C8E9-4603-4FFC-BF39-7A9A06D18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9dffb-10b4-43a2-a71f-636e7749a0ae"/>
    <ds:schemaRef ds:uri="64c94459-a6c5-4cf5-89c0-115a7989494d"/>
    <ds:schemaRef ds:uri="107ea3ff-ebed-4698-b54c-04cca22f4541"/>
    <ds:schemaRef ds:uri="4661915b-3ec1-4a53-8b9d-0082e84b5f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83FDE1-3E7F-4551-9EDE-9676F1D828F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2B2F9E-B407-47B4-947A-7F91CF99E1A8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f0e9dffb-10b4-43a2-a71f-636e7749a0ae"/>
    <ds:schemaRef ds:uri="http://schemas.microsoft.com/office/infopath/2007/PartnerControls"/>
    <ds:schemaRef ds:uri="107ea3ff-ebed-4698-b54c-04cca22f4541"/>
    <ds:schemaRef ds:uri="http://schemas.openxmlformats.org/package/2006/metadata/core-properties"/>
    <ds:schemaRef ds:uri="http://schemas.microsoft.com/office/2006/metadata/properties"/>
    <ds:schemaRef ds:uri="4661915b-3ec1-4a53-8b9d-0082e84b5fb5"/>
    <ds:schemaRef ds:uri="64c94459-a6c5-4cf5-89c0-115a7989494d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Trnečka Jiří (MMB_ORF)</cp:lastModifiedBy>
  <cp:lastPrinted>2025-03-06T10:43:00Z</cp:lastPrinted>
  <dcterms:created xsi:type="dcterms:W3CDTF">2016-02-22T09:14:34Z</dcterms:created>
  <dcterms:modified xsi:type="dcterms:W3CDTF">2025-04-08T08:42:15Z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f8548e70-35bf-4484-9f91-fa56502a214f</vt:lpwstr>
  </property>
  <property fmtid="{D5CDD505-2E9C-101B-9397-08002B2CF9AE}" pid="3" name="ContentTypeId">
    <vt:lpwstr>0x01010002D5FFA1C1171441977E2500F0441769</vt:lpwstr>
  </property>
</Properties>
</file>